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toon\Dropbox\Everest data\MATLAB\Data 24-7 2\"/>
    </mc:Choice>
  </mc:AlternateContent>
  <bookViews>
    <workbookView xWindow="0" yWindow="0" windowWidth="28800" windowHeight="14424"/>
  </bookViews>
  <sheets>
    <sheet name="20170724T1049-50ms-XSens-Posit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52" i="1" l="1"/>
  <c r="P2752" i="1"/>
  <c r="O2752" i="1"/>
  <c r="V2751" i="1"/>
  <c r="P2751" i="1"/>
  <c r="O2751" i="1"/>
  <c r="V2750" i="1"/>
  <c r="P2750" i="1"/>
  <c r="O2750" i="1"/>
  <c r="V2749" i="1"/>
  <c r="P2749" i="1"/>
  <c r="O2749" i="1"/>
  <c r="V2748" i="1"/>
  <c r="P2748" i="1"/>
  <c r="O2748" i="1"/>
  <c r="V2747" i="1"/>
  <c r="P2747" i="1"/>
  <c r="O2747" i="1"/>
  <c r="V2746" i="1"/>
  <c r="P2746" i="1"/>
  <c r="O2746" i="1"/>
  <c r="V2745" i="1"/>
  <c r="P2745" i="1"/>
  <c r="O2745" i="1"/>
  <c r="V2744" i="1"/>
  <c r="P2744" i="1"/>
  <c r="O2744" i="1"/>
  <c r="V2743" i="1"/>
  <c r="P2743" i="1"/>
  <c r="O2743" i="1"/>
  <c r="V2742" i="1"/>
  <c r="P2742" i="1"/>
  <c r="O2742" i="1"/>
  <c r="V2741" i="1"/>
  <c r="P2741" i="1"/>
  <c r="O2741" i="1"/>
  <c r="V2740" i="1"/>
  <c r="P2740" i="1"/>
  <c r="O2740" i="1"/>
  <c r="V2739" i="1"/>
  <c r="P2739" i="1"/>
  <c r="O2739" i="1"/>
  <c r="V2738" i="1"/>
  <c r="P2738" i="1"/>
  <c r="O2738" i="1"/>
  <c r="V2737" i="1"/>
  <c r="P2737" i="1"/>
  <c r="O2737" i="1"/>
  <c r="V2736" i="1"/>
  <c r="P2736" i="1"/>
  <c r="O2736" i="1"/>
  <c r="V2735" i="1"/>
  <c r="P2735" i="1"/>
  <c r="O2735" i="1"/>
  <c r="V2734" i="1"/>
  <c r="P2734" i="1"/>
  <c r="O2734" i="1"/>
  <c r="V2733" i="1"/>
  <c r="P2733" i="1"/>
  <c r="O2733" i="1"/>
  <c r="V2732" i="1"/>
  <c r="P2732" i="1"/>
  <c r="O2732" i="1"/>
  <c r="V2731" i="1"/>
  <c r="P2731" i="1"/>
  <c r="O2731" i="1"/>
  <c r="V2730" i="1"/>
  <c r="P2730" i="1"/>
  <c r="O2730" i="1"/>
  <c r="V2729" i="1"/>
  <c r="P2729" i="1"/>
  <c r="O2729" i="1"/>
  <c r="V2728" i="1"/>
  <c r="P2728" i="1"/>
  <c r="O2728" i="1"/>
  <c r="V2727" i="1"/>
  <c r="P2727" i="1"/>
  <c r="O2727" i="1"/>
  <c r="V2726" i="1"/>
  <c r="P2726" i="1"/>
  <c r="O2726" i="1"/>
  <c r="V2725" i="1"/>
  <c r="P2725" i="1"/>
  <c r="O2725" i="1"/>
  <c r="V2724" i="1"/>
  <c r="P2724" i="1"/>
  <c r="O2724" i="1"/>
  <c r="V2723" i="1"/>
  <c r="P2723" i="1"/>
  <c r="O2723" i="1"/>
  <c r="V2722" i="1"/>
  <c r="P2722" i="1"/>
  <c r="O2722" i="1"/>
  <c r="V2721" i="1"/>
  <c r="P2721" i="1"/>
  <c r="O2721" i="1"/>
  <c r="V2720" i="1"/>
  <c r="P2720" i="1"/>
  <c r="O2720" i="1"/>
  <c r="V2719" i="1"/>
  <c r="P2719" i="1"/>
  <c r="O2719" i="1"/>
  <c r="V2718" i="1"/>
  <c r="P2718" i="1"/>
  <c r="O2718" i="1"/>
  <c r="V2717" i="1"/>
  <c r="P2717" i="1"/>
  <c r="O2717" i="1"/>
  <c r="V2716" i="1"/>
  <c r="P2716" i="1"/>
  <c r="O2716" i="1"/>
  <c r="V2715" i="1"/>
  <c r="P2715" i="1"/>
  <c r="O2715" i="1"/>
  <c r="V2714" i="1"/>
  <c r="P2714" i="1"/>
  <c r="O2714" i="1"/>
  <c r="V2713" i="1"/>
  <c r="P2713" i="1"/>
  <c r="O2713" i="1"/>
  <c r="V2712" i="1"/>
  <c r="P2712" i="1"/>
  <c r="O2712" i="1"/>
  <c r="V2711" i="1"/>
  <c r="P2711" i="1"/>
  <c r="O2711" i="1"/>
  <c r="V2710" i="1"/>
  <c r="P2710" i="1"/>
  <c r="O2710" i="1"/>
  <c r="V2709" i="1"/>
  <c r="P2709" i="1"/>
  <c r="O2709" i="1"/>
  <c r="V2708" i="1"/>
  <c r="P2708" i="1"/>
  <c r="O2708" i="1"/>
  <c r="V2707" i="1"/>
  <c r="P2707" i="1"/>
  <c r="O2707" i="1"/>
  <c r="V2706" i="1"/>
  <c r="P2706" i="1"/>
  <c r="O2706" i="1"/>
  <c r="V2705" i="1"/>
  <c r="P2705" i="1"/>
  <c r="O2705" i="1"/>
  <c r="V2704" i="1"/>
  <c r="P2704" i="1"/>
  <c r="O2704" i="1"/>
  <c r="V2703" i="1"/>
  <c r="P2703" i="1"/>
  <c r="O2703" i="1"/>
  <c r="V2702" i="1"/>
  <c r="P2702" i="1"/>
  <c r="O2702" i="1"/>
  <c r="V2701" i="1"/>
  <c r="P2701" i="1"/>
  <c r="O2701" i="1"/>
  <c r="V2700" i="1"/>
  <c r="P2700" i="1"/>
  <c r="O2700" i="1"/>
  <c r="V2699" i="1"/>
  <c r="P2699" i="1"/>
  <c r="O2699" i="1"/>
  <c r="V2698" i="1"/>
  <c r="P2698" i="1"/>
  <c r="O2698" i="1"/>
  <c r="V2697" i="1"/>
  <c r="P2697" i="1"/>
  <c r="O2697" i="1"/>
  <c r="V2696" i="1"/>
  <c r="P2696" i="1"/>
  <c r="O2696" i="1"/>
  <c r="V2695" i="1"/>
  <c r="P2695" i="1"/>
  <c r="O2695" i="1"/>
  <c r="V2694" i="1"/>
  <c r="P2694" i="1"/>
  <c r="O2694" i="1"/>
  <c r="V2693" i="1"/>
  <c r="P2693" i="1"/>
  <c r="O2693" i="1"/>
  <c r="V2692" i="1"/>
  <c r="P2692" i="1"/>
  <c r="O2692" i="1"/>
  <c r="V2691" i="1"/>
  <c r="P2691" i="1"/>
  <c r="O2691" i="1"/>
  <c r="V2690" i="1"/>
  <c r="P2690" i="1"/>
  <c r="O2690" i="1"/>
  <c r="V2689" i="1"/>
  <c r="P2689" i="1"/>
  <c r="O2689" i="1"/>
  <c r="V2688" i="1"/>
  <c r="P2688" i="1"/>
  <c r="O2688" i="1"/>
  <c r="V2687" i="1"/>
  <c r="P2687" i="1"/>
  <c r="O2687" i="1"/>
  <c r="V2686" i="1"/>
  <c r="P2686" i="1"/>
  <c r="O2686" i="1"/>
  <c r="V2685" i="1"/>
  <c r="P2685" i="1"/>
  <c r="O2685" i="1"/>
  <c r="V2684" i="1"/>
  <c r="P2684" i="1"/>
  <c r="O2684" i="1"/>
  <c r="V2683" i="1"/>
  <c r="P2683" i="1"/>
  <c r="O2683" i="1"/>
  <c r="V2682" i="1"/>
  <c r="P2682" i="1"/>
  <c r="O2682" i="1"/>
  <c r="V2681" i="1"/>
  <c r="P2681" i="1"/>
  <c r="O2681" i="1"/>
  <c r="V2680" i="1"/>
  <c r="P2680" i="1"/>
  <c r="O2680" i="1"/>
  <c r="V2679" i="1"/>
  <c r="P2679" i="1"/>
  <c r="O2679" i="1"/>
  <c r="V2678" i="1"/>
  <c r="P2678" i="1"/>
  <c r="O2678" i="1"/>
  <c r="V2677" i="1"/>
  <c r="P2677" i="1"/>
  <c r="O2677" i="1"/>
  <c r="V2676" i="1"/>
  <c r="P2676" i="1"/>
  <c r="O2676" i="1"/>
  <c r="V2675" i="1"/>
  <c r="P2675" i="1"/>
  <c r="O2675" i="1"/>
  <c r="V2674" i="1"/>
  <c r="P2674" i="1"/>
  <c r="O2674" i="1"/>
  <c r="V2673" i="1"/>
  <c r="P2673" i="1"/>
  <c r="O2673" i="1"/>
  <c r="V2672" i="1"/>
  <c r="P2672" i="1"/>
  <c r="O2672" i="1"/>
  <c r="V2671" i="1"/>
  <c r="P2671" i="1"/>
  <c r="O2671" i="1"/>
  <c r="V2670" i="1"/>
  <c r="P2670" i="1"/>
  <c r="O2670" i="1"/>
  <c r="V2669" i="1"/>
  <c r="P2669" i="1"/>
  <c r="O2669" i="1"/>
  <c r="V2668" i="1"/>
  <c r="P2668" i="1"/>
  <c r="O2668" i="1"/>
  <c r="V2667" i="1"/>
  <c r="P2667" i="1"/>
  <c r="O2667" i="1"/>
  <c r="V2666" i="1"/>
  <c r="P2666" i="1"/>
  <c r="O2666" i="1"/>
  <c r="V2665" i="1"/>
  <c r="P2665" i="1"/>
  <c r="O2665" i="1"/>
  <c r="V2664" i="1"/>
  <c r="P2664" i="1"/>
  <c r="O2664" i="1"/>
  <c r="V2663" i="1"/>
  <c r="P2663" i="1"/>
  <c r="O2663" i="1"/>
  <c r="V2662" i="1"/>
  <c r="P2662" i="1"/>
  <c r="O2662" i="1"/>
  <c r="V2661" i="1"/>
  <c r="P2661" i="1"/>
  <c r="O2661" i="1"/>
  <c r="V2660" i="1"/>
  <c r="P2660" i="1"/>
  <c r="O2660" i="1"/>
  <c r="V2659" i="1"/>
  <c r="P2659" i="1"/>
  <c r="O2659" i="1"/>
  <c r="V2658" i="1"/>
  <c r="P2658" i="1"/>
  <c r="O2658" i="1"/>
  <c r="V2657" i="1"/>
  <c r="P2657" i="1"/>
  <c r="O2657" i="1"/>
  <c r="V2656" i="1"/>
  <c r="P2656" i="1"/>
  <c r="O2656" i="1"/>
  <c r="V2655" i="1"/>
  <c r="P2655" i="1"/>
  <c r="O2655" i="1"/>
  <c r="V2654" i="1"/>
  <c r="P2654" i="1"/>
  <c r="O2654" i="1"/>
  <c r="V2653" i="1"/>
  <c r="P2653" i="1"/>
  <c r="O2653" i="1"/>
  <c r="V2652" i="1"/>
  <c r="P2652" i="1"/>
  <c r="O2652" i="1"/>
  <c r="V2651" i="1"/>
  <c r="P2651" i="1"/>
  <c r="O2651" i="1"/>
  <c r="V2650" i="1"/>
  <c r="P2650" i="1"/>
  <c r="O2650" i="1"/>
  <c r="V2649" i="1"/>
  <c r="P2649" i="1"/>
  <c r="O2649" i="1"/>
  <c r="V2648" i="1"/>
  <c r="P2648" i="1"/>
  <c r="O2648" i="1"/>
  <c r="V2647" i="1"/>
  <c r="P2647" i="1"/>
  <c r="O2647" i="1"/>
  <c r="V2646" i="1"/>
  <c r="P2646" i="1"/>
  <c r="O2646" i="1"/>
  <c r="V2645" i="1"/>
  <c r="P2645" i="1"/>
  <c r="O2645" i="1"/>
  <c r="V2644" i="1"/>
  <c r="P2644" i="1"/>
  <c r="O2644" i="1"/>
  <c r="V2643" i="1"/>
  <c r="P2643" i="1"/>
  <c r="O2643" i="1"/>
  <c r="V2642" i="1"/>
  <c r="P2642" i="1"/>
  <c r="O2642" i="1"/>
  <c r="V2641" i="1"/>
  <c r="P2641" i="1"/>
  <c r="O2641" i="1"/>
  <c r="V2640" i="1"/>
  <c r="P2640" i="1"/>
  <c r="O2640" i="1"/>
  <c r="V2639" i="1"/>
  <c r="P2639" i="1"/>
  <c r="O2639" i="1"/>
  <c r="V2638" i="1"/>
  <c r="P2638" i="1"/>
  <c r="O2638" i="1"/>
  <c r="V2637" i="1"/>
  <c r="P2637" i="1"/>
  <c r="O2637" i="1"/>
  <c r="V2636" i="1"/>
  <c r="P2636" i="1"/>
  <c r="O2636" i="1"/>
  <c r="V2635" i="1"/>
  <c r="P2635" i="1"/>
  <c r="O2635" i="1"/>
  <c r="V2634" i="1"/>
  <c r="P2634" i="1"/>
  <c r="O2634" i="1"/>
  <c r="V2633" i="1"/>
  <c r="P2633" i="1"/>
  <c r="O2633" i="1"/>
  <c r="V2632" i="1"/>
  <c r="P2632" i="1"/>
  <c r="O2632" i="1"/>
  <c r="V2631" i="1"/>
  <c r="P2631" i="1"/>
  <c r="O2631" i="1"/>
  <c r="V2630" i="1"/>
  <c r="P2630" i="1"/>
  <c r="O2630" i="1"/>
  <c r="V2629" i="1"/>
  <c r="P2629" i="1"/>
  <c r="O2629" i="1"/>
  <c r="V2628" i="1"/>
  <c r="P2628" i="1"/>
  <c r="O2628" i="1"/>
  <c r="V2627" i="1"/>
  <c r="P2627" i="1"/>
  <c r="O2627" i="1"/>
  <c r="V2626" i="1"/>
  <c r="P2626" i="1"/>
  <c r="O2626" i="1"/>
  <c r="V2625" i="1"/>
  <c r="P2625" i="1"/>
  <c r="O2625" i="1"/>
  <c r="V2624" i="1"/>
  <c r="P2624" i="1"/>
  <c r="O2624" i="1"/>
  <c r="V2623" i="1"/>
  <c r="P2623" i="1"/>
  <c r="O2623" i="1"/>
  <c r="V2622" i="1"/>
  <c r="P2622" i="1"/>
  <c r="O2622" i="1"/>
  <c r="V2621" i="1"/>
  <c r="P2621" i="1"/>
  <c r="O2621" i="1"/>
  <c r="V2620" i="1"/>
  <c r="P2620" i="1"/>
  <c r="O2620" i="1"/>
  <c r="V2619" i="1"/>
  <c r="P2619" i="1"/>
  <c r="O2619" i="1"/>
  <c r="V2618" i="1"/>
  <c r="P2618" i="1"/>
  <c r="O2618" i="1"/>
  <c r="V2617" i="1"/>
  <c r="P2617" i="1"/>
  <c r="O2617" i="1"/>
  <c r="V2616" i="1"/>
  <c r="P2616" i="1"/>
  <c r="O2616" i="1"/>
  <c r="V2615" i="1"/>
  <c r="P2615" i="1"/>
  <c r="O2615" i="1"/>
  <c r="V2614" i="1"/>
  <c r="P2614" i="1"/>
  <c r="O2614" i="1"/>
  <c r="V2613" i="1"/>
  <c r="P2613" i="1"/>
  <c r="O2613" i="1"/>
  <c r="V2612" i="1"/>
  <c r="P2612" i="1"/>
  <c r="O2612" i="1"/>
  <c r="V2611" i="1"/>
  <c r="P2611" i="1"/>
  <c r="O2611" i="1"/>
  <c r="V2610" i="1"/>
  <c r="P2610" i="1"/>
  <c r="O2610" i="1"/>
  <c r="V2609" i="1"/>
  <c r="P2609" i="1"/>
  <c r="O2609" i="1"/>
  <c r="V2608" i="1"/>
  <c r="P2608" i="1"/>
  <c r="O2608" i="1"/>
  <c r="V2607" i="1"/>
  <c r="P2607" i="1"/>
  <c r="O2607" i="1"/>
  <c r="V2606" i="1"/>
  <c r="P2606" i="1"/>
  <c r="O2606" i="1"/>
  <c r="V2605" i="1"/>
  <c r="P2605" i="1"/>
  <c r="O2605" i="1"/>
  <c r="V2604" i="1"/>
  <c r="P2604" i="1"/>
  <c r="O2604" i="1"/>
  <c r="V2603" i="1"/>
  <c r="P2603" i="1"/>
  <c r="O2603" i="1"/>
  <c r="V2602" i="1"/>
  <c r="P2602" i="1"/>
  <c r="O2602" i="1"/>
  <c r="V2601" i="1"/>
  <c r="P2601" i="1"/>
  <c r="O2601" i="1"/>
  <c r="V2600" i="1"/>
  <c r="P2600" i="1"/>
  <c r="O2600" i="1"/>
  <c r="V2599" i="1"/>
  <c r="P2599" i="1"/>
  <c r="O2599" i="1"/>
  <c r="V2598" i="1"/>
  <c r="P2598" i="1"/>
  <c r="O2598" i="1"/>
  <c r="V2597" i="1"/>
  <c r="P2597" i="1"/>
  <c r="O2597" i="1"/>
  <c r="V2596" i="1"/>
  <c r="P2596" i="1"/>
  <c r="O2596" i="1"/>
  <c r="V2595" i="1"/>
  <c r="P2595" i="1"/>
  <c r="O2595" i="1"/>
  <c r="V2594" i="1"/>
  <c r="P2594" i="1"/>
  <c r="O2594" i="1"/>
  <c r="V2593" i="1"/>
  <c r="P2593" i="1"/>
  <c r="O2593" i="1"/>
  <c r="V2592" i="1"/>
  <c r="P2592" i="1"/>
  <c r="O2592" i="1"/>
  <c r="V2591" i="1"/>
  <c r="P2591" i="1"/>
  <c r="O2591" i="1"/>
  <c r="V2590" i="1"/>
  <c r="P2590" i="1"/>
  <c r="O2590" i="1"/>
  <c r="V2589" i="1"/>
  <c r="P2589" i="1"/>
  <c r="O2589" i="1"/>
  <c r="V2588" i="1"/>
  <c r="P2588" i="1"/>
  <c r="O2588" i="1"/>
  <c r="V2587" i="1"/>
  <c r="P2587" i="1"/>
  <c r="O2587" i="1"/>
  <c r="V2586" i="1"/>
  <c r="P2586" i="1"/>
  <c r="O2586" i="1"/>
  <c r="V2585" i="1"/>
  <c r="P2585" i="1"/>
  <c r="O2585" i="1"/>
  <c r="V2584" i="1"/>
  <c r="P2584" i="1"/>
  <c r="O2584" i="1"/>
  <c r="V2583" i="1"/>
  <c r="P2583" i="1"/>
  <c r="O2583" i="1"/>
  <c r="V2582" i="1"/>
  <c r="P2582" i="1"/>
  <c r="O2582" i="1"/>
  <c r="V2581" i="1"/>
  <c r="P2581" i="1"/>
  <c r="O2581" i="1"/>
  <c r="V2580" i="1"/>
  <c r="P2580" i="1"/>
  <c r="O2580" i="1"/>
  <c r="V2579" i="1"/>
  <c r="P2579" i="1"/>
  <c r="O2579" i="1"/>
  <c r="V2578" i="1"/>
  <c r="P2578" i="1"/>
  <c r="O2578" i="1"/>
  <c r="V2577" i="1"/>
  <c r="P2577" i="1"/>
  <c r="O2577" i="1"/>
  <c r="V2576" i="1"/>
  <c r="P2576" i="1"/>
  <c r="O2576" i="1"/>
  <c r="V2575" i="1"/>
  <c r="P2575" i="1"/>
  <c r="O2575" i="1"/>
  <c r="V2574" i="1"/>
  <c r="P2574" i="1"/>
  <c r="O2574" i="1"/>
  <c r="V2573" i="1"/>
  <c r="P2573" i="1"/>
  <c r="O2573" i="1"/>
  <c r="V2572" i="1"/>
  <c r="P2572" i="1"/>
  <c r="O2572" i="1"/>
  <c r="V2571" i="1"/>
  <c r="P2571" i="1"/>
  <c r="O2571" i="1"/>
  <c r="V2570" i="1"/>
  <c r="P2570" i="1"/>
  <c r="O2570" i="1"/>
  <c r="V2569" i="1"/>
  <c r="P2569" i="1"/>
  <c r="O2569" i="1"/>
  <c r="V2568" i="1"/>
  <c r="P2568" i="1"/>
  <c r="O2568" i="1"/>
  <c r="V2567" i="1"/>
  <c r="P2567" i="1"/>
  <c r="O2567" i="1"/>
  <c r="V2566" i="1"/>
  <c r="P2566" i="1"/>
  <c r="O2566" i="1"/>
  <c r="V2565" i="1"/>
  <c r="P2565" i="1"/>
  <c r="O2565" i="1"/>
  <c r="V2564" i="1"/>
  <c r="P2564" i="1"/>
  <c r="O2564" i="1"/>
  <c r="V2563" i="1"/>
  <c r="P2563" i="1"/>
  <c r="O2563" i="1"/>
  <c r="V2562" i="1"/>
  <c r="P2562" i="1"/>
  <c r="O2562" i="1"/>
  <c r="V2561" i="1"/>
  <c r="P2561" i="1"/>
  <c r="O2561" i="1"/>
  <c r="V2560" i="1"/>
  <c r="P2560" i="1"/>
  <c r="O2560" i="1"/>
  <c r="V2559" i="1"/>
  <c r="P2559" i="1"/>
  <c r="O2559" i="1"/>
  <c r="V2558" i="1"/>
  <c r="P2558" i="1"/>
  <c r="O2558" i="1"/>
  <c r="V2557" i="1"/>
  <c r="P2557" i="1"/>
  <c r="O2557" i="1"/>
  <c r="V2556" i="1"/>
  <c r="P2556" i="1"/>
  <c r="O2556" i="1"/>
  <c r="V2555" i="1"/>
  <c r="P2555" i="1"/>
  <c r="O2555" i="1"/>
  <c r="V2554" i="1"/>
  <c r="P2554" i="1"/>
  <c r="O2554" i="1"/>
  <c r="V2553" i="1"/>
  <c r="P2553" i="1"/>
  <c r="O2553" i="1"/>
  <c r="V2552" i="1"/>
  <c r="P2552" i="1"/>
  <c r="O2552" i="1"/>
  <c r="V2551" i="1"/>
  <c r="P2551" i="1"/>
  <c r="O2551" i="1"/>
  <c r="V2550" i="1"/>
  <c r="P2550" i="1"/>
  <c r="O2550" i="1"/>
  <c r="V2549" i="1"/>
  <c r="P2549" i="1"/>
  <c r="O2549" i="1"/>
  <c r="V2548" i="1"/>
  <c r="P2548" i="1"/>
  <c r="O2548" i="1"/>
  <c r="V2547" i="1"/>
  <c r="P2547" i="1"/>
  <c r="O2547" i="1"/>
  <c r="V2546" i="1"/>
  <c r="P2546" i="1"/>
  <c r="O2546" i="1"/>
  <c r="V2545" i="1"/>
  <c r="P2545" i="1"/>
  <c r="O2545" i="1"/>
  <c r="V2544" i="1"/>
  <c r="P2544" i="1"/>
  <c r="O2544" i="1"/>
  <c r="V2543" i="1"/>
  <c r="P2543" i="1"/>
  <c r="O2543" i="1"/>
  <c r="V2542" i="1"/>
  <c r="P2542" i="1"/>
  <c r="O2542" i="1"/>
  <c r="V2541" i="1"/>
  <c r="P2541" i="1"/>
  <c r="O2541" i="1"/>
  <c r="V2540" i="1"/>
  <c r="P2540" i="1"/>
  <c r="O2540" i="1"/>
  <c r="V2539" i="1"/>
  <c r="P2539" i="1"/>
  <c r="O2539" i="1"/>
  <c r="V2538" i="1"/>
  <c r="P2538" i="1"/>
  <c r="O2538" i="1"/>
  <c r="V2537" i="1"/>
  <c r="P2537" i="1"/>
  <c r="O2537" i="1"/>
  <c r="V2536" i="1"/>
  <c r="P2536" i="1"/>
  <c r="O2536" i="1"/>
  <c r="V2535" i="1"/>
  <c r="P2535" i="1"/>
  <c r="O2535" i="1"/>
  <c r="V2534" i="1"/>
  <c r="P2534" i="1"/>
  <c r="O2534" i="1"/>
  <c r="V2533" i="1"/>
  <c r="P2533" i="1"/>
  <c r="O2533" i="1"/>
  <c r="V2532" i="1"/>
  <c r="P2532" i="1"/>
  <c r="O2532" i="1"/>
  <c r="V2531" i="1"/>
  <c r="P2531" i="1"/>
  <c r="O2531" i="1"/>
  <c r="V2530" i="1"/>
  <c r="P2530" i="1"/>
  <c r="O2530" i="1"/>
  <c r="V2529" i="1"/>
  <c r="P2529" i="1"/>
  <c r="O2529" i="1"/>
  <c r="V2528" i="1"/>
  <c r="P2528" i="1"/>
  <c r="O2528" i="1"/>
  <c r="V2527" i="1"/>
  <c r="P2527" i="1"/>
  <c r="O2527" i="1"/>
  <c r="V2526" i="1"/>
  <c r="P2526" i="1"/>
  <c r="O2526" i="1"/>
  <c r="V2525" i="1"/>
  <c r="P2525" i="1"/>
  <c r="O2525" i="1"/>
  <c r="V2524" i="1"/>
  <c r="P2524" i="1"/>
  <c r="O2524" i="1"/>
  <c r="V2523" i="1"/>
  <c r="P2523" i="1"/>
  <c r="O2523" i="1"/>
  <c r="V2522" i="1"/>
  <c r="P2522" i="1"/>
  <c r="O2522" i="1"/>
  <c r="V2521" i="1"/>
  <c r="P2521" i="1"/>
  <c r="O2521" i="1"/>
  <c r="V2520" i="1"/>
  <c r="P2520" i="1"/>
  <c r="O2520" i="1"/>
  <c r="V2519" i="1"/>
  <c r="P2519" i="1"/>
  <c r="O2519" i="1"/>
  <c r="V2518" i="1"/>
  <c r="P2518" i="1"/>
  <c r="O2518" i="1"/>
  <c r="V2517" i="1"/>
  <c r="P2517" i="1"/>
  <c r="O2517" i="1"/>
  <c r="V2516" i="1"/>
  <c r="P2516" i="1"/>
  <c r="O2516" i="1"/>
  <c r="V2515" i="1"/>
  <c r="P2515" i="1"/>
  <c r="O2515" i="1"/>
  <c r="V2514" i="1"/>
  <c r="P2514" i="1"/>
  <c r="O2514" i="1"/>
  <c r="V2513" i="1"/>
  <c r="P2513" i="1"/>
  <c r="O2513" i="1"/>
  <c r="V2512" i="1"/>
  <c r="P2512" i="1"/>
  <c r="O2512" i="1"/>
  <c r="V2511" i="1"/>
  <c r="P2511" i="1"/>
  <c r="O2511" i="1"/>
  <c r="V2510" i="1"/>
  <c r="P2510" i="1"/>
  <c r="O2510" i="1"/>
  <c r="V2509" i="1"/>
  <c r="P2509" i="1"/>
  <c r="O2509" i="1"/>
  <c r="V2508" i="1"/>
  <c r="P2508" i="1"/>
  <c r="O2508" i="1"/>
  <c r="V2507" i="1"/>
  <c r="P2507" i="1"/>
  <c r="O2507" i="1"/>
  <c r="V2506" i="1"/>
  <c r="P2506" i="1"/>
  <c r="O2506" i="1"/>
  <c r="V2505" i="1"/>
  <c r="P2505" i="1"/>
  <c r="O2505" i="1"/>
  <c r="V2504" i="1"/>
  <c r="P2504" i="1"/>
  <c r="O2504" i="1"/>
  <c r="V2503" i="1"/>
  <c r="P2503" i="1"/>
  <c r="O2503" i="1"/>
  <c r="V2502" i="1"/>
  <c r="P2502" i="1"/>
  <c r="O2502" i="1"/>
  <c r="V2501" i="1"/>
  <c r="P2501" i="1"/>
  <c r="O2501" i="1"/>
  <c r="V2500" i="1"/>
  <c r="P2500" i="1"/>
  <c r="O2500" i="1"/>
  <c r="V2499" i="1"/>
  <c r="P2499" i="1"/>
  <c r="O2499" i="1"/>
  <c r="V2498" i="1"/>
  <c r="P2498" i="1"/>
  <c r="O2498" i="1"/>
  <c r="V2497" i="1"/>
  <c r="P2497" i="1"/>
  <c r="O2497" i="1"/>
  <c r="V2496" i="1"/>
  <c r="P2496" i="1"/>
  <c r="O2496" i="1"/>
  <c r="V2495" i="1"/>
  <c r="P2495" i="1"/>
  <c r="O2495" i="1"/>
  <c r="V2494" i="1"/>
  <c r="P2494" i="1"/>
  <c r="O2494" i="1"/>
  <c r="V2493" i="1"/>
  <c r="P2493" i="1"/>
  <c r="O2493" i="1"/>
  <c r="V2492" i="1"/>
  <c r="P2492" i="1"/>
  <c r="O2492" i="1"/>
  <c r="V2491" i="1"/>
  <c r="P2491" i="1"/>
  <c r="O2491" i="1"/>
  <c r="V2490" i="1"/>
  <c r="P2490" i="1"/>
  <c r="O2490" i="1"/>
  <c r="V2489" i="1"/>
  <c r="P2489" i="1"/>
  <c r="O2489" i="1"/>
  <c r="V2488" i="1"/>
  <c r="P2488" i="1"/>
  <c r="O2488" i="1"/>
  <c r="V2487" i="1"/>
  <c r="P2487" i="1"/>
  <c r="O2487" i="1"/>
  <c r="V2486" i="1"/>
  <c r="P2486" i="1"/>
  <c r="O2486" i="1"/>
  <c r="V2485" i="1"/>
  <c r="P2485" i="1"/>
  <c r="O2485" i="1"/>
  <c r="V2484" i="1"/>
  <c r="P2484" i="1"/>
  <c r="O2484" i="1"/>
  <c r="V2483" i="1"/>
  <c r="P2483" i="1"/>
  <c r="O2483" i="1"/>
  <c r="V2482" i="1"/>
  <c r="P2482" i="1"/>
  <c r="O2482" i="1"/>
  <c r="V2481" i="1"/>
  <c r="P2481" i="1"/>
  <c r="O2481" i="1"/>
  <c r="V2480" i="1"/>
  <c r="P2480" i="1"/>
  <c r="O2480" i="1"/>
  <c r="V2479" i="1"/>
  <c r="P2479" i="1"/>
  <c r="O2479" i="1"/>
  <c r="V2478" i="1"/>
  <c r="P2478" i="1"/>
  <c r="O2478" i="1"/>
  <c r="V2477" i="1"/>
  <c r="P2477" i="1"/>
  <c r="O2477" i="1"/>
  <c r="V2476" i="1"/>
  <c r="P2476" i="1"/>
  <c r="O2476" i="1"/>
  <c r="V2475" i="1"/>
  <c r="P2475" i="1"/>
  <c r="O2475" i="1"/>
  <c r="V2474" i="1"/>
  <c r="P2474" i="1"/>
  <c r="O2474" i="1"/>
  <c r="V2473" i="1"/>
  <c r="P2473" i="1"/>
  <c r="O2473" i="1"/>
  <c r="V2472" i="1"/>
  <c r="P2472" i="1"/>
  <c r="O2472" i="1"/>
  <c r="V2471" i="1"/>
  <c r="P2471" i="1"/>
  <c r="O2471" i="1"/>
  <c r="V2470" i="1"/>
  <c r="P2470" i="1"/>
  <c r="O2470" i="1"/>
  <c r="V2469" i="1"/>
  <c r="P2469" i="1"/>
  <c r="O2469" i="1"/>
  <c r="V2468" i="1"/>
  <c r="P2468" i="1"/>
  <c r="O2468" i="1"/>
  <c r="V2467" i="1"/>
  <c r="P2467" i="1"/>
  <c r="O2467" i="1"/>
  <c r="V2466" i="1"/>
  <c r="P2466" i="1"/>
  <c r="O2466" i="1"/>
  <c r="V2465" i="1"/>
  <c r="P2465" i="1"/>
  <c r="O2465" i="1"/>
  <c r="V2464" i="1"/>
  <c r="P2464" i="1"/>
  <c r="O2464" i="1"/>
  <c r="V2463" i="1"/>
  <c r="P2463" i="1"/>
  <c r="O2463" i="1"/>
  <c r="V2462" i="1"/>
  <c r="P2462" i="1"/>
  <c r="O2462" i="1"/>
  <c r="V2461" i="1"/>
  <c r="P2461" i="1"/>
  <c r="O2461" i="1"/>
  <c r="V2460" i="1"/>
  <c r="P2460" i="1"/>
  <c r="O2460" i="1"/>
  <c r="V2459" i="1"/>
  <c r="P2459" i="1"/>
  <c r="O2459" i="1"/>
  <c r="V2458" i="1"/>
  <c r="P2458" i="1"/>
  <c r="O2458" i="1"/>
  <c r="V2457" i="1"/>
  <c r="P2457" i="1"/>
  <c r="O2457" i="1"/>
  <c r="V2456" i="1"/>
  <c r="P2456" i="1"/>
  <c r="O2456" i="1"/>
  <c r="V2455" i="1"/>
  <c r="P2455" i="1"/>
  <c r="O2455" i="1"/>
  <c r="V2454" i="1"/>
  <c r="P2454" i="1"/>
  <c r="O2454" i="1"/>
  <c r="V2453" i="1"/>
  <c r="P2453" i="1"/>
  <c r="O2453" i="1"/>
  <c r="V2452" i="1"/>
  <c r="P2452" i="1"/>
  <c r="O2452" i="1"/>
  <c r="V2451" i="1"/>
  <c r="P2451" i="1"/>
  <c r="O2451" i="1"/>
  <c r="V2450" i="1"/>
  <c r="P2450" i="1"/>
  <c r="O2450" i="1"/>
  <c r="V2449" i="1"/>
  <c r="P2449" i="1"/>
  <c r="O2449" i="1"/>
  <c r="V2448" i="1"/>
  <c r="P2448" i="1"/>
  <c r="O2448" i="1"/>
  <c r="V2447" i="1"/>
  <c r="P2447" i="1"/>
  <c r="O2447" i="1"/>
  <c r="V2446" i="1"/>
  <c r="P2446" i="1"/>
  <c r="O2446" i="1"/>
  <c r="V2445" i="1"/>
  <c r="P2445" i="1"/>
  <c r="O2445" i="1"/>
  <c r="V2444" i="1"/>
  <c r="P2444" i="1"/>
  <c r="O2444" i="1"/>
  <c r="V2443" i="1"/>
  <c r="P2443" i="1"/>
  <c r="O2443" i="1"/>
  <c r="V2442" i="1"/>
  <c r="P2442" i="1"/>
  <c r="O2442" i="1"/>
  <c r="V2441" i="1"/>
  <c r="P2441" i="1"/>
  <c r="O2441" i="1"/>
  <c r="V2440" i="1"/>
  <c r="P2440" i="1"/>
  <c r="O2440" i="1"/>
  <c r="V2439" i="1"/>
  <c r="P2439" i="1"/>
  <c r="O2439" i="1"/>
  <c r="V2438" i="1"/>
  <c r="P2438" i="1"/>
  <c r="O2438" i="1"/>
  <c r="V2437" i="1"/>
  <c r="P2437" i="1"/>
  <c r="O2437" i="1"/>
  <c r="V2436" i="1"/>
  <c r="P2436" i="1"/>
  <c r="O2436" i="1"/>
  <c r="V2435" i="1"/>
  <c r="P2435" i="1"/>
  <c r="O2435" i="1"/>
  <c r="V2434" i="1"/>
  <c r="P2434" i="1"/>
  <c r="O2434" i="1"/>
  <c r="V2433" i="1"/>
  <c r="P2433" i="1"/>
  <c r="O2433" i="1"/>
  <c r="V2432" i="1"/>
  <c r="P2432" i="1"/>
  <c r="O2432" i="1"/>
  <c r="V2431" i="1"/>
  <c r="P2431" i="1"/>
  <c r="O2431" i="1"/>
  <c r="V2430" i="1"/>
  <c r="P2430" i="1"/>
  <c r="O2430" i="1"/>
  <c r="V2429" i="1"/>
  <c r="P2429" i="1"/>
  <c r="O2429" i="1"/>
  <c r="V2428" i="1"/>
  <c r="P2428" i="1"/>
  <c r="O2428" i="1"/>
  <c r="V2427" i="1"/>
  <c r="P2427" i="1"/>
  <c r="O2427" i="1"/>
  <c r="V2426" i="1"/>
  <c r="P2426" i="1"/>
  <c r="O2426" i="1"/>
  <c r="V2425" i="1"/>
  <c r="P2425" i="1"/>
  <c r="O2425" i="1"/>
  <c r="V2424" i="1"/>
  <c r="P2424" i="1"/>
  <c r="O2424" i="1"/>
  <c r="V2423" i="1"/>
  <c r="P2423" i="1"/>
  <c r="O2423" i="1"/>
  <c r="V2422" i="1"/>
  <c r="P2422" i="1"/>
  <c r="O2422" i="1"/>
  <c r="V2421" i="1"/>
  <c r="P2421" i="1"/>
  <c r="O2421" i="1"/>
  <c r="V2420" i="1"/>
  <c r="P2420" i="1"/>
  <c r="O2420" i="1"/>
  <c r="V2419" i="1"/>
  <c r="P2419" i="1"/>
  <c r="O2419" i="1"/>
  <c r="V2418" i="1"/>
  <c r="P2418" i="1"/>
  <c r="O2418" i="1"/>
  <c r="V2417" i="1"/>
  <c r="P2417" i="1"/>
  <c r="O2417" i="1"/>
  <c r="V2416" i="1"/>
  <c r="P2416" i="1"/>
  <c r="O2416" i="1"/>
  <c r="V2415" i="1"/>
  <c r="P2415" i="1"/>
  <c r="O2415" i="1"/>
  <c r="V2414" i="1"/>
  <c r="P2414" i="1"/>
  <c r="O2414" i="1"/>
  <c r="V2413" i="1"/>
  <c r="P2413" i="1"/>
  <c r="O2413" i="1"/>
  <c r="V2412" i="1"/>
  <c r="P2412" i="1"/>
  <c r="O2412" i="1"/>
  <c r="V2411" i="1"/>
  <c r="P2411" i="1"/>
  <c r="O2411" i="1"/>
  <c r="V2410" i="1"/>
  <c r="P2410" i="1"/>
  <c r="O2410" i="1"/>
  <c r="V2409" i="1"/>
  <c r="P2409" i="1"/>
  <c r="O2409" i="1"/>
  <c r="V2408" i="1"/>
  <c r="P2408" i="1"/>
  <c r="O2408" i="1"/>
  <c r="V2407" i="1"/>
  <c r="P2407" i="1"/>
  <c r="O2407" i="1"/>
  <c r="V2406" i="1"/>
  <c r="P2406" i="1"/>
  <c r="O2406" i="1"/>
  <c r="V2405" i="1"/>
  <c r="P2405" i="1"/>
  <c r="O2405" i="1"/>
  <c r="V2404" i="1"/>
  <c r="P2404" i="1"/>
  <c r="O2404" i="1"/>
  <c r="V2403" i="1"/>
  <c r="P2403" i="1"/>
  <c r="O2403" i="1"/>
  <c r="V2402" i="1"/>
  <c r="P2402" i="1"/>
  <c r="O2402" i="1"/>
  <c r="V2401" i="1"/>
  <c r="P2401" i="1"/>
  <c r="O2401" i="1"/>
  <c r="V2400" i="1"/>
  <c r="P2400" i="1"/>
  <c r="O2400" i="1"/>
  <c r="V2399" i="1"/>
  <c r="P2399" i="1"/>
  <c r="O2399" i="1"/>
  <c r="V2398" i="1"/>
  <c r="P2398" i="1"/>
  <c r="O2398" i="1"/>
  <c r="V2397" i="1"/>
  <c r="P2397" i="1"/>
  <c r="O2397" i="1"/>
  <c r="V2396" i="1"/>
  <c r="P2396" i="1"/>
  <c r="O2396" i="1"/>
  <c r="V2395" i="1"/>
  <c r="P2395" i="1"/>
  <c r="O2395" i="1"/>
  <c r="V2394" i="1"/>
  <c r="P2394" i="1"/>
  <c r="O2394" i="1"/>
  <c r="V2393" i="1"/>
  <c r="P2393" i="1"/>
  <c r="O2393" i="1"/>
  <c r="V2392" i="1"/>
  <c r="P2392" i="1"/>
  <c r="O2392" i="1"/>
  <c r="V2391" i="1"/>
  <c r="P2391" i="1"/>
  <c r="O2391" i="1"/>
  <c r="V2390" i="1"/>
  <c r="P2390" i="1"/>
  <c r="O2390" i="1"/>
  <c r="V2389" i="1"/>
  <c r="P2389" i="1"/>
  <c r="O2389" i="1"/>
  <c r="V2388" i="1"/>
  <c r="P2388" i="1"/>
  <c r="O2388" i="1"/>
  <c r="V2387" i="1"/>
  <c r="P2387" i="1"/>
  <c r="O2387" i="1"/>
  <c r="V2386" i="1"/>
  <c r="P2386" i="1"/>
  <c r="O2386" i="1"/>
  <c r="V2385" i="1"/>
  <c r="P2385" i="1"/>
  <c r="O2385" i="1"/>
  <c r="V2384" i="1"/>
  <c r="P2384" i="1"/>
  <c r="O2384" i="1"/>
  <c r="V2383" i="1"/>
  <c r="P2383" i="1"/>
  <c r="O2383" i="1"/>
  <c r="V2382" i="1"/>
  <c r="P2382" i="1"/>
  <c r="O2382" i="1"/>
  <c r="V2381" i="1"/>
  <c r="P2381" i="1"/>
  <c r="O2381" i="1"/>
  <c r="V2380" i="1"/>
  <c r="P2380" i="1"/>
  <c r="O2380" i="1"/>
  <c r="V2379" i="1"/>
  <c r="P2379" i="1"/>
  <c r="O2379" i="1"/>
  <c r="V2378" i="1"/>
  <c r="P2378" i="1"/>
  <c r="O2378" i="1"/>
  <c r="V2377" i="1"/>
  <c r="P2377" i="1"/>
  <c r="O2377" i="1"/>
  <c r="V2376" i="1"/>
  <c r="P2376" i="1"/>
  <c r="O2376" i="1"/>
  <c r="V2375" i="1"/>
  <c r="P2375" i="1"/>
  <c r="O2375" i="1"/>
  <c r="V2374" i="1"/>
  <c r="P2374" i="1"/>
  <c r="O2374" i="1"/>
  <c r="V2373" i="1"/>
  <c r="P2373" i="1"/>
  <c r="O2373" i="1"/>
  <c r="V2372" i="1"/>
  <c r="P2372" i="1"/>
  <c r="O2372" i="1"/>
  <c r="V2371" i="1"/>
  <c r="P2371" i="1"/>
  <c r="O2371" i="1"/>
  <c r="V2370" i="1"/>
  <c r="P2370" i="1"/>
  <c r="O2370" i="1"/>
  <c r="V2369" i="1"/>
  <c r="P2369" i="1"/>
  <c r="O2369" i="1"/>
  <c r="V2368" i="1"/>
  <c r="P2368" i="1"/>
  <c r="O2368" i="1"/>
  <c r="V2367" i="1"/>
  <c r="P2367" i="1"/>
  <c r="O2367" i="1"/>
  <c r="V2366" i="1"/>
  <c r="P2366" i="1"/>
  <c r="O2366" i="1"/>
  <c r="V2365" i="1"/>
  <c r="P2365" i="1"/>
  <c r="O2365" i="1"/>
  <c r="V2364" i="1"/>
  <c r="P2364" i="1"/>
  <c r="O2364" i="1"/>
  <c r="V2363" i="1"/>
  <c r="P2363" i="1"/>
  <c r="O2363" i="1"/>
  <c r="V2362" i="1"/>
  <c r="P2362" i="1"/>
  <c r="O2362" i="1"/>
  <c r="V2361" i="1"/>
  <c r="P2361" i="1"/>
  <c r="O2361" i="1"/>
  <c r="V2360" i="1"/>
  <c r="P2360" i="1"/>
  <c r="O2360" i="1"/>
  <c r="V2359" i="1"/>
  <c r="P2359" i="1"/>
  <c r="O2359" i="1"/>
  <c r="V2358" i="1"/>
  <c r="P2358" i="1"/>
  <c r="O2358" i="1"/>
  <c r="V2357" i="1"/>
  <c r="P2357" i="1"/>
  <c r="O2357" i="1"/>
  <c r="V2356" i="1"/>
  <c r="P2356" i="1"/>
  <c r="O2356" i="1"/>
  <c r="V2355" i="1"/>
  <c r="P2355" i="1"/>
  <c r="O2355" i="1"/>
  <c r="V2354" i="1"/>
  <c r="P2354" i="1"/>
  <c r="O2354" i="1"/>
  <c r="V2353" i="1"/>
  <c r="P2353" i="1"/>
  <c r="O2353" i="1"/>
  <c r="V2352" i="1"/>
  <c r="P2352" i="1"/>
  <c r="O2352" i="1"/>
  <c r="V2351" i="1"/>
  <c r="P2351" i="1"/>
  <c r="O2351" i="1"/>
  <c r="V2350" i="1"/>
  <c r="P2350" i="1"/>
  <c r="O2350" i="1"/>
  <c r="V2349" i="1"/>
  <c r="P2349" i="1"/>
  <c r="O2349" i="1"/>
  <c r="V2348" i="1"/>
  <c r="P2348" i="1"/>
  <c r="O2348" i="1"/>
  <c r="V2347" i="1"/>
  <c r="P2347" i="1"/>
  <c r="O2347" i="1"/>
  <c r="V2346" i="1"/>
  <c r="P2346" i="1"/>
  <c r="O2346" i="1"/>
  <c r="V2345" i="1"/>
  <c r="P2345" i="1"/>
  <c r="O2345" i="1"/>
  <c r="V2344" i="1"/>
  <c r="P2344" i="1"/>
  <c r="O2344" i="1"/>
  <c r="V2343" i="1"/>
  <c r="P2343" i="1"/>
  <c r="O2343" i="1"/>
  <c r="V2342" i="1"/>
  <c r="P2342" i="1"/>
  <c r="O2342" i="1"/>
  <c r="V2341" i="1"/>
  <c r="P2341" i="1"/>
  <c r="O2341" i="1"/>
  <c r="V2340" i="1"/>
  <c r="P2340" i="1"/>
  <c r="O2340" i="1"/>
  <c r="V2339" i="1"/>
  <c r="P2339" i="1"/>
  <c r="O2339" i="1"/>
  <c r="V2338" i="1"/>
  <c r="P2338" i="1"/>
  <c r="O2338" i="1"/>
  <c r="V2337" i="1"/>
  <c r="P2337" i="1"/>
  <c r="O2337" i="1"/>
  <c r="V2336" i="1"/>
  <c r="P2336" i="1"/>
  <c r="O2336" i="1"/>
  <c r="V2335" i="1"/>
  <c r="P2335" i="1"/>
  <c r="O2335" i="1"/>
  <c r="V2334" i="1"/>
  <c r="P2334" i="1"/>
  <c r="O2334" i="1"/>
  <c r="V2333" i="1"/>
  <c r="P2333" i="1"/>
  <c r="O2333" i="1"/>
  <c r="V2332" i="1"/>
  <c r="P2332" i="1"/>
  <c r="O2332" i="1"/>
  <c r="V2331" i="1"/>
  <c r="P2331" i="1"/>
  <c r="O2331" i="1"/>
  <c r="V2330" i="1"/>
  <c r="P2330" i="1"/>
  <c r="O2330" i="1"/>
  <c r="V2329" i="1"/>
  <c r="P2329" i="1"/>
  <c r="O2329" i="1"/>
  <c r="V2328" i="1"/>
  <c r="P2328" i="1"/>
  <c r="O2328" i="1"/>
  <c r="V2327" i="1"/>
  <c r="P2327" i="1"/>
  <c r="O2327" i="1"/>
  <c r="V2326" i="1"/>
  <c r="P2326" i="1"/>
  <c r="O2326" i="1"/>
  <c r="V2325" i="1"/>
  <c r="P2325" i="1"/>
  <c r="O2325" i="1"/>
  <c r="V2324" i="1"/>
  <c r="P2324" i="1"/>
  <c r="O2324" i="1"/>
  <c r="V2323" i="1"/>
  <c r="P2323" i="1"/>
  <c r="O2323" i="1"/>
  <c r="V2322" i="1"/>
  <c r="P2322" i="1"/>
  <c r="O2322" i="1"/>
  <c r="V2321" i="1"/>
  <c r="P2321" i="1"/>
  <c r="O2321" i="1"/>
  <c r="V2320" i="1"/>
  <c r="P2320" i="1"/>
  <c r="O2320" i="1"/>
  <c r="V2319" i="1"/>
  <c r="P2319" i="1"/>
  <c r="O2319" i="1"/>
  <c r="V2318" i="1"/>
  <c r="P2318" i="1"/>
  <c r="O2318" i="1"/>
  <c r="V2317" i="1"/>
  <c r="P2317" i="1"/>
  <c r="O2317" i="1"/>
  <c r="V2316" i="1"/>
  <c r="P2316" i="1"/>
  <c r="O2316" i="1"/>
  <c r="V2315" i="1"/>
  <c r="P2315" i="1"/>
  <c r="O2315" i="1"/>
  <c r="V2314" i="1"/>
  <c r="P2314" i="1"/>
  <c r="O2314" i="1"/>
  <c r="V2313" i="1"/>
  <c r="P2313" i="1"/>
  <c r="O2313" i="1"/>
  <c r="V2312" i="1"/>
  <c r="P2312" i="1"/>
  <c r="O2312" i="1"/>
  <c r="V2311" i="1"/>
  <c r="P2311" i="1"/>
  <c r="O2311" i="1"/>
  <c r="V2310" i="1"/>
  <c r="P2310" i="1"/>
  <c r="O2310" i="1"/>
  <c r="V2309" i="1"/>
  <c r="P2309" i="1"/>
  <c r="O2309" i="1"/>
  <c r="V2308" i="1"/>
  <c r="P2308" i="1"/>
  <c r="O2308" i="1"/>
  <c r="V2307" i="1"/>
  <c r="P2307" i="1"/>
  <c r="O2307" i="1"/>
  <c r="V2306" i="1"/>
  <c r="P2306" i="1"/>
  <c r="O2306" i="1"/>
  <c r="V2305" i="1"/>
  <c r="P2305" i="1"/>
  <c r="O2305" i="1"/>
  <c r="V2304" i="1"/>
  <c r="P2304" i="1"/>
  <c r="O2304" i="1"/>
  <c r="V2303" i="1"/>
  <c r="P2303" i="1"/>
  <c r="O2303" i="1"/>
  <c r="V2302" i="1"/>
  <c r="P2302" i="1"/>
  <c r="O2302" i="1"/>
  <c r="V2301" i="1"/>
  <c r="P2301" i="1"/>
  <c r="O2301" i="1"/>
  <c r="V2300" i="1"/>
  <c r="P2300" i="1"/>
  <c r="O2300" i="1"/>
  <c r="V2299" i="1"/>
  <c r="P2299" i="1"/>
  <c r="O2299" i="1"/>
  <c r="V2298" i="1"/>
  <c r="P2298" i="1"/>
  <c r="O2298" i="1"/>
  <c r="V2297" i="1"/>
  <c r="P2297" i="1"/>
  <c r="O2297" i="1"/>
  <c r="V2296" i="1"/>
  <c r="P2296" i="1"/>
  <c r="O2296" i="1"/>
  <c r="V2295" i="1"/>
  <c r="P2295" i="1"/>
  <c r="O2295" i="1"/>
  <c r="V2294" i="1"/>
  <c r="P2294" i="1"/>
  <c r="O2294" i="1"/>
  <c r="V2293" i="1"/>
  <c r="P2293" i="1"/>
  <c r="O2293" i="1"/>
  <c r="V2292" i="1"/>
  <c r="P2292" i="1"/>
  <c r="O2292" i="1"/>
  <c r="V2291" i="1"/>
  <c r="P2291" i="1"/>
  <c r="O2291" i="1"/>
  <c r="V2290" i="1"/>
  <c r="P2290" i="1"/>
  <c r="O2290" i="1"/>
  <c r="V2289" i="1"/>
  <c r="P2289" i="1"/>
  <c r="O2289" i="1"/>
  <c r="V2288" i="1"/>
  <c r="P2288" i="1"/>
  <c r="O2288" i="1"/>
  <c r="V2287" i="1"/>
  <c r="P2287" i="1"/>
  <c r="O2287" i="1"/>
  <c r="V2286" i="1"/>
  <c r="P2286" i="1"/>
  <c r="O2286" i="1"/>
  <c r="V2285" i="1"/>
  <c r="P2285" i="1"/>
  <c r="O2285" i="1"/>
  <c r="V2284" i="1"/>
  <c r="P2284" i="1"/>
  <c r="O2284" i="1"/>
  <c r="V2283" i="1"/>
  <c r="P2283" i="1"/>
  <c r="O2283" i="1"/>
  <c r="V2282" i="1"/>
  <c r="P2282" i="1"/>
  <c r="O2282" i="1"/>
  <c r="V2281" i="1"/>
  <c r="P2281" i="1"/>
  <c r="O2281" i="1"/>
  <c r="V2280" i="1"/>
  <c r="P2280" i="1"/>
  <c r="O2280" i="1"/>
  <c r="V2279" i="1"/>
  <c r="P2279" i="1"/>
  <c r="O2279" i="1"/>
  <c r="V2278" i="1"/>
  <c r="P2278" i="1"/>
  <c r="O2278" i="1"/>
  <c r="V2277" i="1"/>
  <c r="P2277" i="1"/>
  <c r="O2277" i="1"/>
  <c r="V2276" i="1"/>
  <c r="P2276" i="1"/>
  <c r="O2276" i="1"/>
  <c r="V2275" i="1"/>
  <c r="P2275" i="1"/>
  <c r="O2275" i="1"/>
  <c r="V2274" i="1"/>
  <c r="P2274" i="1"/>
  <c r="O2274" i="1"/>
  <c r="V2273" i="1"/>
  <c r="P2273" i="1"/>
  <c r="O2273" i="1"/>
  <c r="V2272" i="1"/>
  <c r="P2272" i="1"/>
  <c r="O2272" i="1"/>
  <c r="V2271" i="1"/>
  <c r="P2271" i="1"/>
  <c r="O2271" i="1"/>
  <c r="V2270" i="1"/>
  <c r="P2270" i="1"/>
  <c r="O2270" i="1"/>
  <c r="V2269" i="1"/>
  <c r="P2269" i="1"/>
  <c r="O2269" i="1"/>
  <c r="V2268" i="1"/>
  <c r="P2268" i="1"/>
  <c r="O2268" i="1"/>
  <c r="V2267" i="1"/>
  <c r="P2267" i="1"/>
  <c r="O2267" i="1"/>
  <c r="V2266" i="1"/>
  <c r="P2266" i="1"/>
  <c r="O2266" i="1"/>
  <c r="V2265" i="1"/>
  <c r="P2265" i="1"/>
  <c r="O2265" i="1"/>
  <c r="V2264" i="1"/>
  <c r="Q2264" i="1"/>
  <c r="P2264" i="1"/>
  <c r="O2264" i="1"/>
  <c r="V2263" i="1"/>
  <c r="Q2263" i="1"/>
  <c r="P2263" i="1"/>
  <c r="O2263" i="1"/>
  <c r="V2262" i="1"/>
  <c r="Q2262" i="1"/>
  <c r="P2262" i="1"/>
  <c r="O2262" i="1"/>
  <c r="V2261" i="1"/>
  <c r="Q2261" i="1"/>
  <c r="P2261" i="1"/>
  <c r="O2261" i="1"/>
  <c r="V2260" i="1"/>
  <c r="Q2260" i="1"/>
  <c r="P2260" i="1"/>
  <c r="O2260" i="1"/>
  <c r="V2259" i="1"/>
  <c r="Q2259" i="1"/>
  <c r="P2259" i="1"/>
  <c r="O2259" i="1"/>
  <c r="V2258" i="1"/>
  <c r="Q2258" i="1"/>
  <c r="P2258" i="1"/>
  <c r="O2258" i="1"/>
  <c r="V2257" i="1"/>
  <c r="Q2257" i="1"/>
  <c r="P2257" i="1"/>
  <c r="O2257" i="1"/>
  <c r="V2256" i="1"/>
  <c r="Q2256" i="1"/>
  <c r="P2256" i="1"/>
  <c r="O2256" i="1"/>
  <c r="V2255" i="1"/>
  <c r="P2255" i="1"/>
  <c r="O2255" i="1"/>
  <c r="V2254" i="1"/>
  <c r="P2254" i="1"/>
  <c r="O2254" i="1"/>
  <c r="V2253" i="1"/>
  <c r="P2253" i="1"/>
  <c r="O2253" i="1"/>
  <c r="V2252" i="1"/>
  <c r="P2252" i="1"/>
  <c r="O2252" i="1"/>
  <c r="V2251" i="1"/>
  <c r="P2251" i="1"/>
  <c r="O2251" i="1"/>
  <c r="V2250" i="1"/>
  <c r="P2250" i="1"/>
  <c r="O2250" i="1"/>
  <c r="V2249" i="1"/>
  <c r="P2249" i="1"/>
  <c r="O2249" i="1"/>
  <c r="V2248" i="1"/>
  <c r="P2248" i="1"/>
  <c r="O2248" i="1"/>
  <c r="V2247" i="1"/>
  <c r="P2247" i="1"/>
  <c r="O2247" i="1"/>
  <c r="V2246" i="1"/>
  <c r="P2246" i="1"/>
  <c r="O2246" i="1"/>
  <c r="V2245" i="1"/>
  <c r="P2245" i="1"/>
  <c r="O2245" i="1"/>
  <c r="V2244" i="1"/>
  <c r="P2244" i="1"/>
  <c r="O2244" i="1"/>
  <c r="V2243" i="1"/>
  <c r="P2243" i="1"/>
  <c r="O2243" i="1"/>
  <c r="V2242" i="1"/>
  <c r="P2242" i="1"/>
  <c r="O2242" i="1"/>
  <c r="V2241" i="1"/>
  <c r="P2241" i="1"/>
  <c r="O2241" i="1"/>
  <c r="V2240" i="1"/>
  <c r="P2240" i="1"/>
  <c r="O2240" i="1"/>
  <c r="V2239" i="1"/>
  <c r="P2239" i="1"/>
  <c r="O2239" i="1"/>
  <c r="V2238" i="1"/>
  <c r="P2238" i="1"/>
  <c r="O2238" i="1"/>
  <c r="V2237" i="1"/>
  <c r="P2237" i="1"/>
  <c r="O2237" i="1"/>
  <c r="V2236" i="1"/>
  <c r="P2236" i="1"/>
  <c r="O2236" i="1"/>
  <c r="V2235" i="1"/>
  <c r="Q2235" i="1"/>
  <c r="P2235" i="1"/>
  <c r="O2235" i="1"/>
  <c r="V2234" i="1"/>
  <c r="Q2234" i="1"/>
  <c r="P2234" i="1"/>
  <c r="O2234" i="1"/>
  <c r="V2233" i="1"/>
  <c r="Q2233" i="1"/>
  <c r="P2233" i="1"/>
  <c r="O2233" i="1"/>
  <c r="V2232" i="1"/>
  <c r="Q2232" i="1"/>
  <c r="P2232" i="1"/>
  <c r="O2232" i="1"/>
  <c r="V2231" i="1"/>
  <c r="Q2231" i="1"/>
  <c r="P2231" i="1"/>
  <c r="O2231" i="1"/>
  <c r="V2230" i="1"/>
  <c r="Q2230" i="1"/>
  <c r="P2230" i="1"/>
  <c r="O2230" i="1"/>
  <c r="V2229" i="1"/>
  <c r="Q2229" i="1"/>
  <c r="P2229" i="1"/>
  <c r="O2229" i="1"/>
  <c r="V2228" i="1"/>
  <c r="Q2228" i="1"/>
  <c r="P2228" i="1"/>
  <c r="O2228" i="1"/>
  <c r="V2227" i="1"/>
  <c r="Q2227" i="1"/>
  <c r="P2227" i="1"/>
  <c r="O2227" i="1"/>
  <c r="V2226" i="1"/>
  <c r="Q2226" i="1"/>
  <c r="P2226" i="1"/>
  <c r="O2226" i="1"/>
  <c r="N2226" i="1"/>
  <c r="V2225" i="1"/>
  <c r="Q2225" i="1"/>
  <c r="P2225" i="1"/>
  <c r="O2225" i="1"/>
  <c r="N2225" i="1"/>
  <c r="V2224" i="1"/>
  <c r="Q2224" i="1"/>
  <c r="P2224" i="1"/>
  <c r="O2224" i="1"/>
  <c r="N2224" i="1"/>
  <c r="V2223" i="1"/>
  <c r="Q2223" i="1"/>
  <c r="P2223" i="1"/>
  <c r="O2223" i="1"/>
  <c r="N2223" i="1"/>
  <c r="V2222" i="1"/>
  <c r="Q2222" i="1"/>
  <c r="P2222" i="1"/>
  <c r="O2222" i="1"/>
  <c r="N2222" i="1"/>
  <c r="I2222" i="1"/>
  <c r="H2222" i="1"/>
  <c r="G2222" i="1"/>
  <c r="F2222" i="1"/>
  <c r="V2221" i="1"/>
  <c r="Q2221" i="1"/>
  <c r="P2221" i="1"/>
  <c r="O2221" i="1"/>
  <c r="N2221" i="1"/>
  <c r="I2221" i="1"/>
  <c r="H2221" i="1"/>
  <c r="G2221" i="1"/>
  <c r="F2221" i="1"/>
  <c r="E2221" i="1"/>
  <c r="V2220" i="1"/>
  <c r="Q2220" i="1"/>
  <c r="P2220" i="1"/>
  <c r="O2220" i="1"/>
  <c r="N2220" i="1"/>
  <c r="I2220" i="1"/>
  <c r="H2220" i="1"/>
  <c r="G2220" i="1"/>
  <c r="F2220" i="1"/>
  <c r="E2220" i="1"/>
  <c r="D2220" i="1"/>
  <c r="V2219" i="1"/>
  <c r="Q2219" i="1"/>
  <c r="P2219" i="1"/>
  <c r="O2219" i="1"/>
  <c r="N2219" i="1"/>
  <c r="J2219" i="1"/>
  <c r="I2219" i="1"/>
  <c r="H2219" i="1"/>
  <c r="G2219" i="1"/>
  <c r="F2219" i="1"/>
  <c r="E2219" i="1"/>
  <c r="D2219" i="1"/>
  <c r="V2218" i="1"/>
  <c r="Q2218" i="1"/>
  <c r="P2218" i="1"/>
  <c r="O2218" i="1"/>
  <c r="N2218" i="1"/>
  <c r="J2218" i="1"/>
  <c r="I2218" i="1"/>
  <c r="H2218" i="1"/>
  <c r="G2218" i="1"/>
  <c r="F2218" i="1"/>
  <c r="E2218" i="1"/>
  <c r="D2218" i="1"/>
  <c r="C2218" i="1"/>
  <c r="V2217" i="1"/>
  <c r="Q2217" i="1"/>
  <c r="P2217" i="1"/>
  <c r="O2217" i="1"/>
  <c r="N2217" i="1"/>
  <c r="J2217" i="1"/>
  <c r="I2217" i="1"/>
  <c r="H2217" i="1"/>
  <c r="G2217" i="1"/>
  <c r="F2217" i="1"/>
  <c r="E2217" i="1"/>
  <c r="D2217" i="1"/>
  <c r="C2217" i="1"/>
  <c r="V2216" i="1"/>
  <c r="Q2216" i="1"/>
  <c r="P2216" i="1"/>
  <c r="O2216" i="1"/>
  <c r="N2216" i="1"/>
  <c r="J2216" i="1"/>
  <c r="I2216" i="1"/>
  <c r="H2216" i="1"/>
  <c r="G2216" i="1"/>
  <c r="F2216" i="1"/>
  <c r="E2216" i="1"/>
  <c r="D2216" i="1"/>
  <c r="C2216" i="1"/>
  <c r="V2215" i="1"/>
  <c r="Q2215" i="1"/>
  <c r="P2215" i="1"/>
  <c r="O2215" i="1"/>
  <c r="N2215" i="1"/>
  <c r="J2215" i="1"/>
  <c r="I2215" i="1"/>
  <c r="H2215" i="1"/>
  <c r="G2215" i="1"/>
  <c r="F2215" i="1"/>
  <c r="E2215" i="1"/>
  <c r="D2215" i="1"/>
  <c r="C2215" i="1"/>
  <c r="V2214" i="1"/>
  <c r="Q2214" i="1"/>
  <c r="P2214" i="1"/>
  <c r="O2214" i="1"/>
  <c r="N2214" i="1"/>
  <c r="J2214" i="1"/>
  <c r="I2214" i="1"/>
  <c r="H2214" i="1"/>
  <c r="G2214" i="1"/>
  <c r="F2214" i="1"/>
  <c r="E2214" i="1"/>
  <c r="D2214" i="1"/>
  <c r="C2214" i="1"/>
  <c r="V2213" i="1"/>
  <c r="Q2213" i="1"/>
  <c r="P2213" i="1"/>
  <c r="O2213" i="1"/>
  <c r="N2213" i="1"/>
  <c r="J2213" i="1"/>
  <c r="I2213" i="1"/>
  <c r="H2213" i="1"/>
  <c r="G2213" i="1"/>
  <c r="F2213" i="1"/>
  <c r="E2213" i="1"/>
  <c r="D2213" i="1"/>
  <c r="C2213" i="1"/>
  <c r="V2212" i="1"/>
  <c r="Q2212" i="1"/>
  <c r="P2212" i="1"/>
  <c r="O2212" i="1"/>
  <c r="N2212" i="1"/>
  <c r="J2212" i="1"/>
  <c r="I2212" i="1"/>
  <c r="H2212" i="1"/>
  <c r="G2212" i="1"/>
  <c r="F2212" i="1"/>
  <c r="E2212" i="1"/>
  <c r="D2212" i="1"/>
  <c r="C2212" i="1"/>
  <c r="V2211" i="1"/>
  <c r="Q2211" i="1"/>
  <c r="P2211" i="1"/>
  <c r="O2211" i="1"/>
  <c r="N2211" i="1"/>
  <c r="J2211" i="1"/>
  <c r="I2211" i="1"/>
  <c r="H2211" i="1"/>
  <c r="G2211" i="1"/>
  <c r="F2211" i="1"/>
  <c r="E2211" i="1"/>
  <c r="D2211" i="1"/>
  <c r="C2211" i="1"/>
  <c r="V2210" i="1"/>
  <c r="Q2210" i="1"/>
  <c r="P2210" i="1"/>
  <c r="O2210" i="1"/>
  <c r="N2210" i="1"/>
  <c r="J2210" i="1"/>
  <c r="I2210" i="1"/>
  <c r="H2210" i="1"/>
  <c r="G2210" i="1"/>
  <c r="F2210" i="1"/>
  <c r="E2210" i="1"/>
  <c r="D2210" i="1"/>
  <c r="C2210" i="1"/>
  <c r="V2209" i="1"/>
  <c r="Q2209" i="1"/>
  <c r="P2209" i="1"/>
  <c r="O2209" i="1"/>
  <c r="N2209" i="1"/>
  <c r="J2209" i="1"/>
  <c r="I2209" i="1"/>
  <c r="H2209" i="1"/>
  <c r="G2209" i="1"/>
  <c r="F2209" i="1"/>
  <c r="E2209" i="1"/>
  <c r="D2209" i="1"/>
  <c r="C2209" i="1"/>
  <c r="V2208" i="1"/>
  <c r="Q2208" i="1"/>
  <c r="P2208" i="1"/>
  <c r="O2208" i="1"/>
  <c r="N2208" i="1"/>
  <c r="J2208" i="1"/>
  <c r="I2208" i="1"/>
  <c r="H2208" i="1"/>
  <c r="G2208" i="1"/>
  <c r="F2208" i="1"/>
  <c r="E2208" i="1"/>
  <c r="D2208" i="1"/>
  <c r="C2208" i="1"/>
  <c r="V2207" i="1"/>
  <c r="Q2207" i="1"/>
  <c r="P2207" i="1"/>
  <c r="O2207" i="1"/>
  <c r="N2207" i="1"/>
  <c r="J2207" i="1"/>
  <c r="I2207" i="1"/>
  <c r="H2207" i="1"/>
  <c r="G2207" i="1"/>
  <c r="F2207" i="1"/>
  <c r="E2207" i="1"/>
  <c r="D2207" i="1"/>
  <c r="C2207" i="1"/>
  <c r="V2206" i="1"/>
  <c r="Q2206" i="1"/>
  <c r="P2206" i="1"/>
  <c r="O2206" i="1"/>
  <c r="N2206" i="1"/>
  <c r="J2206" i="1"/>
  <c r="I2206" i="1"/>
  <c r="H2206" i="1"/>
  <c r="G2206" i="1"/>
  <c r="F2206" i="1"/>
  <c r="E2206" i="1"/>
  <c r="D2206" i="1"/>
  <c r="C2206" i="1"/>
  <c r="V2205" i="1"/>
  <c r="Q2205" i="1"/>
  <c r="P2205" i="1"/>
  <c r="O2205" i="1"/>
  <c r="N2205" i="1"/>
  <c r="J2205" i="1"/>
  <c r="I2205" i="1"/>
  <c r="H2205" i="1"/>
  <c r="G2205" i="1"/>
  <c r="F2205" i="1"/>
  <c r="E2205" i="1"/>
  <c r="D2205" i="1"/>
  <c r="C2205" i="1"/>
  <c r="V2204" i="1"/>
  <c r="Q2204" i="1"/>
  <c r="P2204" i="1"/>
  <c r="O2204" i="1"/>
  <c r="N2204" i="1"/>
  <c r="J2204" i="1"/>
  <c r="I2204" i="1"/>
  <c r="H2204" i="1"/>
  <c r="G2204" i="1"/>
  <c r="F2204" i="1"/>
  <c r="E2204" i="1"/>
  <c r="D2204" i="1"/>
  <c r="C2204" i="1"/>
  <c r="V2203" i="1"/>
  <c r="Q2203" i="1"/>
  <c r="P2203" i="1"/>
  <c r="O2203" i="1"/>
  <c r="N2203" i="1"/>
  <c r="J2203" i="1"/>
  <c r="I2203" i="1"/>
  <c r="H2203" i="1"/>
  <c r="G2203" i="1"/>
  <c r="F2203" i="1"/>
  <c r="E2203" i="1"/>
  <c r="D2203" i="1"/>
  <c r="C2203" i="1"/>
  <c r="V2202" i="1"/>
  <c r="Q2202" i="1"/>
  <c r="P2202" i="1"/>
  <c r="O2202" i="1"/>
  <c r="N2202" i="1"/>
  <c r="J2202" i="1"/>
  <c r="I2202" i="1"/>
  <c r="H2202" i="1"/>
  <c r="G2202" i="1"/>
  <c r="F2202" i="1"/>
  <c r="E2202" i="1"/>
  <c r="D2202" i="1"/>
  <c r="C2202" i="1"/>
  <c r="V2201" i="1"/>
  <c r="Q2201" i="1"/>
  <c r="P2201" i="1"/>
  <c r="O2201" i="1"/>
  <c r="N2201" i="1"/>
  <c r="J2201" i="1"/>
  <c r="I2201" i="1"/>
  <c r="H2201" i="1"/>
  <c r="G2201" i="1"/>
  <c r="F2201" i="1"/>
  <c r="E2201" i="1"/>
  <c r="D2201" i="1"/>
  <c r="C2201" i="1"/>
  <c r="V2200" i="1"/>
  <c r="Q2200" i="1"/>
  <c r="P2200" i="1"/>
  <c r="O2200" i="1"/>
  <c r="N2200" i="1"/>
  <c r="J2200" i="1"/>
  <c r="I2200" i="1"/>
  <c r="H2200" i="1"/>
  <c r="G2200" i="1"/>
  <c r="F2200" i="1"/>
  <c r="E2200" i="1"/>
  <c r="D2200" i="1"/>
  <c r="C2200" i="1"/>
  <c r="V2199" i="1"/>
  <c r="Q2199" i="1"/>
  <c r="P2199" i="1"/>
  <c r="O2199" i="1"/>
  <c r="N2199" i="1"/>
  <c r="J2199" i="1"/>
  <c r="I2199" i="1"/>
  <c r="H2199" i="1"/>
  <c r="G2199" i="1"/>
  <c r="F2199" i="1"/>
  <c r="E2199" i="1"/>
  <c r="D2199" i="1"/>
  <c r="C2199" i="1"/>
  <c r="V2198" i="1"/>
  <c r="Q2198" i="1"/>
  <c r="P2198" i="1"/>
  <c r="O2198" i="1"/>
  <c r="N2198" i="1"/>
  <c r="J2198" i="1"/>
  <c r="I2198" i="1"/>
  <c r="H2198" i="1"/>
  <c r="G2198" i="1"/>
  <c r="F2198" i="1"/>
  <c r="E2198" i="1"/>
  <c r="D2198" i="1"/>
  <c r="C2198" i="1"/>
  <c r="V2197" i="1"/>
  <c r="Q2197" i="1"/>
  <c r="P2197" i="1"/>
  <c r="O2197" i="1"/>
  <c r="N2197" i="1"/>
  <c r="J2197" i="1"/>
  <c r="I2197" i="1"/>
  <c r="H2197" i="1"/>
  <c r="G2197" i="1"/>
  <c r="F2197" i="1"/>
  <c r="E2197" i="1"/>
  <c r="D2197" i="1"/>
  <c r="C2197" i="1"/>
  <c r="V2196" i="1"/>
  <c r="Q2196" i="1"/>
  <c r="P2196" i="1"/>
  <c r="O2196" i="1"/>
  <c r="N2196" i="1"/>
  <c r="J2196" i="1"/>
  <c r="I2196" i="1"/>
  <c r="H2196" i="1"/>
  <c r="G2196" i="1"/>
  <c r="F2196" i="1"/>
  <c r="E2196" i="1"/>
  <c r="D2196" i="1"/>
  <c r="C2196" i="1"/>
  <c r="V2195" i="1"/>
  <c r="Q2195" i="1"/>
  <c r="P2195" i="1"/>
  <c r="O2195" i="1"/>
  <c r="N2195" i="1"/>
  <c r="J2195" i="1"/>
  <c r="I2195" i="1"/>
  <c r="H2195" i="1"/>
  <c r="G2195" i="1"/>
  <c r="F2195" i="1"/>
  <c r="E2195" i="1"/>
  <c r="D2195" i="1"/>
  <c r="C2195" i="1"/>
  <c r="V2194" i="1"/>
  <c r="Q2194" i="1"/>
  <c r="P2194" i="1"/>
  <c r="O2194" i="1"/>
  <c r="N2194" i="1"/>
  <c r="J2194" i="1"/>
  <c r="I2194" i="1"/>
  <c r="H2194" i="1"/>
  <c r="G2194" i="1"/>
  <c r="F2194" i="1"/>
  <c r="E2194" i="1"/>
  <c r="D2194" i="1"/>
  <c r="C2194" i="1"/>
  <c r="V2193" i="1"/>
  <c r="Q2193" i="1"/>
  <c r="P2193" i="1"/>
  <c r="O2193" i="1"/>
  <c r="N2193" i="1"/>
  <c r="J2193" i="1"/>
  <c r="I2193" i="1"/>
  <c r="H2193" i="1"/>
  <c r="G2193" i="1"/>
  <c r="F2193" i="1"/>
  <c r="E2193" i="1"/>
  <c r="D2193" i="1"/>
  <c r="C2193" i="1"/>
  <c r="V2192" i="1"/>
  <c r="Q2192" i="1"/>
  <c r="P2192" i="1"/>
  <c r="O2192" i="1"/>
  <c r="N2192" i="1"/>
  <c r="J2192" i="1"/>
  <c r="I2192" i="1"/>
  <c r="H2192" i="1"/>
  <c r="G2192" i="1"/>
  <c r="F2192" i="1"/>
  <c r="E2192" i="1"/>
  <c r="D2192" i="1"/>
  <c r="C2192" i="1"/>
  <c r="V2191" i="1"/>
  <c r="Q2191" i="1"/>
  <c r="P2191" i="1"/>
  <c r="O2191" i="1"/>
  <c r="N2191" i="1"/>
  <c r="J2191" i="1"/>
  <c r="I2191" i="1"/>
  <c r="H2191" i="1"/>
  <c r="G2191" i="1"/>
  <c r="F2191" i="1"/>
  <c r="E2191" i="1"/>
  <c r="D2191" i="1"/>
  <c r="C2191" i="1"/>
  <c r="V2190" i="1"/>
  <c r="Q2190" i="1"/>
  <c r="P2190" i="1"/>
  <c r="O2190" i="1"/>
  <c r="N2190" i="1"/>
  <c r="J2190" i="1"/>
  <c r="I2190" i="1"/>
  <c r="H2190" i="1"/>
  <c r="G2190" i="1"/>
  <c r="F2190" i="1"/>
  <c r="E2190" i="1"/>
  <c r="D2190" i="1"/>
  <c r="C2190" i="1"/>
  <c r="V2189" i="1"/>
  <c r="Q2189" i="1"/>
  <c r="P2189" i="1"/>
  <c r="O2189" i="1"/>
  <c r="N2189" i="1"/>
  <c r="J2189" i="1"/>
  <c r="I2189" i="1"/>
  <c r="H2189" i="1"/>
  <c r="G2189" i="1"/>
  <c r="F2189" i="1"/>
  <c r="E2189" i="1"/>
  <c r="D2189" i="1"/>
  <c r="C2189" i="1"/>
  <c r="V2188" i="1"/>
  <c r="Q2188" i="1"/>
  <c r="P2188" i="1"/>
  <c r="O2188" i="1"/>
  <c r="N2188" i="1"/>
  <c r="J2188" i="1"/>
  <c r="I2188" i="1"/>
  <c r="H2188" i="1"/>
  <c r="G2188" i="1"/>
  <c r="F2188" i="1"/>
  <c r="E2188" i="1"/>
  <c r="D2188" i="1"/>
  <c r="C2188" i="1"/>
  <c r="V2187" i="1"/>
  <c r="Q2187" i="1"/>
  <c r="P2187" i="1"/>
  <c r="O2187" i="1"/>
  <c r="N2187" i="1"/>
  <c r="J2187" i="1"/>
  <c r="I2187" i="1"/>
  <c r="H2187" i="1"/>
  <c r="G2187" i="1"/>
  <c r="F2187" i="1"/>
  <c r="E2187" i="1"/>
  <c r="D2187" i="1"/>
  <c r="C2187" i="1"/>
  <c r="V2186" i="1"/>
  <c r="Q2186" i="1"/>
  <c r="P2186" i="1"/>
  <c r="O2186" i="1"/>
  <c r="N2186" i="1"/>
  <c r="J2186" i="1"/>
  <c r="I2186" i="1"/>
  <c r="H2186" i="1"/>
  <c r="G2186" i="1"/>
  <c r="F2186" i="1"/>
  <c r="E2186" i="1"/>
  <c r="D2186" i="1"/>
  <c r="C2186" i="1"/>
  <c r="V2185" i="1"/>
  <c r="Q2185" i="1"/>
  <c r="P2185" i="1"/>
  <c r="O2185" i="1"/>
  <c r="N2185" i="1"/>
  <c r="J2185" i="1"/>
  <c r="I2185" i="1"/>
  <c r="H2185" i="1"/>
  <c r="G2185" i="1"/>
  <c r="F2185" i="1"/>
  <c r="E2185" i="1"/>
  <c r="D2185" i="1"/>
  <c r="C2185" i="1"/>
  <c r="V2184" i="1"/>
  <c r="Q2184" i="1"/>
  <c r="P2184" i="1"/>
  <c r="O2184" i="1"/>
  <c r="N2184" i="1"/>
  <c r="J2184" i="1"/>
  <c r="I2184" i="1"/>
  <c r="H2184" i="1"/>
  <c r="G2184" i="1"/>
  <c r="F2184" i="1"/>
  <c r="E2184" i="1"/>
  <c r="D2184" i="1"/>
  <c r="C2184" i="1"/>
  <c r="V2183" i="1"/>
  <c r="Q2183" i="1"/>
  <c r="P2183" i="1"/>
  <c r="O2183" i="1"/>
  <c r="N2183" i="1"/>
  <c r="J2183" i="1"/>
  <c r="I2183" i="1"/>
  <c r="H2183" i="1"/>
  <c r="G2183" i="1"/>
  <c r="F2183" i="1"/>
  <c r="E2183" i="1"/>
  <c r="D2183" i="1"/>
  <c r="C2183" i="1"/>
  <c r="V2182" i="1"/>
  <c r="Q2182" i="1"/>
  <c r="P2182" i="1"/>
  <c r="O2182" i="1"/>
  <c r="N2182" i="1"/>
  <c r="J2182" i="1"/>
  <c r="I2182" i="1"/>
  <c r="H2182" i="1"/>
  <c r="G2182" i="1"/>
  <c r="F2182" i="1"/>
  <c r="E2182" i="1"/>
  <c r="D2182" i="1"/>
  <c r="C2182" i="1"/>
  <c r="V2181" i="1"/>
  <c r="Q2181" i="1"/>
  <c r="P2181" i="1"/>
  <c r="O2181" i="1"/>
  <c r="N2181" i="1"/>
  <c r="J2181" i="1"/>
  <c r="I2181" i="1"/>
  <c r="H2181" i="1"/>
  <c r="G2181" i="1"/>
  <c r="F2181" i="1"/>
  <c r="E2181" i="1"/>
  <c r="D2181" i="1"/>
  <c r="C2181" i="1"/>
  <c r="V2180" i="1"/>
  <c r="Q2180" i="1"/>
  <c r="P2180" i="1"/>
  <c r="O2180" i="1"/>
  <c r="N2180" i="1"/>
  <c r="J2180" i="1"/>
  <c r="I2180" i="1"/>
  <c r="H2180" i="1"/>
  <c r="G2180" i="1"/>
  <c r="F2180" i="1"/>
  <c r="E2180" i="1"/>
  <c r="D2180" i="1"/>
  <c r="C2180" i="1"/>
  <c r="V2179" i="1"/>
  <c r="Q2179" i="1"/>
  <c r="P2179" i="1"/>
  <c r="O2179" i="1"/>
  <c r="N2179" i="1"/>
  <c r="J2179" i="1"/>
  <c r="I2179" i="1"/>
  <c r="H2179" i="1"/>
  <c r="G2179" i="1"/>
  <c r="F2179" i="1"/>
  <c r="E2179" i="1"/>
  <c r="D2179" i="1"/>
  <c r="C2179" i="1"/>
  <c r="V2178" i="1"/>
  <c r="Q2178" i="1"/>
  <c r="P2178" i="1"/>
  <c r="O2178" i="1"/>
  <c r="N2178" i="1"/>
  <c r="J2178" i="1"/>
  <c r="I2178" i="1"/>
  <c r="H2178" i="1"/>
  <c r="G2178" i="1"/>
  <c r="F2178" i="1"/>
  <c r="E2178" i="1"/>
  <c r="D2178" i="1"/>
  <c r="C2178" i="1"/>
  <c r="V2177" i="1"/>
  <c r="Q2177" i="1"/>
  <c r="P2177" i="1"/>
  <c r="O2177" i="1"/>
  <c r="N2177" i="1"/>
  <c r="J2177" i="1"/>
  <c r="I2177" i="1"/>
  <c r="H2177" i="1"/>
  <c r="G2177" i="1"/>
  <c r="F2177" i="1"/>
  <c r="E2177" i="1"/>
  <c r="D2177" i="1"/>
  <c r="C2177" i="1"/>
  <c r="V2176" i="1"/>
  <c r="Q2176" i="1"/>
  <c r="P2176" i="1"/>
  <c r="O2176" i="1"/>
  <c r="N2176" i="1"/>
  <c r="J2176" i="1"/>
  <c r="I2176" i="1"/>
  <c r="H2176" i="1"/>
  <c r="G2176" i="1"/>
  <c r="F2176" i="1"/>
  <c r="E2176" i="1"/>
  <c r="D2176" i="1"/>
  <c r="C2176" i="1"/>
  <c r="V2175" i="1"/>
  <c r="Q2175" i="1"/>
  <c r="P2175" i="1"/>
  <c r="O2175" i="1"/>
  <c r="N2175" i="1"/>
  <c r="J2175" i="1"/>
  <c r="I2175" i="1"/>
  <c r="H2175" i="1"/>
  <c r="G2175" i="1"/>
  <c r="F2175" i="1"/>
  <c r="E2175" i="1"/>
  <c r="D2175" i="1"/>
  <c r="C2175" i="1"/>
  <c r="V2174" i="1"/>
  <c r="Q2174" i="1"/>
  <c r="P2174" i="1"/>
  <c r="O2174" i="1"/>
  <c r="N2174" i="1"/>
  <c r="J2174" i="1"/>
  <c r="I2174" i="1"/>
  <c r="H2174" i="1"/>
  <c r="G2174" i="1"/>
  <c r="F2174" i="1"/>
  <c r="E2174" i="1"/>
  <c r="D2174" i="1"/>
  <c r="C2174" i="1"/>
  <c r="V2173" i="1"/>
  <c r="Q2173" i="1"/>
  <c r="P2173" i="1"/>
  <c r="O2173" i="1"/>
  <c r="N2173" i="1"/>
  <c r="J2173" i="1"/>
  <c r="I2173" i="1"/>
  <c r="H2173" i="1"/>
  <c r="G2173" i="1"/>
  <c r="F2173" i="1"/>
  <c r="E2173" i="1"/>
  <c r="D2173" i="1"/>
  <c r="C2173" i="1"/>
  <c r="V2172" i="1"/>
  <c r="Q2172" i="1"/>
  <c r="P2172" i="1"/>
  <c r="O2172" i="1"/>
  <c r="N2172" i="1"/>
  <c r="J2172" i="1"/>
  <c r="I2172" i="1"/>
  <c r="H2172" i="1"/>
  <c r="G2172" i="1"/>
  <c r="F2172" i="1"/>
  <c r="E2172" i="1"/>
  <c r="D2172" i="1"/>
  <c r="C2172" i="1"/>
  <c r="V2171" i="1"/>
  <c r="Q2171" i="1"/>
  <c r="P2171" i="1"/>
  <c r="O2171" i="1"/>
  <c r="N2171" i="1"/>
  <c r="J2171" i="1"/>
  <c r="I2171" i="1"/>
  <c r="H2171" i="1"/>
  <c r="G2171" i="1"/>
  <c r="F2171" i="1"/>
  <c r="E2171" i="1"/>
  <c r="D2171" i="1"/>
  <c r="C2171" i="1"/>
  <c r="V2170" i="1"/>
  <c r="Q2170" i="1"/>
  <c r="P2170" i="1"/>
  <c r="O2170" i="1"/>
  <c r="N2170" i="1"/>
  <c r="J2170" i="1"/>
  <c r="I2170" i="1"/>
  <c r="H2170" i="1"/>
  <c r="G2170" i="1"/>
  <c r="F2170" i="1"/>
  <c r="E2170" i="1"/>
  <c r="D2170" i="1"/>
  <c r="C2170" i="1"/>
  <c r="V2169" i="1"/>
  <c r="Q2169" i="1"/>
  <c r="P2169" i="1"/>
  <c r="O2169" i="1"/>
  <c r="N2169" i="1"/>
  <c r="J2169" i="1"/>
  <c r="I2169" i="1"/>
  <c r="H2169" i="1"/>
  <c r="G2169" i="1"/>
  <c r="F2169" i="1"/>
  <c r="E2169" i="1"/>
  <c r="D2169" i="1"/>
  <c r="C2169" i="1"/>
  <c r="V2168" i="1"/>
  <c r="Q2168" i="1"/>
  <c r="P2168" i="1"/>
  <c r="O2168" i="1"/>
  <c r="N2168" i="1"/>
  <c r="J2168" i="1"/>
  <c r="I2168" i="1"/>
  <c r="H2168" i="1"/>
  <c r="G2168" i="1"/>
  <c r="F2168" i="1"/>
  <c r="E2168" i="1"/>
  <c r="D2168" i="1"/>
  <c r="C2168" i="1"/>
  <c r="V2167" i="1"/>
  <c r="Q2167" i="1"/>
  <c r="P2167" i="1"/>
  <c r="O2167" i="1"/>
  <c r="N2167" i="1"/>
  <c r="J2167" i="1"/>
  <c r="I2167" i="1"/>
  <c r="H2167" i="1"/>
  <c r="G2167" i="1"/>
  <c r="F2167" i="1"/>
  <c r="E2167" i="1"/>
  <c r="D2167" i="1"/>
  <c r="C2167" i="1"/>
  <c r="V2166" i="1"/>
  <c r="Q2166" i="1"/>
  <c r="P2166" i="1"/>
  <c r="O2166" i="1"/>
  <c r="N2166" i="1"/>
  <c r="J2166" i="1"/>
  <c r="I2166" i="1"/>
  <c r="H2166" i="1"/>
  <c r="G2166" i="1"/>
  <c r="F2166" i="1"/>
  <c r="E2166" i="1"/>
  <c r="D2166" i="1"/>
  <c r="C2166" i="1"/>
  <c r="V2165" i="1"/>
  <c r="Q2165" i="1"/>
  <c r="P2165" i="1"/>
  <c r="O2165" i="1"/>
  <c r="N2165" i="1"/>
  <c r="J2165" i="1"/>
  <c r="I2165" i="1"/>
  <c r="H2165" i="1"/>
  <c r="G2165" i="1"/>
  <c r="F2165" i="1"/>
  <c r="E2165" i="1"/>
  <c r="D2165" i="1"/>
  <c r="C2165" i="1"/>
  <c r="V2164" i="1"/>
  <c r="Q2164" i="1"/>
  <c r="P2164" i="1"/>
  <c r="O2164" i="1"/>
  <c r="N2164" i="1"/>
  <c r="J2164" i="1"/>
  <c r="I2164" i="1"/>
  <c r="H2164" i="1"/>
  <c r="G2164" i="1"/>
  <c r="F2164" i="1"/>
  <c r="E2164" i="1"/>
  <c r="D2164" i="1"/>
  <c r="C2164" i="1"/>
  <c r="V2163" i="1"/>
  <c r="Q2163" i="1"/>
  <c r="P2163" i="1"/>
  <c r="O2163" i="1"/>
  <c r="N2163" i="1"/>
  <c r="J2163" i="1"/>
  <c r="I2163" i="1"/>
  <c r="H2163" i="1"/>
  <c r="G2163" i="1"/>
  <c r="F2163" i="1"/>
  <c r="E2163" i="1"/>
  <c r="D2163" i="1"/>
  <c r="C2163" i="1"/>
  <c r="V2162" i="1"/>
  <c r="Q2162" i="1"/>
  <c r="P2162" i="1"/>
  <c r="O2162" i="1"/>
  <c r="N2162" i="1"/>
  <c r="J2162" i="1"/>
  <c r="I2162" i="1"/>
  <c r="H2162" i="1"/>
  <c r="G2162" i="1"/>
  <c r="F2162" i="1"/>
  <c r="E2162" i="1"/>
  <c r="D2162" i="1"/>
  <c r="C2162" i="1"/>
  <c r="V2161" i="1"/>
  <c r="Q2161" i="1"/>
  <c r="P2161" i="1"/>
  <c r="O2161" i="1"/>
  <c r="N2161" i="1"/>
  <c r="J2161" i="1"/>
  <c r="I2161" i="1"/>
  <c r="H2161" i="1"/>
  <c r="G2161" i="1"/>
  <c r="F2161" i="1"/>
  <c r="E2161" i="1"/>
  <c r="D2161" i="1"/>
  <c r="C2161" i="1"/>
  <c r="V2160" i="1"/>
  <c r="Q2160" i="1"/>
  <c r="P2160" i="1"/>
  <c r="O2160" i="1"/>
  <c r="N2160" i="1"/>
  <c r="J2160" i="1"/>
  <c r="I2160" i="1"/>
  <c r="H2160" i="1"/>
  <c r="G2160" i="1"/>
  <c r="F2160" i="1"/>
  <c r="E2160" i="1"/>
  <c r="D2160" i="1"/>
  <c r="C2160" i="1"/>
  <c r="V2159" i="1"/>
  <c r="Q2159" i="1"/>
  <c r="P2159" i="1"/>
  <c r="O2159" i="1"/>
  <c r="N2159" i="1"/>
  <c r="J2159" i="1"/>
  <c r="I2159" i="1"/>
  <c r="H2159" i="1"/>
  <c r="G2159" i="1"/>
  <c r="F2159" i="1"/>
  <c r="E2159" i="1"/>
  <c r="D2159" i="1"/>
  <c r="C2159" i="1"/>
  <c r="V2158" i="1"/>
  <c r="Q2158" i="1"/>
  <c r="P2158" i="1"/>
  <c r="O2158" i="1"/>
  <c r="N2158" i="1"/>
  <c r="J2158" i="1"/>
  <c r="I2158" i="1"/>
  <c r="H2158" i="1"/>
  <c r="G2158" i="1"/>
  <c r="F2158" i="1"/>
  <c r="E2158" i="1"/>
  <c r="D2158" i="1"/>
  <c r="C2158" i="1"/>
  <c r="V2157" i="1"/>
  <c r="Q2157" i="1"/>
  <c r="P2157" i="1"/>
  <c r="O2157" i="1"/>
  <c r="N2157" i="1"/>
  <c r="J2157" i="1"/>
  <c r="I2157" i="1"/>
  <c r="H2157" i="1"/>
  <c r="G2157" i="1"/>
  <c r="F2157" i="1"/>
  <c r="E2157" i="1"/>
  <c r="D2157" i="1"/>
  <c r="C2157" i="1"/>
  <c r="V2156" i="1"/>
  <c r="Q2156" i="1"/>
  <c r="P2156" i="1"/>
  <c r="O2156" i="1"/>
  <c r="N2156" i="1"/>
  <c r="J2156" i="1"/>
  <c r="I2156" i="1"/>
  <c r="H2156" i="1"/>
  <c r="G2156" i="1"/>
  <c r="F2156" i="1"/>
  <c r="E2156" i="1"/>
  <c r="D2156" i="1"/>
  <c r="C2156" i="1"/>
  <c r="V2155" i="1"/>
  <c r="Q2155" i="1"/>
  <c r="P2155" i="1"/>
  <c r="O2155" i="1"/>
  <c r="N2155" i="1"/>
  <c r="J2155" i="1"/>
  <c r="I2155" i="1"/>
  <c r="H2155" i="1"/>
  <c r="G2155" i="1"/>
  <c r="F2155" i="1"/>
  <c r="E2155" i="1"/>
  <c r="D2155" i="1"/>
  <c r="C2155" i="1"/>
  <c r="V2154" i="1"/>
  <c r="Q2154" i="1"/>
  <c r="P2154" i="1"/>
  <c r="O2154" i="1"/>
  <c r="N2154" i="1"/>
  <c r="J2154" i="1"/>
  <c r="I2154" i="1"/>
  <c r="H2154" i="1"/>
  <c r="G2154" i="1"/>
  <c r="F2154" i="1"/>
  <c r="E2154" i="1"/>
  <c r="D2154" i="1"/>
  <c r="C2154" i="1"/>
  <c r="V2153" i="1"/>
  <c r="Q2153" i="1"/>
  <c r="P2153" i="1"/>
  <c r="O2153" i="1"/>
  <c r="N2153" i="1"/>
  <c r="J2153" i="1"/>
  <c r="I2153" i="1"/>
  <c r="H2153" i="1"/>
  <c r="G2153" i="1"/>
  <c r="F2153" i="1"/>
  <c r="E2153" i="1"/>
  <c r="D2153" i="1"/>
  <c r="C2153" i="1"/>
  <c r="V2152" i="1"/>
  <c r="Q2152" i="1"/>
  <c r="P2152" i="1"/>
  <c r="O2152" i="1"/>
  <c r="N2152" i="1"/>
  <c r="I2152" i="1"/>
  <c r="H2152" i="1"/>
  <c r="G2152" i="1"/>
  <c r="F2152" i="1"/>
  <c r="E2152" i="1"/>
  <c r="D2152" i="1"/>
  <c r="C2152" i="1"/>
  <c r="V2151" i="1"/>
  <c r="Q2151" i="1"/>
  <c r="P2151" i="1"/>
  <c r="O2151" i="1"/>
  <c r="N2151" i="1"/>
  <c r="I2151" i="1"/>
  <c r="H2151" i="1"/>
  <c r="G2151" i="1"/>
  <c r="F2151" i="1"/>
  <c r="E2151" i="1"/>
  <c r="D2151" i="1"/>
  <c r="C2151" i="1"/>
  <c r="V2150" i="1"/>
  <c r="Q2150" i="1"/>
  <c r="P2150" i="1"/>
  <c r="O2150" i="1"/>
  <c r="N2150" i="1"/>
  <c r="I2150" i="1"/>
  <c r="H2150" i="1"/>
  <c r="G2150" i="1"/>
  <c r="F2150" i="1"/>
  <c r="E2150" i="1"/>
  <c r="D2150" i="1"/>
  <c r="C2150" i="1"/>
  <c r="V2149" i="1"/>
  <c r="Q2149" i="1"/>
  <c r="P2149" i="1"/>
  <c r="O2149" i="1"/>
  <c r="N2149" i="1"/>
  <c r="I2149" i="1"/>
  <c r="H2149" i="1"/>
  <c r="G2149" i="1"/>
  <c r="F2149" i="1"/>
  <c r="E2149" i="1"/>
  <c r="D2149" i="1"/>
  <c r="C2149" i="1"/>
  <c r="V2148" i="1"/>
  <c r="Q2148" i="1"/>
  <c r="P2148" i="1"/>
  <c r="O2148" i="1"/>
  <c r="N2148" i="1"/>
  <c r="I2148" i="1"/>
  <c r="H2148" i="1"/>
  <c r="G2148" i="1"/>
  <c r="F2148" i="1"/>
  <c r="E2148" i="1"/>
  <c r="D2148" i="1"/>
  <c r="C2148" i="1"/>
  <c r="V2147" i="1"/>
  <c r="Q2147" i="1"/>
  <c r="P2147" i="1"/>
  <c r="O2147" i="1"/>
  <c r="N2147" i="1"/>
  <c r="I2147" i="1"/>
  <c r="H2147" i="1"/>
  <c r="G2147" i="1"/>
  <c r="F2147" i="1"/>
  <c r="E2147" i="1"/>
  <c r="D2147" i="1"/>
  <c r="C2147" i="1"/>
  <c r="V2146" i="1"/>
  <c r="Q2146" i="1"/>
  <c r="P2146" i="1"/>
  <c r="O2146" i="1"/>
  <c r="N2146" i="1"/>
  <c r="I2146" i="1"/>
  <c r="H2146" i="1"/>
  <c r="G2146" i="1"/>
  <c r="F2146" i="1"/>
  <c r="E2146" i="1"/>
  <c r="D2146" i="1"/>
  <c r="C2146" i="1"/>
  <c r="V2145" i="1"/>
  <c r="Q2145" i="1"/>
  <c r="P2145" i="1"/>
  <c r="O2145" i="1"/>
  <c r="N2145" i="1"/>
  <c r="I2145" i="1"/>
  <c r="H2145" i="1"/>
  <c r="G2145" i="1"/>
  <c r="F2145" i="1"/>
  <c r="E2145" i="1"/>
  <c r="D2145" i="1"/>
  <c r="C2145" i="1"/>
  <c r="V2144" i="1"/>
  <c r="Q2144" i="1"/>
  <c r="P2144" i="1"/>
  <c r="O2144" i="1"/>
  <c r="N2144" i="1"/>
  <c r="I2144" i="1"/>
  <c r="H2144" i="1"/>
  <c r="G2144" i="1"/>
  <c r="F2144" i="1"/>
  <c r="E2144" i="1"/>
  <c r="D2144" i="1"/>
  <c r="C2144" i="1"/>
  <c r="V2143" i="1"/>
  <c r="Q2143" i="1"/>
  <c r="P2143" i="1"/>
  <c r="O2143" i="1"/>
  <c r="N2143" i="1"/>
  <c r="I2143" i="1"/>
  <c r="H2143" i="1"/>
  <c r="G2143" i="1"/>
  <c r="F2143" i="1"/>
  <c r="E2143" i="1"/>
  <c r="D2143" i="1"/>
  <c r="C2143" i="1"/>
  <c r="V2142" i="1"/>
  <c r="Q2142" i="1"/>
  <c r="P2142" i="1"/>
  <c r="O2142" i="1"/>
  <c r="N2142" i="1"/>
  <c r="I2142" i="1"/>
  <c r="H2142" i="1"/>
  <c r="G2142" i="1"/>
  <c r="F2142" i="1"/>
  <c r="E2142" i="1"/>
  <c r="D2142" i="1"/>
  <c r="C2142" i="1"/>
  <c r="V2141" i="1"/>
  <c r="Q2141" i="1"/>
  <c r="P2141" i="1"/>
  <c r="O2141" i="1"/>
  <c r="N2141" i="1"/>
  <c r="I2141" i="1"/>
  <c r="H2141" i="1"/>
  <c r="G2141" i="1"/>
  <c r="F2141" i="1"/>
  <c r="E2141" i="1"/>
  <c r="D2141" i="1"/>
  <c r="C2141" i="1"/>
  <c r="V2140" i="1"/>
  <c r="Q2140" i="1"/>
  <c r="P2140" i="1"/>
  <c r="O2140" i="1"/>
  <c r="N2140" i="1"/>
  <c r="I2140" i="1"/>
  <c r="H2140" i="1"/>
  <c r="G2140" i="1"/>
  <c r="F2140" i="1"/>
  <c r="E2140" i="1"/>
  <c r="D2140" i="1"/>
  <c r="C2140" i="1"/>
  <c r="V2139" i="1"/>
  <c r="Q2139" i="1"/>
  <c r="P2139" i="1"/>
  <c r="O2139" i="1"/>
  <c r="N2139" i="1"/>
  <c r="I2139" i="1"/>
  <c r="H2139" i="1"/>
  <c r="G2139" i="1"/>
  <c r="F2139" i="1"/>
  <c r="E2139" i="1"/>
  <c r="D2139" i="1"/>
  <c r="C2139" i="1"/>
  <c r="V2138" i="1"/>
  <c r="Q2138" i="1"/>
  <c r="P2138" i="1"/>
  <c r="O2138" i="1"/>
  <c r="N2138" i="1"/>
  <c r="I2138" i="1"/>
  <c r="H2138" i="1"/>
  <c r="G2138" i="1"/>
  <c r="F2138" i="1"/>
  <c r="E2138" i="1"/>
  <c r="D2138" i="1"/>
  <c r="C2138" i="1"/>
  <c r="V2137" i="1"/>
  <c r="Q2137" i="1"/>
  <c r="P2137" i="1"/>
  <c r="O2137" i="1"/>
  <c r="N2137" i="1"/>
  <c r="I2137" i="1"/>
  <c r="H2137" i="1"/>
  <c r="G2137" i="1"/>
  <c r="F2137" i="1"/>
  <c r="E2137" i="1"/>
  <c r="D2137" i="1"/>
  <c r="C2137" i="1"/>
  <c r="V2136" i="1"/>
  <c r="Q2136" i="1"/>
  <c r="P2136" i="1"/>
  <c r="O2136" i="1"/>
  <c r="N2136" i="1"/>
  <c r="I2136" i="1"/>
  <c r="H2136" i="1"/>
  <c r="G2136" i="1"/>
  <c r="F2136" i="1"/>
  <c r="E2136" i="1"/>
  <c r="D2136" i="1"/>
  <c r="C2136" i="1"/>
  <c r="V2135" i="1"/>
  <c r="Q2135" i="1"/>
  <c r="P2135" i="1"/>
  <c r="O2135" i="1"/>
  <c r="N2135" i="1"/>
  <c r="I2135" i="1"/>
  <c r="H2135" i="1"/>
  <c r="G2135" i="1"/>
  <c r="F2135" i="1"/>
  <c r="E2135" i="1"/>
  <c r="D2135" i="1"/>
  <c r="C2135" i="1"/>
  <c r="V2134" i="1"/>
  <c r="Q2134" i="1"/>
  <c r="P2134" i="1"/>
  <c r="O2134" i="1"/>
  <c r="N2134" i="1"/>
  <c r="I2134" i="1"/>
  <c r="H2134" i="1"/>
  <c r="G2134" i="1"/>
  <c r="F2134" i="1"/>
  <c r="E2134" i="1"/>
  <c r="D2134" i="1"/>
  <c r="C2134" i="1"/>
  <c r="V2133" i="1"/>
  <c r="Q2133" i="1"/>
  <c r="P2133" i="1"/>
  <c r="O2133" i="1"/>
  <c r="N2133" i="1"/>
  <c r="I2133" i="1"/>
  <c r="H2133" i="1"/>
  <c r="G2133" i="1"/>
  <c r="F2133" i="1"/>
  <c r="E2133" i="1"/>
  <c r="D2133" i="1"/>
  <c r="C2133" i="1"/>
  <c r="V2132" i="1"/>
  <c r="Q2132" i="1"/>
  <c r="P2132" i="1"/>
  <c r="O2132" i="1"/>
  <c r="N2132" i="1"/>
  <c r="I2132" i="1"/>
  <c r="H2132" i="1"/>
  <c r="G2132" i="1"/>
  <c r="F2132" i="1"/>
  <c r="E2132" i="1"/>
  <c r="D2132" i="1"/>
  <c r="C2132" i="1"/>
  <c r="V2131" i="1"/>
  <c r="Q2131" i="1"/>
  <c r="P2131" i="1"/>
  <c r="O2131" i="1"/>
  <c r="N2131" i="1"/>
  <c r="I2131" i="1"/>
  <c r="H2131" i="1"/>
  <c r="G2131" i="1"/>
  <c r="F2131" i="1"/>
  <c r="E2131" i="1"/>
  <c r="D2131" i="1"/>
  <c r="C2131" i="1"/>
  <c r="V2130" i="1"/>
  <c r="Q2130" i="1"/>
  <c r="P2130" i="1"/>
  <c r="O2130" i="1"/>
  <c r="N2130" i="1"/>
  <c r="I2130" i="1"/>
  <c r="H2130" i="1"/>
  <c r="G2130" i="1"/>
  <c r="F2130" i="1"/>
  <c r="E2130" i="1"/>
  <c r="D2130" i="1"/>
  <c r="C2130" i="1"/>
  <c r="V2129" i="1"/>
  <c r="Q2129" i="1"/>
  <c r="P2129" i="1"/>
  <c r="O2129" i="1"/>
  <c r="N2129" i="1"/>
  <c r="I2129" i="1"/>
  <c r="H2129" i="1"/>
  <c r="G2129" i="1"/>
  <c r="F2129" i="1"/>
  <c r="E2129" i="1"/>
  <c r="D2129" i="1"/>
  <c r="C2129" i="1"/>
  <c r="V2128" i="1"/>
  <c r="Q2128" i="1"/>
  <c r="P2128" i="1"/>
  <c r="O2128" i="1"/>
  <c r="N2128" i="1"/>
  <c r="I2128" i="1"/>
  <c r="H2128" i="1"/>
  <c r="G2128" i="1"/>
  <c r="F2128" i="1"/>
  <c r="E2128" i="1"/>
  <c r="D2128" i="1"/>
  <c r="C2128" i="1"/>
  <c r="V2127" i="1"/>
  <c r="Q2127" i="1"/>
  <c r="P2127" i="1"/>
  <c r="O2127" i="1"/>
  <c r="N2127" i="1"/>
  <c r="I2127" i="1"/>
  <c r="H2127" i="1"/>
  <c r="G2127" i="1"/>
  <c r="F2127" i="1"/>
  <c r="E2127" i="1"/>
  <c r="D2127" i="1"/>
  <c r="C2127" i="1"/>
  <c r="V2126" i="1"/>
  <c r="Q2126" i="1"/>
  <c r="P2126" i="1"/>
  <c r="O2126" i="1"/>
  <c r="N2126" i="1"/>
  <c r="I2126" i="1"/>
  <c r="H2126" i="1"/>
  <c r="G2126" i="1"/>
  <c r="F2126" i="1"/>
  <c r="E2126" i="1"/>
  <c r="D2126" i="1"/>
  <c r="C2126" i="1"/>
  <c r="V2125" i="1"/>
  <c r="Q2125" i="1"/>
  <c r="P2125" i="1"/>
  <c r="O2125" i="1"/>
  <c r="N2125" i="1"/>
  <c r="I2125" i="1"/>
  <c r="H2125" i="1"/>
  <c r="G2125" i="1"/>
  <c r="F2125" i="1"/>
  <c r="E2125" i="1"/>
  <c r="D2125" i="1"/>
  <c r="C2125" i="1"/>
  <c r="V2124" i="1"/>
  <c r="Q2124" i="1"/>
  <c r="P2124" i="1"/>
  <c r="O2124" i="1"/>
  <c r="N2124" i="1"/>
  <c r="I2124" i="1"/>
  <c r="H2124" i="1"/>
  <c r="G2124" i="1"/>
  <c r="F2124" i="1"/>
  <c r="E2124" i="1"/>
  <c r="D2124" i="1"/>
  <c r="C2124" i="1"/>
  <c r="V2123" i="1"/>
  <c r="Q2123" i="1"/>
  <c r="P2123" i="1"/>
  <c r="O2123" i="1"/>
  <c r="N2123" i="1"/>
  <c r="I2123" i="1"/>
  <c r="H2123" i="1"/>
  <c r="G2123" i="1"/>
  <c r="F2123" i="1"/>
  <c r="E2123" i="1"/>
  <c r="D2123" i="1"/>
  <c r="C2123" i="1"/>
  <c r="V2122" i="1"/>
  <c r="Q2122" i="1"/>
  <c r="P2122" i="1"/>
  <c r="O2122" i="1"/>
  <c r="N2122" i="1"/>
  <c r="I2122" i="1"/>
  <c r="H2122" i="1"/>
  <c r="G2122" i="1"/>
  <c r="F2122" i="1"/>
  <c r="E2122" i="1"/>
  <c r="D2122" i="1"/>
  <c r="C2122" i="1"/>
  <c r="V2121" i="1"/>
  <c r="Q2121" i="1"/>
  <c r="P2121" i="1"/>
  <c r="O2121" i="1"/>
  <c r="N2121" i="1"/>
  <c r="H2121" i="1"/>
  <c r="G2121" i="1"/>
  <c r="F2121" i="1"/>
  <c r="E2121" i="1"/>
  <c r="D2121" i="1"/>
  <c r="C2121" i="1"/>
  <c r="V2120" i="1"/>
  <c r="Q2120" i="1"/>
  <c r="P2120" i="1"/>
  <c r="O2120" i="1"/>
  <c r="N2120" i="1"/>
  <c r="H2120" i="1"/>
  <c r="G2120" i="1"/>
  <c r="F2120" i="1"/>
  <c r="E2120" i="1"/>
  <c r="D2120" i="1"/>
  <c r="C2120" i="1"/>
  <c r="V2119" i="1"/>
  <c r="Q2119" i="1"/>
  <c r="P2119" i="1"/>
  <c r="O2119" i="1"/>
  <c r="N2119" i="1"/>
  <c r="H2119" i="1"/>
  <c r="G2119" i="1"/>
  <c r="F2119" i="1"/>
  <c r="E2119" i="1"/>
  <c r="D2119" i="1"/>
  <c r="C2119" i="1"/>
  <c r="V2118" i="1"/>
  <c r="Q2118" i="1"/>
  <c r="P2118" i="1"/>
  <c r="O2118" i="1"/>
  <c r="N2118" i="1"/>
  <c r="H2118" i="1"/>
  <c r="G2118" i="1"/>
  <c r="F2118" i="1"/>
  <c r="E2118" i="1"/>
  <c r="D2118" i="1"/>
  <c r="C2118" i="1"/>
  <c r="V2117" i="1"/>
  <c r="Q2117" i="1"/>
  <c r="P2117" i="1"/>
  <c r="O2117" i="1"/>
  <c r="N2117" i="1"/>
  <c r="H2117" i="1"/>
  <c r="G2117" i="1"/>
  <c r="F2117" i="1"/>
  <c r="E2117" i="1"/>
  <c r="D2117" i="1"/>
  <c r="C2117" i="1"/>
  <c r="V2116" i="1"/>
  <c r="Q2116" i="1"/>
  <c r="P2116" i="1"/>
  <c r="O2116" i="1"/>
  <c r="N2116" i="1"/>
  <c r="H2116" i="1"/>
  <c r="G2116" i="1"/>
  <c r="F2116" i="1"/>
  <c r="E2116" i="1"/>
  <c r="D2116" i="1"/>
  <c r="C2116" i="1"/>
  <c r="V2115" i="1"/>
  <c r="Q2115" i="1"/>
  <c r="P2115" i="1"/>
  <c r="O2115" i="1"/>
  <c r="N2115" i="1"/>
  <c r="H2115" i="1"/>
  <c r="G2115" i="1"/>
  <c r="F2115" i="1"/>
  <c r="E2115" i="1"/>
  <c r="D2115" i="1"/>
  <c r="C2115" i="1"/>
  <c r="V2114" i="1"/>
  <c r="Q2114" i="1"/>
  <c r="P2114" i="1"/>
  <c r="O2114" i="1"/>
  <c r="N2114" i="1"/>
  <c r="H2114" i="1"/>
  <c r="G2114" i="1"/>
  <c r="F2114" i="1"/>
  <c r="E2114" i="1"/>
  <c r="D2114" i="1"/>
  <c r="C2114" i="1"/>
  <c r="V2113" i="1"/>
  <c r="Q2113" i="1"/>
  <c r="P2113" i="1"/>
  <c r="O2113" i="1"/>
  <c r="N2113" i="1"/>
  <c r="H2113" i="1"/>
  <c r="G2113" i="1"/>
  <c r="F2113" i="1"/>
  <c r="E2113" i="1"/>
  <c r="D2113" i="1"/>
  <c r="C2113" i="1"/>
  <c r="V2112" i="1"/>
  <c r="Q2112" i="1"/>
  <c r="P2112" i="1"/>
  <c r="O2112" i="1"/>
  <c r="N2112" i="1"/>
  <c r="H2112" i="1"/>
  <c r="G2112" i="1"/>
  <c r="F2112" i="1"/>
  <c r="E2112" i="1"/>
  <c r="D2112" i="1"/>
  <c r="C2112" i="1"/>
  <c r="V2111" i="1"/>
  <c r="Q2111" i="1"/>
  <c r="P2111" i="1"/>
  <c r="O2111" i="1"/>
  <c r="N2111" i="1"/>
  <c r="H2111" i="1"/>
  <c r="G2111" i="1"/>
  <c r="F2111" i="1"/>
  <c r="E2111" i="1"/>
  <c r="D2111" i="1"/>
  <c r="C2111" i="1"/>
  <c r="V2110" i="1"/>
  <c r="Q2110" i="1"/>
  <c r="P2110" i="1"/>
  <c r="O2110" i="1"/>
  <c r="N2110" i="1"/>
  <c r="H2110" i="1"/>
  <c r="G2110" i="1"/>
  <c r="F2110" i="1"/>
  <c r="E2110" i="1"/>
  <c r="D2110" i="1"/>
  <c r="C2110" i="1"/>
  <c r="V2109" i="1"/>
  <c r="Q2109" i="1"/>
  <c r="P2109" i="1"/>
  <c r="O2109" i="1"/>
  <c r="N2109" i="1"/>
  <c r="H2109" i="1"/>
  <c r="G2109" i="1"/>
  <c r="F2109" i="1"/>
  <c r="E2109" i="1"/>
  <c r="D2109" i="1"/>
  <c r="C2109" i="1"/>
  <c r="V2108" i="1"/>
  <c r="Q2108" i="1"/>
  <c r="P2108" i="1"/>
  <c r="O2108" i="1"/>
  <c r="N2108" i="1"/>
  <c r="H2108" i="1"/>
  <c r="G2108" i="1"/>
  <c r="F2108" i="1"/>
  <c r="E2108" i="1"/>
  <c r="D2108" i="1"/>
  <c r="C2108" i="1"/>
  <c r="V2107" i="1"/>
  <c r="Q2107" i="1"/>
  <c r="P2107" i="1"/>
  <c r="O2107" i="1"/>
  <c r="N2107" i="1"/>
  <c r="H2107" i="1"/>
  <c r="G2107" i="1"/>
  <c r="F2107" i="1"/>
  <c r="E2107" i="1"/>
  <c r="D2107" i="1"/>
  <c r="C2107" i="1"/>
  <c r="V2106" i="1"/>
  <c r="Q2106" i="1"/>
  <c r="P2106" i="1"/>
  <c r="O2106" i="1"/>
  <c r="N2106" i="1"/>
  <c r="H2106" i="1"/>
  <c r="G2106" i="1"/>
  <c r="F2106" i="1"/>
  <c r="E2106" i="1"/>
  <c r="D2106" i="1"/>
  <c r="C2106" i="1"/>
  <c r="V2105" i="1"/>
  <c r="Q2105" i="1"/>
  <c r="P2105" i="1"/>
  <c r="O2105" i="1"/>
  <c r="N2105" i="1"/>
  <c r="H2105" i="1"/>
  <c r="G2105" i="1"/>
  <c r="F2105" i="1"/>
  <c r="E2105" i="1"/>
  <c r="D2105" i="1"/>
  <c r="C2105" i="1"/>
  <c r="V2104" i="1"/>
  <c r="Q2104" i="1"/>
  <c r="P2104" i="1"/>
  <c r="O2104" i="1"/>
  <c r="N2104" i="1"/>
  <c r="H2104" i="1"/>
  <c r="G2104" i="1"/>
  <c r="F2104" i="1"/>
  <c r="E2104" i="1"/>
  <c r="D2104" i="1"/>
  <c r="C2104" i="1"/>
  <c r="V2103" i="1"/>
  <c r="Q2103" i="1"/>
  <c r="P2103" i="1"/>
  <c r="O2103" i="1"/>
  <c r="N2103" i="1"/>
  <c r="H2103" i="1"/>
  <c r="G2103" i="1"/>
  <c r="F2103" i="1"/>
  <c r="E2103" i="1"/>
  <c r="D2103" i="1"/>
  <c r="C2103" i="1"/>
  <c r="V2102" i="1"/>
  <c r="Q2102" i="1"/>
  <c r="P2102" i="1"/>
  <c r="O2102" i="1"/>
  <c r="N2102" i="1"/>
  <c r="H2102" i="1"/>
  <c r="G2102" i="1"/>
  <c r="F2102" i="1"/>
  <c r="E2102" i="1"/>
  <c r="D2102" i="1"/>
  <c r="C2102" i="1"/>
  <c r="V2101" i="1"/>
  <c r="Q2101" i="1"/>
  <c r="P2101" i="1"/>
  <c r="O2101" i="1"/>
  <c r="N2101" i="1"/>
  <c r="H2101" i="1"/>
  <c r="G2101" i="1"/>
  <c r="F2101" i="1"/>
  <c r="E2101" i="1"/>
  <c r="D2101" i="1"/>
  <c r="C2101" i="1"/>
  <c r="V2100" i="1"/>
  <c r="Q2100" i="1"/>
  <c r="P2100" i="1"/>
  <c r="O2100" i="1"/>
  <c r="N2100" i="1"/>
  <c r="H2100" i="1"/>
  <c r="G2100" i="1"/>
  <c r="F2100" i="1"/>
  <c r="E2100" i="1"/>
  <c r="D2100" i="1"/>
  <c r="C2100" i="1"/>
  <c r="V2099" i="1"/>
  <c r="Q2099" i="1"/>
  <c r="P2099" i="1"/>
  <c r="O2099" i="1"/>
  <c r="N2099" i="1"/>
  <c r="H2099" i="1"/>
  <c r="G2099" i="1"/>
  <c r="F2099" i="1"/>
  <c r="E2099" i="1"/>
  <c r="D2099" i="1"/>
  <c r="C2099" i="1"/>
  <c r="V2098" i="1"/>
  <c r="Q2098" i="1"/>
  <c r="P2098" i="1"/>
  <c r="O2098" i="1"/>
  <c r="N2098" i="1"/>
  <c r="H2098" i="1"/>
  <c r="G2098" i="1"/>
  <c r="F2098" i="1"/>
  <c r="E2098" i="1"/>
  <c r="D2098" i="1"/>
  <c r="C2098" i="1"/>
  <c r="V2097" i="1"/>
  <c r="Q2097" i="1"/>
  <c r="P2097" i="1"/>
  <c r="O2097" i="1"/>
  <c r="N2097" i="1"/>
  <c r="H2097" i="1"/>
  <c r="G2097" i="1"/>
  <c r="F2097" i="1"/>
  <c r="E2097" i="1"/>
  <c r="D2097" i="1"/>
  <c r="C2097" i="1"/>
  <c r="V2096" i="1"/>
  <c r="Q2096" i="1"/>
  <c r="P2096" i="1"/>
  <c r="O2096" i="1"/>
  <c r="N2096" i="1"/>
  <c r="H2096" i="1"/>
  <c r="G2096" i="1"/>
  <c r="F2096" i="1"/>
  <c r="E2096" i="1"/>
  <c r="D2096" i="1"/>
  <c r="C2096" i="1"/>
  <c r="V2095" i="1"/>
  <c r="Q2095" i="1"/>
  <c r="P2095" i="1"/>
  <c r="O2095" i="1"/>
  <c r="N2095" i="1"/>
  <c r="H2095" i="1"/>
  <c r="G2095" i="1"/>
  <c r="F2095" i="1"/>
  <c r="E2095" i="1"/>
  <c r="D2095" i="1"/>
  <c r="C2095" i="1"/>
  <c r="V2094" i="1"/>
  <c r="Q2094" i="1"/>
  <c r="P2094" i="1"/>
  <c r="O2094" i="1"/>
  <c r="N2094" i="1"/>
  <c r="H2094" i="1"/>
  <c r="G2094" i="1"/>
  <c r="F2094" i="1"/>
  <c r="E2094" i="1"/>
  <c r="D2094" i="1"/>
  <c r="C2094" i="1"/>
  <c r="V2093" i="1"/>
  <c r="Q2093" i="1"/>
  <c r="P2093" i="1"/>
  <c r="O2093" i="1"/>
  <c r="N2093" i="1"/>
  <c r="H2093" i="1"/>
  <c r="G2093" i="1"/>
  <c r="F2093" i="1"/>
  <c r="E2093" i="1"/>
  <c r="D2093" i="1"/>
  <c r="C2093" i="1"/>
  <c r="V2092" i="1"/>
  <c r="Q2092" i="1"/>
  <c r="P2092" i="1"/>
  <c r="O2092" i="1"/>
  <c r="N2092" i="1"/>
  <c r="H2092" i="1"/>
  <c r="G2092" i="1"/>
  <c r="F2092" i="1"/>
  <c r="E2092" i="1"/>
  <c r="D2092" i="1"/>
  <c r="V2091" i="1"/>
  <c r="Q2091" i="1"/>
  <c r="P2091" i="1"/>
  <c r="O2091" i="1"/>
  <c r="N2091" i="1"/>
  <c r="G2091" i="1"/>
  <c r="F2091" i="1"/>
  <c r="E2091" i="1"/>
  <c r="D2091" i="1"/>
  <c r="V2090" i="1"/>
  <c r="Q2090" i="1"/>
  <c r="P2090" i="1"/>
  <c r="O2090" i="1"/>
  <c r="N2090" i="1"/>
  <c r="G2090" i="1"/>
  <c r="F2090" i="1"/>
  <c r="E2090" i="1"/>
  <c r="D2090" i="1"/>
  <c r="V2089" i="1"/>
  <c r="Q2089" i="1"/>
  <c r="P2089" i="1"/>
  <c r="O2089" i="1"/>
  <c r="N2089" i="1"/>
  <c r="G2089" i="1"/>
  <c r="F2089" i="1"/>
  <c r="E2089" i="1"/>
  <c r="D2089" i="1"/>
  <c r="V2088" i="1"/>
  <c r="Q2088" i="1"/>
  <c r="P2088" i="1"/>
  <c r="O2088" i="1"/>
  <c r="N2088" i="1"/>
  <c r="G2088" i="1"/>
  <c r="F2088" i="1"/>
  <c r="E2088" i="1"/>
  <c r="D2088" i="1"/>
  <c r="V2087" i="1"/>
  <c r="Q2087" i="1"/>
  <c r="P2087" i="1"/>
  <c r="O2087" i="1"/>
  <c r="N2087" i="1"/>
  <c r="G2087" i="1"/>
  <c r="F2087" i="1"/>
  <c r="E2087" i="1"/>
  <c r="D2087" i="1"/>
  <c r="V2086" i="1"/>
  <c r="Q2086" i="1"/>
  <c r="P2086" i="1"/>
  <c r="O2086" i="1"/>
  <c r="N2086" i="1"/>
  <c r="G2086" i="1"/>
  <c r="F2086" i="1"/>
  <c r="E2086" i="1"/>
  <c r="D2086" i="1"/>
  <c r="V2085" i="1"/>
  <c r="Q2085" i="1"/>
  <c r="P2085" i="1"/>
  <c r="O2085" i="1"/>
  <c r="N2085" i="1"/>
  <c r="G2085" i="1"/>
  <c r="F2085" i="1"/>
  <c r="E2085" i="1"/>
  <c r="D2085" i="1"/>
  <c r="V2084" i="1"/>
  <c r="Q2084" i="1"/>
  <c r="P2084" i="1"/>
  <c r="O2084" i="1"/>
  <c r="N2084" i="1"/>
  <c r="G2084" i="1"/>
  <c r="F2084" i="1"/>
  <c r="E2084" i="1"/>
  <c r="D2084" i="1"/>
  <c r="V2083" i="1"/>
  <c r="Q2083" i="1"/>
  <c r="P2083" i="1"/>
  <c r="O2083" i="1"/>
  <c r="N2083" i="1"/>
  <c r="G2083" i="1"/>
  <c r="F2083" i="1"/>
  <c r="E2083" i="1"/>
  <c r="D2083" i="1"/>
  <c r="V2082" i="1"/>
  <c r="Q2082" i="1"/>
  <c r="P2082" i="1"/>
  <c r="O2082" i="1"/>
  <c r="N2082" i="1"/>
  <c r="F2082" i="1"/>
  <c r="E2082" i="1"/>
  <c r="D2082" i="1"/>
  <c r="V2081" i="1"/>
  <c r="Q2081" i="1"/>
  <c r="P2081" i="1"/>
  <c r="O2081" i="1"/>
  <c r="N2081" i="1"/>
  <c r="F2081" i="1"/>
  <c r="E2081" i="1"/>
  <c r="D2081" i="1"/>
  <c r="V2080" i="1"/>
  <c r="Q2080" i="1"/>
  <c r="P2080" i="1"/>
  <c r="O2080" i="1"/>
  <c r="N2080" i="1"/>
  <c r="F2080" i="1"/>
  <c r="E2080" i="1"/>
  <c r="D2080" i="1"/>
  <c r="V2079" i="1"/>
  <c r="Q2079" i="1"/>
  <c r="P2079" i="1"/>
  <c r="O2079" i="1"/>
  <c r="N2079" i="1"/>
  <c r="F2079" i="1"/>
  <c r="E2079" i="1"/>
  <c r="D2079" i="1"/>
  <c r="V2078" i="1"/>
  <c r="Q2078" i="1"/>
  <c r="P2078" i="1"/>
  <c r="O2078" i="1"/>
  <c r="N2078" i="1"/>
  <c r="F2078" i="1"/>
  <c r="E2078" i="1"/>
  <c r="D2078" i="1"/>
  <c r="V2077" i="1"/>
  <c r="Q2077" i="1"/>
  <c r="P2077" i="1"/>
  <c r="O2077" i="1"/>
  <c r="N2077" i="1"/>
  <c r="F2077" i="1"/>
  <c r="E2077" i="1"/>
  <c r="D2077" i="1"/>
  <c r="V2076" i="1"/>
  <c r="Q2076" i="1"/>
  <c r="P2076" i="1"/>
  <c r="O2076" i="1"/>
  <c r="N2076" i="1"/>
  <c r="F2076" i="1"/>
  <c r="E2076" i="1"/>
  <c r="D2076" i="1"/>
  <c r="V2075" i="1"/>
  <c r="Q2075" i="1"/>
  <c r="P2075" i="1"/>
  <c r="O2075" i="1"/>
  <c r="N2075" i="1"/>
  <c r="F2075" i="1"/>
  <c r="E2075" i="1"/>
  <c r="D2075" i="1"/>
  <c r="V2074" i="1"/>
  <c r="Q2074" i="1"/>
  <c r="P2074" i="1"/>
  <c r="O2074" i="1"/>
  <c r="N2074" i="1"/>
  <c r="F2074" i="1"/>
  <c r="E2074" i="1"/>
  <c r="D2074" i="1"/>
  <c r="V2073" i="1"/>
  <c r="Q2073" i="1"/>
  <c r="P2073" i="1"/>
  <c r="O2073" i="1"/>
  <c r="N2073" i="1"/>
  <c r="F2073" i="1"/>
  <c r="E2073" i="1"/>
  <c r="D2073" i="1"/>
  <c r="V2072" i="1"/>
  <c r="Q2072" i="1"/>
  <c r="P2072" i="1"/>
  <c r="O2072" i="1"/>
  <c r="N2072" i="1"/>
  <c r="F2072" i="1"/>
  <c r="E2072" i="1"/>
  <c r="D2072" i="1"/>
  <c r="V2071" i="1"/>
  <c r="Q2071" i="1"/>
  <c r="P2071" i="1"/>
  <c r="O2071" i="1"/>
  <c r="N2071" i="1"/>
  <c r="F2071" i="1"/>
  <c r="E2071" i="1"/>
  <c r="D2071" i="1"/>
  <c r="V2070" i="1"/>
  <c r="Q2070" i="1"/>
  <c r="P2070" i="1"/>
  <c r="O2070" i="1"/>
  <c r="N2070" i="1"/>
  <c r="F2070" i="1"/>
  <c r="E2070" i="1"/>
  <c r="D2070" i="1"/>
  <c r="V2069" i="1"/>
  <c r="Q2069" i="1"/>
  <c r="P2069" i="1"/>
  <c r="O2069" i="1"/>
  <c r="N2069" i="1"/>
  <c r="F2069" i="1"/>
  <c r="E2069" i="1"/>
  <c r="D2069" i="1"/>
  <c r="V2068" i="1"/>
  <c r="Q2068" i="1"/>
  <c r="P2068" i="1"/>
  <c r="O2068" i="1"/>
  <c r="N2068" i="1"/>
  <c r="F2068" i="1"/>
  <c r="E2068" i="1"/>
  <c r="D2068" i="1"/>
  <c r="V2067" i="1"/>
  <c r="Q2067" i="1"/>
  <c r="P2067" i="1"/>
  <c r="O2067" i="1"/>
  <c r="N2067" i="1"/>
  <c r="F2067" i="1"/>
  <c r="E2067" i="1"/>
  <c r="D2067" i="1"/>
  <c r="V2066" i="1"/>
  <c r="Q2066" i="1"/>
  <c r="P2066" i="1"/>
  <c r="O2066" i="1"/>
  <c r="N2066" i="1"/>
  <c r="G2066" i="1"/>
  <c r="F2066" i="1"/>
  <c r="E2066" i="1"/>
  <c r="D2066" i="1"/>
  <c r="V2065" i="1"/>
  <c r="Q2065" i="1"/>
  <c r="P2065" i="1"/>
  <c r="O2065" i="1"/>
  <c r="N2065" i="1"/>
  <c r="G2065" i="1"/>
  <c r="F2065" i="1"/>
  <c r="E2065" i="1"/>
  <c r="D2065" i="1"/>
  <c r="V2064" i="1"/>
  <c r="Q2064" i="1"/>
  <c r="P2064" i="1"/>
  <c r="O2064" i="1"/>
  <c r="N2064" i="1"/>
  <c r="G2064" i="1"/>
  <c r="F2064" i="1"/>
  <c r="E2064" i="1"/>
  <c r="D2064" i="1"/>
  <c r="C2064" i="1"/>
  <c r="V2063" i="1"/>
  <c r="Q2063" i="1"/>
  <c r="P2063" i="1"/>
  <c r="O2063" i="1"/>
  <c r="N2063" i="1"/>
  <c r="G2063" i="1"/>
  <c r="F2063" i="1"/>
  <c r="E2063" i="1"/>
  <c r="D2063" i="1"/>
  <c r="C2063" i="1"/>
  <c r="V2062" i="1"/>
  <c r="Q2062" i="1"/>
  <c r="P2062" i="1"/>
  <c r="O2062" i="1"/>
  <c r="N2062" i="1"/>
  <c r="G2062" i="1"/>
  <c r="F2062" i="1"/>
  <c r="E2062" i="1"/>
  <c r="D2062" i="1"/>
  <c r="C2062" i="1"/>
  <c r="V2061" i="1"/>
  <c r="Q2061" i="1"/>
  <c r="P2061" i="1"/>
  <c r="O2061" i="1"/>
  <c r="N2061" i="1"/>
  <c r="G2061" i="1"/>
  <c r="F2061" i="1"/>
  <c r="E2061" i="1"/>
  <c r="D2061" i="1"/>
  <c r="C2061" i="1"/>
  <c r="V2060" i="1"/>
  <c r="Q2060" i="1"/>
  <c r="P2060" i="1"/>
  <c r="O2060" i="1"/>
  <c r="N2060" i="1"/>
  <c r="H2060" i="1"/>
  <c r="G2060" i="1"/>
  <c r="F2060" i="1"/>
  <c r="E2060" i="1"/>
  <c r="D2060" i="1"/>
  <c r="C2060" i="1"/>
  <c r="V2059" i="1"/>
  <c r="Q2059" i="1"/>
  <c r="P2059" i="1"/>
  <c r="O2059" i="1"/>
  <c r="N2059" i="1"/>
  <c r="H2059" i="1"/>
  <c r="G2059" i="1"/>
  <c r="F2059" i="1"/>
  <c r="E2059" i="1"/>
  <c r="D2059" i="1"/>
  <c r="C2059" i="1"/>
  <c r="V2058" i="1"/>
  <c r="Q2058" i="1"/>
  <c r="P2058" i="1"/>
  <c r="O2058" i="1"/>
  <c r="N2058" i="1"/>
  <c r="H2058" i="1"/>
  <c r="G2058" i="1"/>
  <c r="F2058" i="1"/>
  <c r="E2058" i="1"/>
  <c r="D2058" i="1"/>
  <c r="C2058" i="1"/>
  <c r="V2057" i="1"/>
  <c r="Q2057" i="1"/>
  <c r="P2057" i="1"/>
  <c r="O2057" i="1"/>
  <c r="N2057" i="1"/>
  <c r="H2057" i="1"/>
  <c r="G2057" i="1"/>
  <c r="F2057" i="1"/>
  <c r="E2057" i="1"/>
  <c r="D2057" i="1"/>
  <c r="C2057" i="1"/>
  <c r="V2056" i="1"/>
  <c r="Q2056" i="1"/>
  <c r="P2056" i="1"/>
  <c r="O2056" i="1"/>
  <c r="N2056" i="1"/>
  <c r="J2056" i="1"/>
  <c r="I2056" i="1"/>
  <c r="H2056" i="1"/>
  <c r="G2056" i="1"/>
  <c r="F2056" i="1"/>
  <c r="E2056" i="1"/>
  <c r="D2056" i="1"/>
  <c r="C2056" i="1"/>
  <c r="V2055" i="1"/>
  <c r="Q2055" i="1"/>
  <c r="P2055" i="1"/>
  <c r="O2055" i="1"/>
  <c r="N2055" i="1"/>
  <c r="J2055" i="1"/>
  <c r="I2055" i="1"/>
  <c r="H2055" i="1"/>
  <c r="G2055" i="1"/>
  <c r="F2055" i="1"/>
  <c r="E2055" i="1"/>
  <c r="D2055" i="1"/>
  <c r="C2055" i="1"/>
  <c r="V2054" i="1"/>
  <c r="Q2054" i="1"/>
  <c r="P2054" i="1"/>
  <c r="O2054" i="1"/>
  <c r="N2054" i="1"/>
  <c r="J2054" i="1"/>
  <c r="I2054" i="1"/>
  <c r="H2054" i="1"/>
  <c r="G2054" i="1"/>
  <c r="F2054" i="1"/>
  <c r="E2054" i="1"/>
  <c r="D2054" i="1"/>
  <c r="C2054" i="1"/>
  <c r="V2053" i="1"/>
  <c r="Q2053" i="1"/>
  <c r="P2053" i="1"/>
  <c r="O2053" i="1"/>
  <c r="N2053" i="1"/>
  <c r="J2053" i="1"/>
  <c r="I2053" i="1"/>
  <c r="H2053" i="1"/>
  <c r="G2053" i="1"/>
  <c r="F2053" i="1"/>
  <c r="E2053" i="1"/>
  <c r="D2053" i="1"/>
  <c r="C2053" i="1"/>
  <c r="V2052" i="1"/>
  <c r="Q2052" i="1"/>
  <c r="P2052" i="1"/>
  <c r="O2052" i="1"/>
  <c r="N2052" i="1"/>
  <c r="J2052" i="1"/>
  <c r="I2052" i="1"/>
  <c r="H2052" i="1"/>
  <c r="G2052" i="1"/>
  <c r="F2052" i="1"/>
  <c r="E2052" i="1"/>
  <c r="D2052" i="1"/>
  <c r="C2052" i="1"/>
  <c r="V2051" i="1"/>
  <c r="Q2051" i="1"/>
  <c r="P2051" i="1"/>
  <c r="O2051" i="1"/>
  <c r="N2051" i="1"/>
  <c r="J2051" i="1"/>
  <c r="I2051" i="1"/>
  <c r="H2051" i="1"/>
  <c r="G2051" i="1"/>
  <c r="F2051" i="1"/>
  <c r="E2051" i="1"/>
  <c r="D2051" i="1"/>
  <c r="C2051" i="1"/>
  <c r="V2050" i="1"/>
  <c r="Q2050" i="1"/>
  <c r="P2050" i="1"/>
  <c r="O2050" i="1"/>
  <c r="N2050" i="1"/>
  <c r="J2050" i="1"/>
  <c r="I2050" i="1"/>
  <c r="H2050" i="1"/>
  <c r="G2050" i="1"/>
  <c r="F2050" i="1"/>
  <c r="E2050" i="1"/>
  <c r="D2050" i="1"/>
  <c r="C2050" i="1"/>
  <c r="V2049" i="1"/>
  <c r="Q2049" i="1"/>
  <c r="P2049" i="1"/>
  <c r="O2049" i="1"/>
  <c r="N2049" i="1"/>
  <c r="J2049" i="1"/>
  <c r="I2049" i="1"/>
  <c r="H2049" i="1"/>
  <c r="G2049" i="1"/>
  <c r="F2049" i="1"/>
  <c r="E2049" i="1"/>
  <c r="D2049" i="1"/>
  <c r="C2049" i="1"/>
  <c r="V2048" i="1"/>
  <c r="Q2048" i="1"/>
  <c r="P2048" i="1"/>
  <c r="O2048" i="1"/>
  <c r="N2048" i="1"/>
  <c r="J2048" i="1"/>
  <c r="I2048" i="1"/>
  <c r="H2048" i="1"/>
  <c r="G2048" i="1"/>
  <c r="F2048" i="1"/>
  <c r="E2048" i="1"/>
  <c r="D2048" i="1"/>
  <c r="C2048" i="1"/>
  <c r="V2047" i="1"/>
  <c r="Q2047" i="1"/>
  <c r="P2047" i="1"/>
  <c r="O2047" i="1"/>
  <c r="N2047" i="1"/>
  <c r="J2047" i="1"/>
  <c r="I2047" i="1"/>
  <c r="H2047" i="1"/>
  <c r="G2047" i="1"/>
  <c r="F2047" i="1"/>
  <c r="E2047" i="1"/>
  <c r="D2047" i="1"/>
  <c r="C2047" i="1"/>
  <c r="V2046" i="1"/>
  <c r="Q2046" i="1"/>
  <c r="P2046" i="1"/>
  <c r="O2046" i="1"/>
  <c r="N2046" i="1"/>
  <c r="J2046" i="1"/>
  <c r="I2046" i="1"/>
  <c r="H2046" i="1"/>
  <c r="G2046" i="1"/>
  <c r="F2046" i="1"/>
  <c r="E2046" i="1"/>
  <c r="D2046" i="1"/>
  <c r="C2046" i="1"/>
  <c r="V2045" i="1"/>
  <c r="Q2045" i="1"/>
  <c r="P2045" i="1"/>
  <c r="O2045" i="1"/>
  <c r="N2045" i="1"/>
  <c r="J2045" i="1"/>
  <c r="I2045" i="1"/>
  <c r="H2045" i="1"/>
  <c r="G2045" i="1"/>
  <c r="F2045" i="1"/>
  <c r="E2045" i="1"/>
  <c r="D2045" i="1"/>
  <c r="C2045" i="1"/>
  <c r="V2044" i="1"/>
  <c r="Q2044" i="1"/>
  <c r="P2044" i="1"/>
  <c r="O2044" i="1"/>
  <c r="N2044" i="1"/>
  <c r="J2044" i="1"/>
  <c r="I2044" i="1"/>
  <c r="H2044" i="1"/>
  <c r="G2044" i="1"/>
  <c r="F2044" i="1"/>
  <c r="E2044" i="1"/>
  <c r="D2044" i="1"/>
  <c r="C2044" i="1"/>
  <c r="V2043" i="1"/>
  <c r="Q2043" i="1"/>
  <c r="P2043" i="1"/>
  <c r="O2043" i="1"/>
  <c r="N2043" i="1"/>
  <c r="J2043" i="1"/>
  <c r="I2043" i="1"/>
  <c r="H2043" i="1"/>
  <c r="G2043" i="1"/>
  <c r="F2043" i="1"/>
  <c r="E2043" i="1"/>
  <c r="D2043" i="1"/>
  <c r="C2043" i="1"/>
  <c r="V2042" i="1"/>
  <c r="Q2042" i="1"/>
  <c r="P2042" i="1"/>
  <c r="O2042" i="1"/>
  <c r="N2042" i="1"/>
  <c r="J2042" i="1"/>
  <c r="I2042" i="1"/>
  <c r="H2042" i="1"/>
  <c r="G2042" i="1"/>
  <c r="F2042" i="1"/>
  <c r="E2042" i="1"/>
  <c r="D2042" i="1"/>
  <c r="C2042" i="1"/>
  <c r="V2041" i="1"/>
  <c r="Q2041" i="1"/>
  <c r="P2041" i="1"/>
  <c r="O2041" i="1"/>
  <c r="N2041" i="1"/>
  <c r="J2041" i="1"/>
  <c r="I2041" i="1"/>
  <c r="H2041" i="1"/>
  <c r="G2041" i="1"/>
  <c r="F2041" i="1"/>
  <c r="E2041" i="1"/>
  <c r="D2041" i="1"/>
  <c r="C2041" i="1"/>
  <c r="V2040" i="1"/>
  <c r="Q2040" i="1"/>
  <c r="P2040" i="1"/>
  <c r="O2040" i="1"/>
  <c r="N2040" i="1"/>
  <c r="J2040" i="1"/>
  <c r="I2040" i="1"/>
  <c r="H2040" i="1"/>
  <c r="G2040" i="1"/>
  <c r="F2040" i="1"/>
  <c r="E2040" i="1"/>
  <c r="D2040" i="1"/>
  <c r="C2040" i="1"/>
  <c r="V2039" i="1"/>
  <c r="Q2039" i="1"/>
  <c r="P2039" i="1"/>
  <c r="O2039" i="1"/>
  <c r="N2039" i="1"/>
  <c r="J2039" i="1"/>
  <c r="I2039" i="1"/>
  <c r="H2039" i="1"/>
  <c r="G2039" i="1"/>
  <c r="F2039" i="1"/>
  <c r="E2039" i="1"/>
  <c r="D2039" i="1"/>
  <c r="C2039" i="1"/>
  <c r="V2038" i="1"/>
  <c r="Q2038" i="1"/>
  <c r="P2038" i="1"/>
  <c r="O2038" i="1"/>
  <c r="N2038" i="1"/>
  <c r="J2038" i="1"/>
  <c r="I2038" i="1"/>
  <c r="H2038" i="1"/>
  <c r="G2038" i="1"/>
  <c r="F2038" i="1"/>
  <c r="E2038" i="1"/>
  <c r="D2038" i="1"/>
  <c r="C2038" i="1"/>
  <c r="V2037" i="1"/>
  <c r="Q2037" i="1"/>
  <c r="P2037" i="1"/>
  <c r="O2037" i="1"/>
  <c r="N2037" i="1"/>
  <c r="J2037" i="1"/>
  <c r="I2037" i="1"/>
  <c r="H2037" i="1"/>
  <c r="G2037" i="1"/>
  <c r="F2037" i="1"/>
  <c r="E2037" i="1"/>
  <c r="D2037" i="1"/>
  <c r="C2037" i="1"/>
  <c r="V2036" i="1"/>
  <c r="Q2036" i="1"/>
  <c r="P2036" i="1"/>
  <c r="O2036" i="1"/>
  <c r="N2036" i="1"/>
  <c r="J2036" i="1"/>
  <c r="I2036" i="1"/>
  <c r="H2036" i="1"/>
  <c r="G2036" i="1"/>
  <c r="F2036" i="1"/>
  <c r="E2036" i="1"/>
  <c r="D2036" i="1"/>
  <c r="C2036" i="1"/>
  <c r="V2035" i="1"/>
  <c r="Q2035" i="1"/>
  <c r="P2035" i="1"/>
  <c r="O2035" i="1"/>
  <c r="N2035" i="1"/>
  <c r="J2035" i="1"/>
  <c r="I2035" i="1"/>
  <c r="H2035" i="1"/>
  <c r="G2035" i="1"/>
  <c r="F2035" i="1"/>
  <c r="E2035" i="1"/>
  <c r="D2035" i="1"/>
  <c r="C2035" i="1"/>
  <c r="V2034" i="1"/>
  <c r="Q2034" i="1"/>
  <c r="P2034" i="1"/>
  <c r="O2034" i="1"/>
  <c r="N2034" i="1"/>
  <c r="J2034" i="1"/>
  <c r="I2034" i="1"/>
  <c r="H2034" i="1"/>
  <c r="G2034" i="1"/>
  <c r="F2034" i="1"/>
  <c r="E2034" i="1"/>
  <c r="D2034" i="1"/>
  <c r="C2034" i="1"/>
  <c r="V2033" i="1"/>
  <c r="Q2033" i="1"/>
  <c r="P2033" i="1"/>
  <c r="O2033" i="1"/>
  <c r="N2033" i="1"/>
  <c r="J2033" i="1"/>
  <c r="I2033" i="1"/>
  <c r="H2033" i="1"/>
  <c r="G2033" i="1"/>
  <c r="F2033" i="1"/>
  <c r="E2033" i="1"/>
  <c r="D2033" i="1"/>
  <c r="C2033" i="1"/>
  <c r="V2032" i="1"/>
  <c r="Q2032" i="1"/>
  <c r="P2032" i="1"/>
  <c r="O2032" i="1"/>
  <c r="N2032" i="1"/>
  <c r="J2032" i="1"/>
  <c r="I2032" i="1"/>
  <c r="H2032" i="1"/>
  <c r="G2032" i="1"/>
  <c r="F2032" i="1"/>
  <c r="E2032" i="1"/>
  <c r="D2032" i="1"/>
  <c r="C2032" i="1"/>
  <c r="V2031" i="1"/>
  <c r="Q2031" i="1"/>
  <c r="P2031" i="1"/>
  <c r="O2031" i="1"/>
  <c r="N2031" i="1"/>
  <c r="J2031" i="1"/>
  <c r="I2031" i="1"/>
  <c r="H2031" i="1"/>
  <c r="G2031" i="1"/>
  <c r="F2031" i="1"/>
  <c r="E2031" i="1"/>
  <c r="D2031" i="1"/>
  <c r="C2031" i="1"/>
  <c r="V2030" i="1"/>
  <c r="Q2030" i="1"/>
  <c r="P2030" i="1"/>
  <c r="O2030" i="1"/>
  <c r="N2030" i="1"/>
  <c r="J2030" i="1"/>
  <c r="I2030" i="1"/>
  <c r="H2030" i="1"/>
  <c r="G2030" i="1"/>
  <c r="F2030" i="1"/>
  <c r="E2030" i="1"/>
  <c r="D2030" i="1"/>
  <c r="C2030" i="1"/>
  <c r="V2029" i="1"/>
  <c r="Q2029" i="1"/>
  <c r="P2029" i="1"/>
  <c r="O2029" i="1"/>
  <c r="N2029" i="1"/>
  <c r="J2029" i="1"/>
  <c r="I2029" i="1"/>
  <c r="H2029" i="1"/>
  <c r="G2029" i="1"/>
  <c r="F2029" i="1"/>
  <c r="E2029" i="1"/>
  <c r="D2029" i="1"/>
  <c r="C2029" i="1"/>
  <c r="V2028" i="1"/>
  <c r="Q2028" i="1"/>
  <c r="P2028" i="1"/>
  <c r="O2028" i="1"/>
  <c r="N2028" i="1"/>
  <c r="J2028" i="1"/>
  <c r="I2028" i="1"/>
  <c r="H2028" i="1"/>
  <c r="G2028" i="1"/>
  <c r="F2028" i="1"/>
  <c r="E2028" i="1"/>
  <c r="D2028" i="1"/>
  <c r="C2028" i="1"/>
  <c r="V2027" i="1"/>
  <c r="Q2027" i="1"/>
  <c r="P2027" i="1"/>
  <c r="O2027" i="1"/>
  <c r="N2027" i="1"/>
  <c r="J2027" i="1"/>
  <c r="I2027" i="1"/>
  <c r="H2027" i="1"/>
  <c r="G2027" i="1"/>
  <c r="F2027" i="1"/>
  <c r="E2027" i="1"/>
  <c r="D2027" i="1"/>
  <c r="C2027" i="1"/>
  <c r="V2026" i="1"/>
  <c r="Q2026" i="1"/>
  <c r="P2026" i="1"/>
  <c r="O2026" i="1"/>
  <c r="N2026" i="1"/>
  <c r="J2026" i="1"/>
  <c r="I2026" i="1"/>
  <c r="H2026" i="1"/>
  <c r="G2026" i="1"/>
  <c r="F2026" i="1"/>
  <c r="E2026" i="1"/>
  <c r="D2026" i="1"/>
  <c r="C2026" i="1"/>
  <c r="V2025" i="1"/>
  <c r="Q2025" i="1"/>
  <c r="P2025" i="1"/>
  <c r="O2025" i="1"/>
  <c r="N2025" i="1"/>
  <c r="J2025" i="1"/>
  <c r="I2025" i="1"/>
  <c r="H2025" i="1"/>
  <c r="G2025" i="1"/>
  <c r="F2025" i="1"/>
  <c r="E2025" i="1"/>
  <c r="D2025" i="1"/>
  <c r="C2025" i="1"/>
  <c r="V2024" i="1"/>
  <c r="Q2024" i="1"/>
  <c r="P2024" i="1"/>
  <c r="O2024" i="1"/>
  <c r="N2024" i="1"/>
  <c r="J2024" i="1"/>
  <c r="I2024" i="1"/>
  <c r="H2024" i="1"/>
  <c r="G2024" i="1"/>
  <c r="F2024" i="1"/>
  <c r="E2024" i="1"/>
  <c r="D2024" i="1"/>
  <c r="C2024" i="1"/>
  <c r="V2023" i="1"/>
  <c r="Q2023" i="1"/>
  <c r="P2023" i="1"/>
  <c r="O2023" i="1"/>
  <c r="N2023" i="1"/>
  <c r="J2023" i="1"/>
  <c r="I2023" i="1"/>
  <c r="H2023" i="1"/>
  <c r="G2023" i="1"/>
  <c r="F2023" i="1"/>
  <c r="E2023" i="1"/>
  <c r="D2023" i="1"/>
  <c r="C2023" i="1"/>
  <c r="V2022" i="1"/>
  <c r="Q2022" i="1"/>
  <c r="P2022" i="1"/>
  <c r="O2022" i="1"/>
  <c r="N2022" i="1"/>
  <c r="J2022" i="1"/>
  <c r="I2022" i="1"/>
  <c r="H2022" i="1"/>
  <c r="G2022" i="1"/>
  <c r="F2022" i="1"/>
  <c r="E2022" i="1"/>
  <c r="D2022" i="1"/>
  <c r="C2022" i="1"/>
  <c r="V2021" i="1"/>
  <c r="Q2021" i="1"/>
  <c r="P2021" i="1"/>
  <c r="O2021" i="1"/>
  <c r="N2021" i="1"/>
  <c r="J2021" i="1"/>
  <c r="I2021" i="1"/>
  <c r="H2021" i="1"/>
  <c r="G2021" i="1"/>
  <c r="F2021" i="1"/>
  <c r="E2021" i="1"/>
  <c r="D2021" i="1"/>
  <c r="C2021" i="1"/>
  <c r="V2020" i="1"/>
  <c r="Q2020" i="1"/>
  <c r="P2020" i="1"/>
  <c r="O2020" i="1"/>
  <c r="N2020" i="1"/>
  <c r="J2020" i="1"/>
  <c r="I2020" i="1"/>
  <c r="H2020" i="1"/>
  <c r="G2020" i="1"/>
  <c r="F2020" i="1"/>
  <c r="E2020" i="1"/>
  <c r="D2020" i="1"/>
  <c r="C2020" i="1"/>
  <c r="V2019" i="1"/>
  <c r="Q2019" i="1"/>
  <c r="P2019" i="1"/>
  <c r="O2019" i="1"/>
  <c r="N2019" i="1"/>
  <c r="J2019" i="1"/>
  <c r="I2019" i="1"/>
  <c r="H2019" i="1"/>
  <c r="G2019" i="1"/>
  <c r="F2019" i="1"/>
  <c r="E2019" i="1"/>
  <c r="D2019" i="1"/>
  <c r="C2019" i="1"/>
  <c r="V2018" i="1"/>
  <c r="Q2018" i="1"/>
  <c r="P2018" i="1"/>
  <c r="O2018" i="1"/>
  <c r="N2018" i="1"/>
  <c r="J2018" i="1"/>
  <c r="I2018" i="1"/>
  <c r="H2018" i="1"/>
  <c r="G2018" i="1"/>
  <c r="F2018" i="1"/>
  <c r="E2018" i="1"/>
  <c r="D2018" i="1"/>
  <c r="C2018" i="1"/>
  <c r="V2017" i="1"/>
  <c r="Q2017" i="1"/>
  <c r="P2017" i="1"/>
  <c r="O2017" i="1"/>
  <c r="N2017" i="1"/>
  <c r="J2017" i="1"/>
  <c r="I2017" i="1"/>
  <c r="H2017" i="1"/>
  <c r="G2017" i="1"/>
  <c r="F2017" i="1"/>
  <c r="E2017" i="1"/>
  <c r="D2017" i="1"/>
  <c r="C2017" i="1"/>
  <c r="V2016" i="1"/>
  <c r="Q2016" i="1"/>
  <c r="P2016" i="1"/>
  <c r="O2016" i="1"/>
  <c r="N2016" i="1"/>
  <c r="J2016" i="1"/>
  <c r="I2016" i="1"/>
  <c r="H2016" i="1"/>
  <c r="G2016" i="1"/>
  <c r="F2016" i="1"/>
  <c r="E2016" i="1"/>
  <c r="D2016" i="1"/>
  <c r="C2016" i="1"/>
  <c r="V2015" i="1"/>
  <c r="Q2015" i="1"/>
  <c r="P2015" i="1"/>
  <c r="O2015" i="1"/>
  <c r="N2015" i="1"/>
  <c r="J2015" i="1"/>
  <c r="I2015" i="1"/>
  <c r="H2015" i="1"/>
  <c r="G2015" i="1"/>
  <c r="F2015" i="1"/>
  <c r="E2015" i="1"/>
  <c r="D2015" i="1"/>
  <c r="C2015" i="1"/>
  <c r="V2014" i="1"/>
  <c r="Q2014" i="1"/>
  <c r="P2014" i="1"/>
  <c r="O2014" i="1"/>
  <c r="N2014" i="1"/>
  <c r="J2014" i="1"/>
  <c r="I2014" i="1"/>
  <c r="H2014" i="1"/>
  <c r="G2014" i="1"/>
  <c r="F2014" i="1"/>
  <c r="E2014" i="1"/>
  <c r="D2014" i="1"/>
  <c r="C2014" i="1"/>
  <c r="V2013" i="1"/>
  <c r="Q2013" i="1"/>
  <c r="P2013" i="1"/>
  <c r="O2013" i="1"/>
  <c r="N2013" i="1"/>
  <c r="J2013" i="1"/>
  <c r="I2013" i="1"/>
  <c r="H2013" i="1"/>
  <c r="G2013" i="1"/>
  <c r="F2013" i="1"/>
  <c r="E2013" i="1"/>
  <c r="D2013" i="1"/>
  <c r="C2013" i="1"/>
  <c r="V2012" i="1"/>
  <c r="Q2012" i="1"/>
  <c r="P2012" i="1"/>
  <c r="O2012" i="1"/>
  <c r="N2012" i="1"/>
  <c r="J2012" i="1"/>
  <c r="I2012" i="1"/>
  <c r="H2012" i="1"/>
  <c r="G2012" i="1"/>
  <c r="F2012" i="1"/>
  <c r="E2012" i="1"/>
  <c r="D2012" i="1"/>
  <c r="C2012" i="1"/>
  <c r="V2011" i="1"/>
  <c r="Q2011" i="1"/>
  <c r="P2011" i="1"/>
  <c r="O2011" i="1"/>
  <c r="N2011" i="1"/>
  <c r="J2011" i="1"/>
  <c r="I2011" i="1"/>
  <c r="H2011" i="1"/>
  <c r="G2011" i="1"/>
  <c r="F2011" i="1"/>
  <c r="E2011" i="1"/>
  <c r="D2011" i="1"/>
  <c r="C2011" i="1"/>
  <c r="V2010" i="1"/>
  <c r="Q2010" i="1"/>
  <c r="P2010" i="1"/>
  <c r="O2010" i="1"/>
  <c r="N2010" i="1"/>
  <c r="J2010" i="1"/>
  <c r="I2010" i="1"/>
  <c r="H2010" i="1"/>
  <c r="G2010" i="1"/>
  <c r="F2010" i="1"/>
  <c r="E2010" i="1"/>
  <c r="D2010" i="1"/>
  <c r="C2010" i="1"/>
  <c r="V2009" i="1"/>
  <c r="Q2009" i="1"/>
  <c r="P2009" i="1"/>
  <c r="O2009" i="1"/>
  <c r="N2009" i="1"/>
  <c r="J2009" i="1"/>
  <c r="I2009" i="1"/>
  <c r="H2009" i="1"/>
  <c r="G2009" i="1"/>
  <c r="F2009" i="1"/>
  <c r="E2009" i="1"/>
  <c r="D2009" i="1"/>
  <c r="C2009" i="1"/>
  <c r="V2008" i="1"/>
  <c r="Q2008" i="1"/>
  <c r="P2008" i="1"/>
  <c r="O2008" i="1"/>
  <c r="N2008" i="1"/>
  <c r="J2008" i="1"/>
  <c r="I2008" i="1"/>
  <c r="H2008" i="1"/>
  <c r="G2008" i="1"/>
  <c r="F2008" i="1"/>
  <c r="E2008" i="1"/>
  <c r="D2008" i="1"/>
  <c r="C2008" i="1"/>
  <c r="V2007" i="1"/>
  <c r="Q2007" i="1"/>
  <c r="P2007" i="1"/>
  <c r="O2007" i="1"/>
  <c r="N2007" i="1"/>
  <c r="J2007" i="1"/>
  <c r="I2007" i="1"/>
  <c r="H2007" i="1"/>
  <c r="G2007" i="1"/>
  <c r="F2007" i="1"/>
  <c r="E2007" i="1"/>
  <c r="D2007" i="1"/>
  <c r="C2007" i="1"/>
  <c r="V2006" i="1"/>
  <c r="Q2006" i="1"/>
  <c r="P2006" i="1"/>
  <c r="O2006" i="1"/>
  <c r="N2006" i="1"/>
  <c r="J2006" i="1"/>
  <c r="I2006" i="1"/>
  <c r="H2006" i="1"/>
  <c r="G2006" i="1"/>
  <c r="F2006" i="1"/>
  <c r="E2006" i="1"/>
  <c r="D2006" i="1"/>
  <c r="C2006" i="1"/>
  <c r="V2005" i="1"/>
  <c r="Q2005" i="1"/>
  <c r="P2005" i="1"/>
  <c r="O2005" i="1"/>
  <c r="N2005" i="1"/>
  <c r="J2005" i="1"/>
  <c r="I2005" i="1"/>
  <c r="H2005" i="1"/>
  <c r="G2005" i="1"/>
  <c r="F2005" i="1"/>
  <c r="E2005" i="1"/>
  <c r="D2005" i="1"/>
  <c r="C2005" i="1"/>
  <c r="V2004" i="1"/>
  <c r="Q2004" i="1"/>
  <c r="P2004" i="1"/>
  <c r="O2004" i="1"/>
  <c r="N2004" i="1"/>
  <c r="J2004" i="1"/>
  <c r="I2004" i="1"/>
  <c r="H2004" i="1"/>
  <c r="G2004" i="1"/>
  <c r="F2004" i="1"/>
  <c r="E2004" i="1"/>
  <c r="D2004" i="1"/>
  <c r="C2004" i="1"/>
  <c r="V2003" i="1"/>
  <c r="Q2003" i="1"/>
  <c r="P2003" i="1"/>
  <c r="O2003" i="1"/>
  <c r="N2003" i="1"/>
  <c r="J2003" i="1"/>
  <c r="I2003" i="1"/>
  <c r="H2003" i="1"/>
  <c r="G2003" i="1"/>
  <c r="F2003" i="1"/>
  <c r="E2003" i="1"/>
  <c r="D2003" i="1"/>
  <c r="C2003" i="1"/>
  <c r="V2002" i="1"/>
  <c r="Q2002" i="1"/>
  <c r="P2002" i="1"/>
  <c r="O2002" i="1"/>
  <c r="N2002" i="1"/>
  <c r="J2002" i="1"/>
  <c r="I2002" i="1"/>
  <c r="H2002" i="1"/>
  <c r="G2002" i="1"/>
  <c r="F2002" i="1"/>
  <c r="E2002" i="1"/>
  <c r="D2002" i="1"/>
  <c r="C2002" i="1"/>
  <c r="V2001" i="1"/>
  <c r="Q2001" i="1"/>
  <c r="P2001" i="1"/>
  <c r="O2001" i="1"/>
  <c r="N2001" i="1"/>
  <c r="J2001" i="1"/>
  <c r="I2001" i="1"/>
  <c r="H2001" i="1"/>
  <c r="G2001" i="1"/>
  <c r="F2001" i="1"/>
  <c r="E2001" i="1"/>
  <c r="D2001" i="1"/>
  <c r="C2001" i="1"/>
  <c r="V2000" i="1"/>
  <c r="Q2000" i="1"/>
  <c r="P2000" i="1"/>
  <c r="O2000" i="1"/>
  <c r="N2000" i="1"/>
  <c r="J2000" i="1"/>
  <c r="I2000" i="1"/>
  <c r="H2000" i="1"/>
  <c r="G2000" i="1"/>
  <c r="F2000" i="1"/>
  <c r="E2000" i="1"/>
  <c r="D2000" i="1"/>
  <c r="C2000" i="1"/>
  <c r="V1999" i="1"/>
  <c r="Q1999" i="1"/>
  <c r="P1999" i="1"/>
  <c r="O1999" i="1"/>
  <c r="N1999" i="1"/>
  <c r="J1999" i="1"/>
  <c r="I1999" i="1"/>
  <c r="H1999" i="1"/>
  <c r="G1999" i="1"/>
  <c r="F1999" i="1"/>
  <c r="E1999" i="1"/>
  <c r="D1999" i="1"/>
  <c r="C1999" i="1"/>
  <c r="V1998" i="1"/>
  <c r="Q1998" i="1"/>
  <c r="P1998" i="1"/>
  <c r="O1998" i="1"/>
  <c r="N1998" i="1"/>
  <c r="J1998" i="1"/>
  <c r="I1998" i="1"/>
  <c r="H1998" i="1"/>
  <c r="G1998" i="1"/>
  <c r="F1998" i="1"/>
  <c r="E1998" i="1"/>
  <c r="D1998" i="1"/>
  <c r="C1998" i="1"/>
  <c r="V1997" i="1"/>
  <c r="Q1997" i="1"/>
  <c r="P1997" i="1"/>
  <c r="O1997" i="1"/>
  <c r="N1997" i="1"/>
  <c r="J1997" i="1"/>
  <c r="I1997" i="1"/>
  <c r="H1997" i="1"/>
  <c r="G1997" i="1"/>
  <c r="F1997" i="1"/>
  <c r="E1997" i="1"/>
  <c r="D1997" i="1"/>
  <c r="C1997" i="1"/>
  <c r="V1996" i="1"/>
  <c r="Q1996" i="1"/>
  <c r="P1996" i="1"/>
  <c r="O1996" i="1"/>
  <c r="N1996" i="1"/>
  <c r="J1996" i="1"/>
  <c r="I1996" i="1"/>
  <c r="H1996" i="1"/>
  <c r="G1996" i="1"/>
  <c r="F1996" i="1"/>
  <c r="E1996" i="1"/>
  <c r="D1996" i="1"/>
  <c r="C1996" i="1"/>
  <c r="V1995" i="1"/>
  <c r="Q1995" i="1"/>
  <c r="P1995" i="1"/>
  <c r="O1995" i="1"/>
  <c r="N1995" i="1"/>
  <c r="J1995" i="1"/>
  <c r="I1995" i="1"/>
  <c r="H1995" i="1"/>
  <c r="G1995" i="1"/>
  <c r="F1995" i="1"/>
  <c r="E1995" i="1"/>
  <c r="D1995" i="1"/>
  <c r="C1995" i="1"/>
  <c r="V1994" i="1"/>
  <c r="Q1994" i="1"/>
  <c r="P1994" i="1"/>
  <c r="O1994" i="1"/>
  <c r="N1994" i="1"/>
  <c r="J1994" i="1"/>
  <c r="I1994" i="1"/>
  <c r="H1994" i="1"/>
  <c r="G1994" i="1"/>
  <c r="F1994" i="1"/>
  <c r="E1994" i="1"/>
  <c r="D1994" i="1"/>
  <c r="C1994" i="1"/>
  <c r="V1993" i="1"/>
  <c r="Q1993" i="1"/>
  <c r="P1993" i="1"/>
  <c r="O1993" i="1"/>
  <c r="N1993" i="1"/>
  <c r="J1993" i="1"/>
  <c r="I1993" i="1"/>
  <c r="H1993" i="1"/>
  <c r="G1993" i="1"/>
  <c r="F1993" i="1"/>
  <c r="E1993" i="1"/>
  <c r="D1993" i="1"/>
  <c r="C1993" i="1"/>
  <c r="V1992" i="1"/>
  <c r="Q1992" i="1"/>
  <c r="P1992" i="1"/>
  <c r="O1992" i="1"/>
  <c r="N1992" i="1"/>
  <c r="J1992" i="1"/>
  <c r="I1992" i="1"/>
  <c r="H1992" i="1"/>
  <c r="G1992" i="1"/>
  <c r="F1992" i="1"/>
  <c r="E1992" i="1"/>
  <c r="D1992" i="1"/>
  <c r="C1992" i="1"/>
  <c r="V1991" i="1"/>
  <c r="Q1991" i="1"/>
  <c r="P1991" i="1"/>
  <c r="O1991" i="1"/>
  <c r="N1991" i="1"/>
  <c r="J1991" i="1"/>
  <c r="I1991" i="1"/>
  <c r="H1991" i="1"/>
  <c r="G1991" i="1"/>
  <c r="F1991" i="1"/>
  <c r="E1991" i="1"/>
  <c r="D1991" i="1"/>
  <c r="C1991" i="1"/>
  <c r="V1990" i="1"/>
  <c r="Q1990" i="1"/>
  <c r="P1990" i="1"/>
  <c r="O1990" i="1"/>
  <c r="N1990" i="1"/>
  <c r="J1990" i="1"/>
  <c r="I1990" i="1"/>
  <c r="H1990" i="1"/>
  <c r="G1990" i="1"/>
  <c r="F1990" i="1"/>
  <c r="E1990" i="1"/>
  <c r="D1990" i="1"/>
  <c r="C1990" i="1"/>
  <c r="V1989" i="1"/>
  <c r="Q1989" i="1"/>
  <c r="P1989" i="1"/>
  <c r="O1989" i="1"/>
  <c r="N1989" i="1"/>
  <c r="J1989" i="1"/>
  <c r="I1989" i="1"/>
  <c r="H1989" i="1"/>
  <c r="G1989" i="1"/>
  <c r="F1989" i="1"/>
  <c r="E1989" i="1"/>
  <c r="D1989" i="1"/>
  <c r="C1989" i="1"/>
  <c r="V1988" i="1"/>
  <c r="Q1988" i="1"/>
  <c r="P1988" i="1"/>
  <c r="O1988" i="1"/>
  <c r="N1988" i="1"/>
  <c r="J1988" i="1"/>
  <c r="I1988" i="1"/>
  <c r="H1988" i="1"/>
  <c r="G1988" i="1"/>
  <c r="F1988" i="1"/>
  <c r="E1988" i="1"/>
  <c r="D1988" i="1"/>
  <c r="C1988" i="1"/>
  <c r="V1987" i="1"/>
  <c r="Q1987" i="1"/>
  <c r="P1987" i="1"/>
  <c r="O1987" i="1"/>
  <c r="N1987" i="1"/>
  <c r="J1987" i="1"/>
  <c r="I1987" i="1"/>
  <c r="H1987" i="1"/>
  <c r="G1987" i="1"/>
  <c r="F1987" i="1"/>
  <c r="E1987" i="1"/>
  <c r="D1987" i="1"/>
  <c r="C1987" i="1"/>
  <c r="V1986" i="1"/>
  <c r="Q1986" i="1"/>
  <c r="P1986" i="1"/>
  <c r="O1986" i="1"/>
  <c r="N1986" i="1"/>
  <c r="J1986" i="1"/>
  <c r="I1986" i="1"/>
  <c r="H1986" i="1"/>
  <c r="G1986" i="1"/>
  <c r="F1986" i="1"/>
  <c r="E1986" i="1"/>
  <c r="D1986" i="1"/>
  <c r="C1986" i="1"/>
  <c r="V1985" i="1"/>
  <c r="Q1985" i="1"/>
  <c r="P1985" i="1"/>
  <c r="O1985" i="1"/>
  <c r="N1985" i="1"/>
  <c r="J1985" i="1"/>
  <c r="I1985" i="1"/>
  <c r="H1985" i="1"/>
  <c r="G1985" i="1"/>
  <c r="F1985" i="1"/>
  <c r="E1985" i="1"/>
  <c r="D1985" i="1"/>
  <c r="C1985" i="1"/>
  <c r="V1984" i="1"/>
  <c r="Q1984" i="1"/>
  <c r="P1984" i="1"/>
  <c r="O1984" i="1"/>
  <c r="N1984" i="1"/>
  <c r="J1984" i="1"/>
  <c r="I1984" i="1"/>
  <c r="H1984" i="1"/>
  <c r="G1984" i="1"/>
  <c r="F1984" i="1"/>
  <c r="E1984" i="1"/>
  <c r="D1984" i="1"/>
  <c r="C1984" i="1"/>
  <c r="V1983" i="1"/>
  <c r="Q1983" i="1"/>
  <c r="P1983" i="1"/>
  <c r="O1983" i="1"/>
  <c r="N1983" i="1"/>
  <c r="J1983" i="1"/>
  <c r="I1983" i="1"/>
  <c r="H1983" i="1"/>
  <c r="G1983" i="1"/>
  <c r="F1983" i="1"/>
  <c r="E1983" i="1"/>
  <c r="D1983" i="1"/>
  <c r="C1983" i="1"/>
  <c r="V1982" i="1"/>
  <c r="Q1982" i="1"/>
  <c r="P1982" i="1"/>
  <c r="O1982" i="1"/>
  <c r="N1982" i="1"/>
  <c r="J1982" i="1"/>
  <c r="I1982" i="1"/>
  <c r="H1982" i="1"/>
  <c r="G1982" i="1"/>
  <c r="F1982" i="1"/>
  <c r="E1982" i="1"/>
  <c r="D1982" i="1"/>
  <c r="C1982" i="1"/>
  <c r="V1981" i="1"/>
  <c r="Q1981" i="1"/>
  <c r="P1981" i="1"/>
  <c r="O1981" i="1"/>
  <c r="N1981" i="1"/>
  <c r="J1981" i="1"/>
  <c r="I1981" i="1"/>
  <c r="H1981" i="1"/>
  <c r="G1981" i="1"/>
  <c r="F1981" i="1"/>
  <c r="E1981" i="1"/>
  <c r="D1981" i="1"/>
  <c r="C1981" i="1"/>
  <c r="V1980" i="1"/>
  <c r="Q1980" i="1"/>
  <c r="P1980" i="1"/>
  <c r="O1980" i="1"/>
  <c r="N1980" i="1"/>
  <c r="J1980" i="1"/>
  <c r="I1980" i="1"/>
  <c r="H1980" i="1"/>
  <c r="G1980" i="1"/>
  <c r="F1980" i="1"/>
  <c r="E1980" i="1"/>
  <c r="D1980" i="1"/>
  <c r="C1980" i="1"/>
  <c r="V1979" i="1"/>
  <c r="Q1979" i="1"/>
  <c r="P1979" i="1"/>
  <c r="O1979" i="1"/>
  <c r="N1979" i="1"/>
  <c r="J1979" i="1"/>
  <c r="I1979" i="1"/>
  <c r="H1979" i="1"/>
  <c r="G1979" i="1"/>
  <c r="F1979" i="1"/>
  <c r="E1979" i="1"/>
  <c r="D1979" i="1"/>
  <c r="C1979" i="1"/>
  <c r="V1978" i="1"/>
  <c r="Q1978" i="1"/>
  <c r="P1978" i="1"/>
  <c r="O1978" i="1"/>
  <c r="N1978" i="1"/>
  <c r="J1978" i="1"/>
  <c r="I1978" i="1"/>
  <c r="H1978" i="1"/>
  <c r="G1978" i="1"/>
  <c r="F1978" i="1"/>
  <c r="E1978" i="1"/>
  <c r="D1978" i="1"/>
  <c r="C1978" i="1"/>
  <c r="V1977" i="1"/>
  <c r="Q1977" i="1"/>
  <c r="P1977" i="1"/>
  <c r="O1977" i="1"/>
  <c r="N1977" i="1"/>
  <c r="J1977" i="1"/>
  <c r="I1977" i="1"/>
  <c r="H1977" i="1"/>
  <c r="G1977" i="1"/>
  <c r="F1977" i="1"/>
  <c r="E1977" i="1"/>
  <c r="D1977" i="1"/>
  <c r="C1977" i="1"/>
  <c r="V1976" i="1"/>
  <c r="Q1976" i="1"/>
  <c r="P1976" i="1"/>
  <c r="O1976" i="1"/>
  <c r="N1976" i="1"/>
  <c r="J1976" i="1"/>
  <c r="I1976" i="1"/>
  <c r="H1976" i="1"/>
  <c r="G1976" i="1"/>
  <c r="F1976" i="1"/>
  <c r="E1976" i="1"/>
  <c r="D1976" i="1"/>
  <c r="C1976" i="1"/>
  <c r="V1975" i="1"/>
  <c r="Q1975" i="1"/>
  <c r="P1975" i="1"/>
  <c r="O1975" i="1"/>
  <c r="N1975" i="1"/>
  <c r="J1975" i="1"/>
  <c r="I1975" i="1"/>
  <c r="H1975" i="1"/>
  <c r="G1975" i="1"/>
  <c r="F1975" i="1"/>
  <c r="E1975" i="1"/>
  <c r="D1975" i="1"/>
  <c r="C1975" i="1"/>
  <c r="V1974" i="1"/>
  <c r="Q1974" i="1"/>
  <c r="P1974" i="1"/>
  <c r="O1974" i="1"/>
  <c r="N1974" i="1"/>
  <c r="J1974" i="1"/>
  <c r="I1974" i="1"/>
  <c r="H1974" i="1"/>
  <c r="G1974" i="1"/>
  <c r="F1974" i="1"/>
  <c r="E1974" i="1"/>
  <c r="D1974" i="1"/>
  <c r="C1974" i="1"/>
  <c r="V1973" i="1"/>
  <c r="Q1973" i="1"/>
  <c r="P1973" i="1"/>
  <c r="O1973" i="1"/>
  <c r="N1973" i="1"/>
  <c r="J1973" i="1"/>
  <c r="I1973" i="1"/>
  <c r="H1973" i="1"/>
  <c r="G1973" i="1"/>
  <c r="F1973" i="1"/>
  <c r="E1973" i="1"/>
  <c r="D1973" i="1"/>
  <c r="C1973" i="1"/>
  <c r="V1972" i="1"/>
  <c r="Q1972" i="1"/>
  <c r="P1972" i="1"/>
  <c r="O1972" i="1"/>
  <c r="N1972" i="1"/>
  <c r="J1972" i="1"/>
  <c r="I1972" i="1"/>
  <c r="H1972" i="1"/>
  <c r="G1972" i="1"/>
  <c r="F1972" i="1"/>
  <c r="E1972" i="1"/>
  <c r="D1972" i="1"/>
  <c r="C1972" i="1"/>
  <c r="V1971" i="1"/>
  <c r="Q1971" i="1"/>
  <c r="P1971" i="1"/>
  <c r="O1971" i="1"/>
  <c r="N1971" i="1"/>
  <c r="J1971" i="1"/>
  <c r="I1971" i="1"/>
  <c r="H1971" i="1"/>
  <c r="G1971" i="1"/>
  <c r="F1971" i="1"/>
  <c r="E1971" i="1"/>
  <c r="D1971" i="1"/>
  <c r="C1971" i="1"/>
  <c r="V1970" i="1"/>
  <c r="Q1970" i="1"/>
  <c r="P1970" i="1"/>
  <c r="O1970" i="1"/>
  <c r="N1970" i="1"/>
  <c r="J1970" i="1"/>
  <c r="I1970" i="1"/>
  <c r="H1970" i="1"/>
  <c r="G1970" i="1"/>
  <c r="F1970" i="1"/>
  <c r="E1970" i="1"/>
  <c r="D1970" i="1"/>
  <c r="C1970" i="1"/>
  <c r="V1969" i="1"/>
  <c r="Q1969" i="1"/>
  <c r="P1969" i="1"/>
  <c r="O1969" i="1"/>
  <c r="N1969" i="1"/>
  <c r="J1969" i="1"/>
  <c r="I1969" i="1"/>
  <c r="H1969" i="1"/>
  <c r="G1969" i="1"/>
  <c r="F1969" i="1"/>
  <c r="E1969" i="1"/>
  <c r="D1969" i="1"/>
  <c r="C1969" i="1"/>
  <c r="V1968" i="1"/>
  <c r="Q1968" i="1"/>
  <c r="P1968" i="1"/>
  <c r="O1968" i="1"/>
  <c r="N1968" i="1"/>
  <c r="J1968" i="1"/>
  <c r="I1968" i="1"/>
  <c r="H1968" i="1"/>
  <c r="G1968" i="1"/>
  <c r="F1968" i="1"/>
  <c r="E1968" i="1"/>
  <c r="D1968" i="1"/>
  <c r="C1968" i="1"/>
  <c r="V1967" i="1"/>
  <c r="Q1967" i="1"/>
  <c r="P1967" i="1"/>
  <c r="O1967" i="1"/>
  <c r="N1967" i="1"/>
  <c r="J1967" i="1"/>
  <c r="I1967" i="1"/>
  <c r="H1967" i="1"/>
  <c r="G1967" i="1"/>
  <c r="F1967" i="1"/>
  <c r="E1967" i="1"/>
  <c r="D1967" i="1"/>
  <c r="C1967" i="1"/>
  <c r="V1966" i="1"/>
  <c r="Q1966" i="1"/>
  <c r="P1966" i="1"/>
  <c r="O1966" i="1"/>
  <c r="N1966" i="1"/>
  <c r="J1966" i="1"/>
  <c r="I1966" i="1"/>
  <c r="H1966" i="1"/>
  <c r="G1966" i="1"/>
  <c r="F1966" i="1"/>
  <c r="E1966" i="1"/>
  <c r="D1966" i="1"/>
  <c r="C1966" i="1"/>
  <c r="V1965" i="1"/>
  <c r="Q1965" i="1"/>
  <c r="P1965" i="1"/>
  <c r="O1965" i="1"/>
  <c r="N1965" i="1"/>
  <c r="J1965" i="1"/>
  <c r="I1965" i="1"/>
  <c r="H1965" i="1"/>
  <c r="G1965" i="1"/>
  <c r="F1965" i="1"/>
  <c r="E1965" i="1"/>
  <c r="D1965" i="1"/>
  <c r="C1965" i="1"/>
  <c r="V1964" i="1"/>
  <c r="Q1964" i="1"/>
  <c r="P1964" i="1"/>
  <c r="O1964" i="1"/>
  <c r="N1964" i="1"/>
  <c r="J1964" i="1"/>
  <c r="I1964" i="1"/>
  <c r="H1964" i="1"/>
  <c r="G1964" i="1"/>
  <c r="F1964" i="1"/>
  <c r="E1964" i="1"/>
  <c r="D1964" i="1"/>
  <c r="C1964" i="1"/>
  <c r="V1963" i="1"/>
  <c r="Q1963" i="1"/>
  <c r="P1963" i="1"/>
  <c r="O1963" i="1"/>
  <c r="N1963" i="1"/>
  <c r="J1963" i="1"/>
  <c r="I1963" i="1"/>
  <c r="H1963" i="1"/>
  <c r="G1963" i="1"/>
  <c r="F1963" i="1"/>
  <c r="E1963" i="1"/>
  <c r="D1963" i="1"/>
  <c r="C1963" i="1"/>
  <c r="V1962" i="1"/>
  <c r="Q1962" i="1"/>
  <c r="P1962" i="1"/>
  <c r="O1962" i="1"/>
  <c r="N1962" i="1"/>
  <c r="J1962" i="1"/>
  <c r="I1962" i="1"/>
  <c r="H1962" i="1"/>
  <c r="G1962" i="1"/>
  <c r="F1962" i="1"/>
  <c r="E1962" i="1"/>
  <c r="D1962" i="1"/>
  <c r="C1962" i="1"/>
  <c r="V1961" i="1"/>
  <c r="Q1961" i="1"/>
  <c r="P1961" i="1"/>
  <c r="O1961" i="1"/>
  <c r="N1961" i="1"/>
  <c r="J1961" i="1"/>
  <c r="I1961" i="1"/>
  <c r="H1961" i="1"/>
  <c r="G1961" i="1"/>
  <c r="F1961" i="1"/>
  <c r="E1961" i="1"/>
  <c r="D1961" i="1"/>
  <c r="C1961" i="1"/>
  <c r="V1960" i="1"/>
  <c r="Q1960" i="1"/>
  <c r="P1960" i="1"/>
  <c r="O1960" i="1"/>
  <c r="N1960" i="1"/>
  <c r="J1960" i="1"/>
  <c r="I1960" i="1"/>
  <c r="H1960" i="1"/>
  <c r="G1960" i="1"/>
  <c r="F1960" i="1"/>
  <c r="E1960" i="1"/>
  <c r="D1960" i="1"/>
  <c r="C1960" i="1"/>
  <c r="V1959" i="1"/>
  <c r="Q1959" i="1"/>
  <c r="P1959" i="1"/>
  <c r="O1959" i="1"/>
  <c r="N1959" i="1"/>
  <c r="J1959" i="1"/>
  <c r="I1959" i="1"/>
  <c r="H1959" i="1"/>
  <c r="G1959" i="1"/>
  <c r="F1959" i="1"/>
  <c r="E1959" i="1"/>
  <c r="D1959" i="1"/>
  <c r="C1959" i="1"/>
  <c r="V1958" i="1"/>
  <c r="Q1958" i="1"/>
  <c r="P1958" i="1"/>
  <c r="O1958" i="1"/>
  <c r="N1958" i="1"/>
  <c r="J1958" i="1"/>
  <c r="I1958" i="1"/>
  <c r="H1958" i="1"/>
  <c r="G1958" i="1"/>
  <c r="F1958" i="1"/>
  <c r="E1958" i="1"/>
  <c r="D1958" i="1"/>
  <c r="C1958" i="1"/>
  <c r="V1957" i="1"/>
  <c r="Q1957" i="1"/>
  <c r="P1957" i="1"/>
  <c r="O1957" i="1"/>
  <c r="N1957" i="1"/>
  <c r="J1957" i="1"/>
  <c r="I1957" i="1"/>
  <c r="H1957" i="1"/>
  <c r="G1957" i="1"/>
  <c r="F1957" i="1"/>
  <c r="E1957" i="1"/>
  <c r="D1957" i="1"/>
  <c r="C1957" i="1"/>
  <c r="V1956" i="1"/>
  <c r="Q1956" i="1"/>
  <c r="P1956" i="1"/>
  <c r="O1956" i="1"/>
  <c r="N1956" i="1"/>
  <c r="J1956" i="1"/>
  <c r="I1956" i="1"/>
  <c r="H1956" i="1"/>
  <c r="G1956" i="1"/>
  <c r="F1956" i="1"/>
  <c r="E1956" i="1"/>
  <c r="D1956" i="1"/>
  <c r="C1956" i="1"/>
  <c r="V1955" i="1"/>
  <c r="Q1955" i="1"/>
  <c r="P1955" i="1"/>
  <c r="O1955" i="1"/>
  <c r="N1955" i="1"/>
  <c r="J1955" i="1"/>
  <c r="I1955" i="1"/>
  <c r="H1955" i="1"/>
  <c r="G1955" i="1"/>
  <c r="F1955" i="1"/>
  <c r="E1955" i="1"/>
  <c r="D1955" i="1"/>
  <c r="C1955" i="1"/>
  <c r="V1954" i="1"/>
  <c r="Q1954" i="1"/>
  <c r="P1954" i="1"/>
  <c r="O1954" i="1"/>
  <c r="N1954" i="1"/>
  <c r="J1954" i="1"/>
  <c r="I1954" i="1"/>
  <c r="H1954" i="1"/>
  <c r="G1954" i="1"/>
  <c r="F1954" i="1"/>
  <c r="E1954" i="1"/>
  <c r="D1954" i="1"/>
  <c r="C1954" i="1"/>
  <c r="V1953" i="1"/>
  <c r="Q1953" i="1"/>
  <c r="P1953" i="1"/>
  <c r="O1953" i="1"/>
  <c r="N1953" i="1"/>
  <c r="J1953" i="1"/>
  <c r="I1953" i="1"/>
  <c r="H1953" i="1"/>
  <c r="G1953" i="1"/>
  <c r="F1953" i="1"/>
  <c r="E1953" i="1"/>
  <c r="D1953" i="1"/>
  <c r="C1953" i="1"/>
  <c r="V1952" i="1"/>
  <c r="Q1952" i="1"/>
  <c r="P1952" i="1"/>
  <c r="O1952" i="1"/>
  <c r="N1952" i="1"/>
  <c r="J1952" i="1"/>
  <c r="I1952" i="1"/>
  <c r="H1952" i="1"/>
  <c r="G1952" i="1"/>
  <c r="F1952" i="1"/>
  <c r="E1952" i="1"/>
  <c r="D1952" i="1"/>
  <c r="C1952" i="1"/>
  <c r="V1951" i="1"/>
  <c r="Q1951" i="1"/>
  <c r="P1951" i="1"/>
  <c r="O1951" i="1"/>
  <c r="N1951" i="1"/>
  <c r="J1951" i="1"/>
  <c r="I1951" i="1"/>
  <c r="H1951" i="1"/>
  <c r="G1951" i="1"/>
  <c r="F1951" i="1"/>
  <c r="E1951" i="1"/>
  <c r="D1951" i="1"/>
  <c r="C1951" i="1"/>
  <c r="V1950" i="1"/>
  <c r="Q1950" i="1"/>
  <c r="P1950" i="1"/>
  <c r="O1950" i="1"/>
  <c r="N1950" i="1"/>
  <c r="J1950" i="1"/>
  <c r="I1950" i="1"/>
  <c r="H1950" i="1"/>
  <c r="G1950" i="1"/>
  <c r="F1950" i="1"/>
  <c r="E1950" i="1"/>
  <c r="D1950" i="1"/>
  <c r="C1950" i="1"/>
  <c r="V1949" i="1"/>
  <c r="Q1949" i="1"/>
  <c r="P1949" i="1"/>
  <c r="O1949" i="1"/>
  <c r="N1949" i="1"/>
  <c r="J1949" i="1"/>
  <c r="I1949" i="1"/>
  <c r="H1949" i="1"/>
  <c r="G1949" i="1"/>
  <c r="F1949" i="1"/>
  <c r="E1949" i="1"/>
  <c r="D1949" i="1"/>
  <c r="C1949" i="1"/>
  <c r="V1948" i="1"/>
  <c r="Q1948" i="1"/>
  <c r="P1948" i="1"/>
  <c r="O1948" i="1"/>
  <c r="N1948" i="1"/>
  <c r="J1948" i="1"/>
  <c r="I1948" i="1"/>
  <c r="H1948" i="1"/>
  <c r="G1948" i="1"/>
  <c r="F1948" i="1"/>
  <c r="E1948" i="1"/>
  <c r="D1948" i="1"/>
  <c r="C1948" i="1"/>
  <c r="V1947" i="1"/>
  <c r="Q1947" i="1"/>
  <c r="P1947" i="1"/>
  <c r="O1947" i="1"/>
  <c r="N1947" i="1"/>
  <c r="J1947" i="1"/>
  <c r="I1947" i="1"/>
  <c r="H1947" i="1"/>
  <c r="G1947" i="1"/>
  <c r="F1947" i="1"/>
  <c r="E1947" i="1"/>
  <c r="D1947" i="1"/>
  <c r="C1947" i="1"/>
  <c r="V1946" i="1"/>
  <c r="Q1946" i="1"/>
  <c r="P1946" i="1"/>
  <c r="O1946" i="1"/>
  <c r="N1946" i="1"/>
  <c r="J1946" i="1"/>
  <c r="I1946" i="1"/>
  <c r="H1946" i="1"/>
  <c r="G1946" i="1"/>
  <c r="F1946" i="1"/>
  <c r="E1946" i="1"/>
  <c r="D1946" i="1"/>
  <c r="C1946" i="1"/>
  <c r="V1945" i="1"/>
  <c r="Q1945" i="1"/>
  <c r="P1945" i="1"/>
  <c r="O1945" i="1"/>
  <c r="N1945" i="1"/>
  <c r="J1945" i="1"/>
  <c r="I1945" i="1"/>
  <c r="H1945" i="1"/>
  <c r="G1945" i="1"/>
  <c r="F1945" i="1"/>
  <c r="E1945" i="1"/>
  <c r="D1945" i="1"/>
  <c r="C1945" i="1"/>
  <c r="V1944" i="1"/>
  <c r="Q1944" i="1"/>
  <c r="P1944" i="1"/>
  <c r="O1944" i="1"/>
  <c r="N1944" i="1"/>
  <c r="J1944" i="1"/>
  <c r="I1944" i="1"/>
  <c r="H1944" i="1"/>
  <c r="G1944" i="1"/>
  <c r="F1944" i="1"/>
  <c r="E1944" i="1"/>
  <c r="D1944" i="1"/>
  <c r="C1944" i="1"/>
  <c r="V1943" i="1"/>
  <c r="Q1943" i="1"/>
  <c r="P1943" i="1"/>
  <c r="O1943" i="1"/>
  <c r="N1943" i="1"/>
  <c r="J1943" i="1"/>
  <c r="I1943" i="1"/>
  <c r="H1943" i="1"/>
  <c r="G1943" i="1"/>
  <c r="F1943" i="1"/>
  <c r="E1943" i="1"/>
  <c r="D1943" i="1"/>
  <c r="C1943" i="1"/>
  <c r="V1942" i="1"/>
  <c r="Q1942" i="1"/>
  <c r="P1942" i="1"/>
  <c r="O1942" i="1"/>
  <c r="N1942" i="1"/>
  <c r="J1942" i="1"/>
  <c r="I1942" i="1"/>
  <c r="H1942" i="1"/>
  <c r="G1942" i="1"/>
  <c r="F1942" i="1"/>
  <c r="E1942" i="1"/>
  <c r="D1942" i="1"/>
  <c r="C1942" i="1"/>
  <c r="V1941" i="1"/>
  <c r="Q1941" i="1"/>
  <c r="P1941" i="1"/>
  <c r="O1941" i="1"/>
  <c r="N1941" i="1"/>
  <c r="J1941" i="1"/>
  <c r="I1941" i="1"/>
  <c r="H1941" i="1"/>
  <c r="G1941" i="1"/>
  <c r="F1941" i="1"/>
  <c r="E1941" i="1"/>
  <c r="D1941" i="1"/>
  <c r="C1941" i="1"/>
  <c r="V1940" i="1"/>
  <c r="Q1940" i="1"/>
  <c r="P1940" i="1"/>
  <c r="O1940" i="1"/>
  <c r="N1940" i="1"/>
  <c r="J1940" i="1"/>
  <c r="I1940" i="1"/>
  <c r="H1940" i="1"/>
  <c r="G1940" i="1"/>
  <c r="F1940" i="1"/>
  <c r="E1940" i="1"/>
  <c r="D1940" i="1"/>
  <c r="C1940" i="1"/>
  <c r="V1939" i="1"/>
  <c r="Q1939" i="1"/>
  <c r="P1939" i="1"/>
  <c r="O1939" i="1"/>
  <c r="N1939" i="1"/>
  <c r="J1939" i="1"/>
  <c r="I1939" i="1"/>
  <c r="H1939" i="1"/>
  <c r="G1939" i="1"/>
  <c r="F1939" i="1"/>
  <c r="E1939" i="1"/>
  <c r="D1939" i="1"/>
  <c r="C1939" i="1"/>
  <c r="V1938" i="1"/>
  <c r="Q1938" i="1"/>
  <c r="P1938" i="1"/>
  <c r="O1938" i="1"/>
  <c r="N1938" i="1"/>
  <c r="J1938" i="1"/>
  <c r="I1938" i="1"/>
  <c r="H1938" i="1"/>
  <c r="G1938" i="1"/>
  <c r="F1938" i="1"/>
  <c r="E1938" i="1"/>
  <c r="D1938" i="1"/>
  <c r="C1938" i="1"/>
  <c r="V1937" i="1"/>
  <c r="Q1937" i="1"/>
  <c r="P1937" i="1"/>
  <c r="O1937" i="1"/>
  <c r="N1937" i="1"/>
  <c r="J1937" i="1"/>
  <c r="I1937" i="1"/>
  <c r="H1937" i="1"/>
  <c r="G1937" i="1"/>
  <c r="F1937" i="1"/>
  <c r="E1937" i="1"/>
  <c r="D1937" i="1"/>
  <c r="C1937" i="1"/>
  <c r="V1936" i="1"/>
  <c r="Q1936" i="1"/>
  <c r="P1936" i="1"/>
  <c r="O1936" i="1"/>
  <c r="N1936" i="1"/>
  <c r="J1936" i="1"/>
  <c r="I1936" i="1"/>
  <c r="H1936" i="1"/>
  <c r="G1936" i="1"/>
  <c r="F1936" i="1"/>
  <c r="E1936" i="1"/>
  <c r="D1936" i="1"/>
  <c r="C1936" i="1"/>
  <c r="V1935" i="1"/>
  <c r="Q1935" i="1"/>
  <c r="P1935" i="1"/>
  <c r="O1935" i="1"/>
  <c r="N1935" i="1"/>
  <c r="J1935" i="1"/>
  <c r="I1935" i="1"/>
  <c r="H1935" i="1"/>
  <c r="G1935" i="1"/>
  <c r="F1935" i="1"/>
  <c r="E1935" i="1"/>
  <c r="D1935" i="1"/>
  <c r="C1935" i="1"/>
  <c r="V1934" i="1"/>
  <c r="Q1934" i="1"/>
  <c r="P1934" i="1"/>
  <c r="O1934" i="1"/>
  <c r="N1934" i="1"/>
  <c r="J1934" i="1"/>
  <c r="I1934" i="1"/>
  <c r="H1934" i="1"/>
  <c r="G1934" i="1"/>
  <c r="F1934" i="1"/>
  <c r="E1934" i="1"/>
  <c r="D1934" i="1"/>
  <c r="C1934" i="1"/>
  <c r="V1933" i="1"/>
  <c r="Q1933" i="1"/>
  <c r="P1933" i="1"/>
  <c r="O1933" i="1"/>
  <c r="N1933" i="1"/>
  <c r="J1933" i="1"/>
  <c r="I1933" i="1"/>
  <c r="H1933" i="1"/>
  <c r="G1933" i="1"/>
  <c r="F1933" i="1"/>
  <c r="E1933" i="1"/>
  <c r="D1933" i="1"/>
  <c r="C1933" i="1"/>
  <c r="V1932" i="1"/>
  <c r="Q1932" i="1"/>
  <c r="P1932" i="1"/>
  <c r="O1932" i="1"/>
  <c r="N1932" i="1"/>
  <c r="J1932" i="1"/>
  <c r="I1932" i="1"/>
  <c r="H1932" i="1"/>
  <c r="G1932" i="1"/>
  <c r="F1932" i="1"/>
  <c r="E1932" i="1"/>
  <c r="D1932" i="1"/>
  <c r="C1932" i="1"/>
  <c r="V1931" i="1"/>
  <c r="Q1931" i="1"/>
  <c r="P1931" i="1"/>
  <c r="O1931" i="1"/>
  <c r="N1931" i="1"/>
  <c r="J1931" i="1"/>
  <c r="I1931" i="1"/>
  <c r="H1931" i="1"/>
  <c r="G1931" i="1"/>
  <c r="F1931" i="1"/>
  <c r="E1931" i="1"/>
  <c r="D1931" i="1"/>
  <c r="C1931" i="1"/>
  <c r="V1930" i="1"/>
  <c r="Q1930" i="1"/>
  <c r="P1930" i="1"/>
  <c r="O1930" i="1"/>
  <c r="N1930" i="1"/>
  <c r="J1930" i="1"/>
  <c r="I1930" i="1"/>
  <c r="H1930" i="1"/>
  <c r="G1930" i="1"/>
  <c r="F1930" i="1"/>
  <c r="E1930" i="1"/>
  <c r="D1930" i="1"/>
  <c r="C1930" i="1"/>
  <c r="V1929" i="1"/>
  <c r="Q1929" i="1"/>
  <c r="P1929" i="1"/>
  <c r="O1929" i="1"/>
  <c r="N1929" i="1"/>
  <c r="J1929" i="1"/>
  <c r="I1929" i="1"/>
  <c r="H1929" i="1"/>
  <c r="G1929" i="1"/>
  <c r="F1929" i="1"/>
  <c r="E1929" i="1"/>
  <c r="D1929" i="1"/>
  <c r="C1929" i="1"/>
  <c r="V1928" i="1"/>
  <c r="Q1928" i="1"/>
  <c r="P1928" i="1"/>
  <c r="O1928" i="1"/>
  <c r="N1928" i="1"/>
  <c r="I1928" i="1"/>
  <c r="H1928" i="1"/>
  <c r="G1928" i="1"/>
  <c r="F1928" i="1"/>
  <c r="E1928" i="1"/>
  <c r="D1928" i="1"/>
  <c r="C1928" i="1"/>
  <c r="V1927" i="1"/>
  <c r="Q1927" i="1"/>
  <c r="P1927" i="1"/>
  <c r="O1927" i="1"/>
  <c r="N1927" i="1"/>
  <c r="I1927" i="1"/>
  <c r="H1927" i="1"/>
  <c r="G1927" i="1"/>
  <c r="F1927" i="1"/>
  <c r="E1927" i="1"/>
  <c r="D1927" i="1"/>
  <c r="V1926" i="1"/>
  <c r="Q1926" i="1"/>
  <c r="P1926" i="1"/>
  <c r="O1926" i="1"/>
  <c r="N1926" i="1"/>
  <c r="I1926" i="1"/>
  <c r="H1926" i="1"/>
  <c r="G1926" i="1"/>
  <c r="F1926" i="1"/>
  <c r="E1926" i="1"/>
  <c r="D1926" i="1"/>
  <c r="V1925" i="1"/>
  <c r="Q1925" i="1"/>
  <c r="P1925" i="1"/>
  <c r="O1925" i="1"/>
  <c r="N1925" i="1"/>
  <c r="I1925" i="1"/>
  <c r="H1925" i="1"/>
  <c r="G1925" i="1"/>
  <c r="F1925" i="1"/>
  <c r="E1925" i="1"/>
  <c r="D1925" i="1"/>
  <c r="V1924" i="1"/>
  <c r="Q1924" i="1"/>
  <c r="P1924" i="1"/>
  <c r="O1924" i="1"/>
  <c r="N1924" i="1"/>
  <c r="I1924" i="1"/>
  <c r="H1924" i="1"/>
  <c r="G1924" i="1"/>
  <c r="F1924" i="1"/>
  <c r="E1924" i="1"/>
  <c r="D1924" i="1"/>
  <c r="V1923" i="1"/>
  <c r="Q1923" i="1"/>
  <c r="P1923" i="1"/>
  <c r="O1923" i="1"/>
  <c r="N1923" i="1"/>
  <c r="I1923" i="1"/>
  <c r="H1923" i="1"/>
  <c r="G1923" i="1"/>
  <c r="F1923" i="1"/>
  <c r="E1923" i="1"/>
  <c r="D1923" i="1"/>
  <c r="V1922" i="1"/>
  <c r="Q1922" i="1"/>
  <c r="P1922" i="1"/>
  <c r="O1922" i="1"/>
  <c r="N1922" i="1"/>
  <c r="I1922" i="1"/>
  <c r="H1922" i="1"/>
  <c r="G1922" i="1"/>
  <c r="F1922" i="1"/>
  <c r="E1922" i="1"/>
  <c r="V1921" i="1"/>
  <c r="Q1921" i="1"/>
  <c r="P1921" i="1"/>
  <c r="O1921" i="1"/>
  <c r="N1921" i="1"/>
  <c r="I1921" i="1"/>
  <c r="H1921" i="1"/>
  <c r="G1921" i="1"/>
  <c r="F1921" i="1"/>
  <c r="E1921" i="1"/>
  <c r="V1920" i="1"/>
  <c r="Q1920" i="1"/>
  <c r="P1920" i="1"/>
  <c r="O1920" i="1"/>
  <c r="N1920" i="1"/>
  <c r="I1920" i="1"/>
  <c r="H1920" i="1"/>
  <c r="G1920" i="1"/>
  <c r="F1920" i="1"/>
  <c r="E1920" i="1"/>
  <c r="V1919" i="1"/>
  <c r="Q1919" i="1"/>
  <c r="P1919" i="1"/>
  <c r="O1919" i="1"/>
  <c r="N1919" i="1"/>
  <c r="I1919" i="1"/>
  <c r="H1919" i="1"/>
  <c r="G1919" i="1"/>
  <c r="F1919" i="1"/>
  <c r="E1919" i="1"/>
  <c r="V1918" i="1"/>
  <c r="Q1918" i="1"/>
  <c r="P1918" i="1"/>
  <c r="O1918" i="1"/>
  <c r="N1918" i="1"/>
  <c r="I1918" i="1"/>
  <c r="H1918" i="1"/>
  <c r="G1918" i="1"/>
  <c r="F1918" i="1"/>
  <c r="E1918" i="1"/>
  <c r="V1917" i="1"/>
  <c r="Q1917" i="1"/>
  <c r="P1917" i="1"/>
  <c r="O1917" i="1"/>
  <c r="N1917" i="1"/>
  <c r="I1917" i="1"/>
  <c r="H1917" i="1"/>
  <c r="G1917" i="1"/>
  <c r="F1917" i="1"/>
  <c r="E1917" i="1"/>
  <c r="V1916" i="1"/>
  <c r="Q1916" i="1"/>
  <c r="P1916" i="1"/>
  <c r="O1916" i="1"/>
  <c r="N1916" i="1"/>
  <c r="I1916" i="1"/>
  <c r="H1916" i="1"/>
  <c r="G1916" i="1"/>
  <c r="F1916" i="1"/>
  <c r="V1915" i="1"/>
  <c r="Q1915" i="1"/>
  <c r="P1915" i="1"/>
  <c r="O1915" i="1"/>
  <c r="N1915" i="1"/>
  <c r="I1915" i="1"/>
  <c r="H1915" i="1"/>
  <c r="G1915" i="1"/>
  <c r="F1915" i="1"/>
  <c r="V1914" i="1"/>
  <c r="Q1914" i="1"/>
  <c r="P1914" i="1"/>
  <c r="O1914" i="1"/>
  <c r="N1914" i="1"/>
  <c r="I1914" i="1"/>
  <c r="H1914" i="1"/>
  <c r="G1914" i="1"/>
  <c r="F1914" i="1"/>
  <c r="V1913" i="1"/>
  <c r="Q1913" i="1"/>
  <c r="P1913" i="1"/>
  <c r="O1913" i="1"/>
  <c r="N1913" i="1"/>
  <c r="I1913" i="1"/>
  <c r="H1913" i="1"/>
  <c r="G1913" i="1"/>
  <c r="V1912" i="1"/>
  <c r="Q1912" i="1"/>
  <c r="P1912" i="1"/>
  <c r="O1912" i="1"/>
  <c r="N1912" i="1"/>
  <c r="I1912" i="1"/>
  <c r="H1912" i="1"/>
  <c r="G1912" i="1"/>
  <c r="V1911" i="1"/>
  <c r="Q1911" i="1"/>
  <c r="P1911" i="1"/>
  <c r="O1911" i="1"/>
  <c r="N1911" i="1"/>
  <c r="I1911" i="1"/>
  <c r="H1911" i="1"/>
  <c r="G1911" i="1"/>
  <c r="V1910" i="1"/>
  <c r="Q1910" i="1"/>
  <c r="P1910" i="1"/>
  <c r="O1910" i="1"/>
  <c r="N1910" i="1"/>
  <c r="I1910" i="1"/>
  <c r="H1910" i="1"/>
  <c r="V1909" i="1"/>
  <c r="Q1909" i="1"/>
  <c r="P1909" i="1"/>
  <c r="O1909" i="1"/>
  <c r="N1909" i="1"/>
  <c r="I1909" i="1"/>
  <c r="H1909" i="1"/>
  <c r="V1908" i="1"/>
  <c r="Q1908" i="1"/>
  <c r="P1908" i="1"/>
  <c r="O1908" i="1"/>
  <c r="N1908" i="1"/>
  <c r="I1908" i="1"/>
  <c r="H1908" i="1"/>
  <c r="V1907" i="1"/>
  <c r="Q1907" i="1"/>
  <c r="P1907" i="1"/>
  <c r="O1907" i="1"/>
  <c r="N1907" i="1"/>
  <c r="H1907" i="1"/>
  <c r="V1906" i="1"/>
  <c r="Q1906" i="1"/>
  <c r="P1906" i="1"/>
  <c r="O1906" i="1"/>
  <c r="N1906" i="1"/>
  <c r="V1905" i="1"/>
  <c r="Q1905" i="1"/>
  <c r="P1905" i="1"/>
  <c r="O1905" i="1"/>
  <c r="N1905" i="1"/>
  <c r="V1904" i="1"/>
  <c r="Q1904" i="1"/>
  <c r="P1904" i="1"/>
  <c r="O1904" i="1"/>
  <c r="N1904" i="1"/>
  <c r="V1903" i="1"/>
  <c r="Q1903" i="1"/>
  <c r="P1903" i="1"/>
  <c r="O1903" i="1"/>
  <c r="N1903" i="1"/>
  <c r="V1902" i="1"/>
  <c r="Q1902" i="1"/>
  <c r="P1902" i="1"/>
  <c r="O1902" i="1"/>
  <c r="N1902" i="1"/>
  <c r="V1901" i="1"/>
  <c r="Q1901" i="1"/>
  <c r="P1901" i="1"/>
  <c r="O1901" i="1"/>
  <c r="N1901" i="1"/>
  <c r="V1900" i="1"/>
  <c r="Q1900" i="1"/>
  <c r="P1900" i="1"/>
  <c r="O1900" i="1"/>
  <c r="N1900" i="1"/>
  <c r="V1899" i="1"/>
  <c r="Q1899" i="1"/>
  <c r="P1899" i="1"/>
  <c r="O1899" i="1"/>
  <c r="N1899" i="1"/>
  <c r="V1898" i="1"/>
  <c r="Q1898" i="1"/>
  <c r="P1898" i="1"/>
  <c r="O1898" i="1"/>
  <c r="N1898" i="1"/>
  <c r="V1897" i="1"/>
  <c r="Q1897" i="1"/>
  <c r="P1897" i="1"/>
  <c r="O1897" i="1"/>
  <c r="N1897" i="1"/>
  <c r="V1896" i="1"/>
  <c r="Q1896" i="1"/>
  <c r="P1896" i="1"/>
  <c r="O1896" i="1"/>
  <c r="N1896" i="1"/>
  <c r="V1895" i="1"/>
  <c r="Q1895" i="1"/>
  <c r="P1895" i="1"/>
  <c r="O1895" i="1"/>
  <c r="N1895" i="1"/>
  <c r="V1894" i="1"/>
  <c r="Q1894" i="1"/>
  <c r="P1894" i="1"/>
  <c r="O1894" i="1"/>
  <c r="N1894" i="1"/>
  <c r="V1893" i="1"/>
  <c r="Q1893" i="1"/>
  <c r="P1893" i="1"/>
  <c r="O1893" i="1"/>
  <c r="N1893" i="1"/>
  <c r="V1892" i="1"/>
  <c r="Q1892" i="1"/>
  <c r="P1892" i="1"/>
  <c r="O1892" i="1"/>
  <c r="N1892" i="1"/>
  <c r="V1891" i="1"/>
  <c r="Q1891" i="1"/>
  <c r="P1891" i="1"/>
  <c r="O1891" i="1"/>
  <c r="N1891" i="1"/>
  <c r="V1890" i="1"/>
  <c r="Q1890" i="1"/>
  <c r="P1890" i="1"/>
  <c r="O1890" i="1"/>
  <c r="N1890" i="1"/>
  <c r="V1889" i="1"/>
  <c r="Q1889" i="1"/>
  <c r="P1889" i="1"/>
  <c r="O1889" i="1"/>
  <c r="N1889" i="1"/>
  <c r="V1888" i="1"/>
  <c r="Q1888" i="1"/>
  <c r="P1888" i="1"/>
  <c r="O1888" i="1"/>
  <c r="N1888" i="1"/>
  <c r="V1887" i="1"/>
  <c r="Q1887" i="1"/>
  <c r="P1887" i="1"/>
  <c r="O1887" i="1"/>
  <c r="N1887" i="1"/>
  <c r="V1886" i="1"/>
  <c r="Q1886" i="1"/>
  <c r="P1886" i="1"/>
  <c r="O1886" i="1"/>
  <c r="N1886" i="1"/>
  <c r="V1885" i="1"/>
  <c r="Q1885" i="1"/>
  <c r="P1885" i="1"/>
  <c r="O1885" i="1"/>
  <c r="N1885" i="1"/>
  <c r="V1884" i="1"/>
  <c r="Q1884" i="1"/>
  <c r="P1884" i="1"/>
  <c r="O1884" i="1"/>
  <c r="N1884" i="1"/>
  <c r="V1883" i="1"/>
  <c r="Q1883" i="1"/>
  <c r="P1883" i="1"/>
  <c r="O1883" i="1"/>
  <c r="N1883" i="1"/>
  <c r="V1882" i="1"/>
  <c r="Q1882" i="1"/>
  <c r="P1882" i="1"/>
  <c r="O1882" i="1"/>
  <c r="N1882" i="1"/>
  <c r="V1881" i="1"/>
  <c r="Q1881" i="1"/>
  <c r="P1881" i="1"/>
  <c r="O1881" i="1"/>
  <c r="N1881" i="1"/>
  <c r="V1880" i="1"/>
  <c r="Q1880" i="1"/>
  <c r="P1880" i="1"/>
  <c r="O1880" i="1"/>
  <c r="N1880" i="1"/>
  <c r="V1879" i="1"/>
  <c r="Q1879" i="1"/>
  <c r="P1879" i="1"/>
  <c r="O1879" i="1"/>
  <c r="N1879" i="1"/>
  <c r="V1878" i="1"/>
  <c r="Q1878" i="1"/>
  <c r="P1878" i="1"/>
  <c r="O1878" i="1"/>
  <c r="N1878" i="1"/>
  <c r="V1877" i="1"/>
  <c r="Q1877" i="1"/>
  <c r="P1877" i="1"/>
  <c r="O1877" i="1"/>
  <c r="N1877" i="1"/>
  <c r="V1876" i="1"/>
  <c r="Q1876" i="1"/>
  <c r="P1876" i="1"/>
  <c r="O1876" i="1"/>
  <c r="N1876" i="1"/>
  <c r="V1875" i="1"/>
  <c r="Q1875" i="1"/>
  <c r="P1875" i="1"/>
  <c r="O1875" i="1"/>
  <c r="N1875" i="1"/>
  <c r="V1874" i="1"/>
  <c r="Q1874" i="1"/>
  <c r="P1874" i="1"/>
  <c r="O1874" i="1"/>
  <c r="N1874" i="1"/>
  <c r="V1873" i="1"/>
  <c r="Q1873" i="1"/>
  <c r="P1873" i="1"/>
  <c r="O1873" i="1"/>
  <c r="N1873" i="1"/>
  <c r="V1872" i="1"/>
  <c r="Q1872" i="1"/>
  <c r="P1872" i="1"/>
  <c r="O1872" i="1"/>
  <c r="N1872" i="1"/>
  <c r="V1871" i="1"/>
  <c r="Q1871" i="1"/>
  <c r="P1871" i="1"/>
  <c r="O1871" i="1"/>
  <c r="N1871" i="1"/>
  <c r="V1870" i="1"/>
  <c r="Q1870" i="1"/>
  <c r="P1870" i="1"/>
  <c r="O1870" i="1"/>
  <c r="N1870" i="1"/>
  <c r="V1869" i="1"/>
  <c r="Q1869" i="1"/>
  <c r="P1869" i="1"/>
  <c r="O1869" i="1"/>
  <c r="N1869" i="1"/>
  <c r="V1868" i="1"/>
  <c r="Q1868" i="1"/>
  <c r="P1868" i="1"/>
  <c r="O1868" i="1"/>
  <c r="N1868" i="1"/>
  <c r="V1867" i="1"/>
  <c r="Q1867" i="1"/>
  <c r="P1867" i="1"/>
  <c r="O1867" i="1"/>
  <c r="N1867" i="1"/>
  <c r="V1866" i="1"/>
  <c r="Q1866" i="1"/>
  <c r="P1866" i="1"/>
  <c r="O1866" i="1"/>
  <c r="N1866" i="1"/>
  <c r="V1865" i="1"/>
  <c r="Q1865" i="1"/>
  <c r="P1865" i="1"/>
  <c r="O1865" i="1"/>
  <c r="N1865" i="1"/>
  <c r="V1864" i="1"/>
  <c r="Q1864" i="1"/>
  <c r="P1864" i="1"/>
  <c r="O1864" i="1"/>
  <c r="N1864" i="1"/>
  <c r="V1863" i="1"/>
  <c r="Q1863" i="1"/>
  <c r="P1863" i="1"/>
  <c r="O1863" i="1"/>
  <c r="N1863" i="1"/>
  <c r="V1862" i="1"/>
  <c r="Q1862" i="1"/>
  <c r="P1862" i="1"/>
  <c r="O1862" i="1"/>
  <c r="N1862" i="1"/>
  <c r="V1861" i="1"/>
  <c r="Q1861" i="1"/>
  <c r="P1861" i="1"/>
  <c r="O1861" i="1"/>
  <c r="N1861" i="1"/>
  <c r="V1860" i="1"/>
  <c r="Q1860" i="1"/>
  <c r="P1860" i="1"/>
  <c r="O1860" i="1"/>
  <c r="N1860" i="1"/>
  <c r="V1859" i="1"/>
  <c r="Q1859" i="1"/>
  <c r="P1859" i="1"/>
  <c r="O1859" i="1"/>
  <c r="N1859" i="1"/>
  <c r="V1858" i="1"/>
  <c r="Q1858" i="1"/>
  <c r="P1858" i="1"/>
  <c r="O1858" i="1"/>
  <c r="N1858" i="1"/>
  <c r="V1857" i="1"/>
  <c r="Q1857" i="1"/>
  <c r="P1857" i="1"/>
  <c r="O1857" i="1"/>
  <c r="N1857" i="1"/>
  <c r="V1856" i="1"/>
  <c r="Q1856" i="1"/>
  <c r="P1856" i="1"/>
  <c r="O1856" i="1"/>
  <c r="N1856" i="1"/>
  <c r="V1855" i="1"/>
  <c r="Q1855" i="1"/>
  <c r="P1855" i="1"/>
  <c r="O1855" i="1"/>
  <c r="N1855" i="1"/>
  <c r="V1854" i="1"/>
  <c r="Q1854" i="1"/>
  <c r="P1854" i="1"/>
  <c r="O1854" i="1"/>
  <c r="N1854" i="1"/>
  <c r="V1853" i="1"/>
  <c r="Q1853" i="1"/>
  <c r="P1853" i="1"/>
  <c r="O1853" i="1"/>
  <c r="N1853" i="1"/>
  <c r="V1852" i="1"/>
  <c r="Q1852" i="1"/>
  <c r="P1852" i="1"/>
  <c r="O1852" i="1"/>
  <c r="N1852" i="1"/>
  <c r="V1851" i="1"/>
  <c r="Q1851" i="1"/>
  <c r="P1851" i="1"/>
  <c r="O1851" i="1"/>
  <c r="N1851" i="1"/>
  <c r="V1850" i="1"/>
  <c r="Q1850" i="1"/>
  <c r="P1850" i="1"/>
  <c r="O1850" i="1"/>
  <c r="N1850" i="1"/>
  <c r="V1849" i="1"/>
  <c r="Q1849" i="1"/>
  <c r="P1849" i="1"/>
  <c r="O1849" i="1"/>
  <c r="N1849" i="1"/>
  <c r="V1848" i="1"/>
  <c r="Q1848" i="1"/>
  <c r="P1848" i="1"/>
  <c r="O1848" i="1"/>
  <c r="N1848" i="1"/>
  <c r="V1847" i="1"/>
  <c r="Q1847" i="1"/>
  <c r="P1847" i="1"/>
  <c r="O1847" i="1"/>
  <c r="N1847" i="1"/>
  <c r="V1846" i="1"/>
  <c r="Q1846" i="1"/>
  <c r="P1846" i="1"/>
  <c r="O1846" i="1"/>
  <c r="N1846" i="1"/>
  <c r="V1845" i="1"/>
  <c r="Q1845" i="1"/>
  <c r="P1845" i="1"/>
  <c r="O1845" i="1"/>
  <c r="N1845" i="1"/>
  <c r="V1844" i="1"/>
  <c r="Q1844" i="1"/>
  <c r="P1844" i="1"/>
  <c r="O1844" i="1"/>
  <c r="N1844" i="1"/>
  <c r="V1843" i="1"/>
  <c r="Q1843" i="1"/>
  <c r="P1843" i="1"/>
  <c r="O1843" i="1"/>
  <c r="N1843" i="1"/>
  <c r="V1842" i="1"/>
  <c r="Q1842" i="1"/>
  <c r="P1842" i="1"/>
  <c r="O1842" i="1"/>
  <c r="N1842" i="1"/>
  <c r="V1841" i="1"/>
  <c r="Q1841" i="1"/>
  <c r="P1841" i="1"/>
  <c r="O1841" i="1"/>
  <c r="N1841" i="1"/>
  <c r="V1840" i="1"/>
  <c r="Q1840" i="1"/>
  <c r="P1840" i="1"/>
  <c r="O1840" i="1"/>
  <c r="N1840" i="1"/>
  <c r="V1839" i="1"/>
  <c r="Q1839" i="1"/>
  <c r="P1839" i="1"/>
  <c r="O1839" i="1"/>
  <c r="N1839" i="1"/>
  <c r="V1838" i="1"/>
  <c r="Q1838" i="1"/>
  <c r="P1838" i="1"/>
  <c r="O1838" i="1"/>
  <c r="N1838" i="1"/>
  <c r="V1837" i="1"/>
  <c r="Q1837" i="1"/>
  <c r="P1837" i="1"/>
  <c r="O1837" i="1"/>
  <c r="N1837" i="1"/>
  <c r="V1836" i="1"/>
  <c r="Q1836" i="1"/>
  <c r="P1836" i="1"/>
  <c r="O1836" i="1"/>
  <c r="N1836" i="1"/>
  <c r="V1835" i="1"/>
  <c r="Q1835" i="1"/>
  <c r="P1835" i="1"/>
  <c r="O1835" i="1"/>
  <c r="N1835" i="1"/>
  <c r="V1834" i="1"/>
  <c r="Q1834" i="1"/>
  <c r="P1834" i="1"/>
  <c r="O1834" i="1"/>
  <c r="N1834" i="1"/>
  <c r="V1833" i="1"/>
  <c r="Q1833" i="1"/>
  <c r="P1833" i="1"/>
  <c r="O1833" i="1"/>
  <c r="N1833" i="1"/>
  <c r="V1832" i="1"/>
  <c r="Q1832" i="1"/>
  <c r="P1832" i="1"/>
  <c r="O1832" i="1"/>
  <c r="N1832" i="1"/>
  <c r="V1831" i="1"/>
  <c r="Q1831" i="1"/>
  <c r="P1831" i="1"/>
  <c r="O1831" i="1"/>
  <c r="N1831" i="1"/>
  <c r="V1830" i="1"/>
  <c r="Q1830" i="1"/>
  <c r="P1830" i="1"/>
  <c r="O1830" i="1"/>
  <c r="N1830" i="1"/>
  <c r="V1829" i="1"/>
  <c r="Q1829" i="1"/>
  <c r="P1829" i="1"/>
  <c r="O1829" i="1"/>
  <c r="N1829" i="1"/>
  <c r="V1828" i="1"/>
  <c r="Q1828" i="1"/>
  <c r="P1828" i="1"/>
  <c r="O1828" i="1"/>
  <c r="N1828" i="1"/>
  <c r="V1827" i="1"/>
  <c r="Q1827" i="1"/>
  <c r="P1827" i="1"/>
  <c r="O1827" i="1"/>
  <c r="N1827" i="1"/>
  <c r="V1826" i="1"/>
  <c r="Q1826" i="1"/>
  <c r="P1826" i="1"/>
  <c r="O1826" i="1"/>
  <c r="N1826" i="1"/>
  <c r="V1825" i="1"/>
  <c r="Q1825" i="1"/>
  <c r="P1825" i="1"/>
  <c r="O1825" i="1"/>
  <c r="N1825" i="1"/>
  <c r="V1824" i="1"/>
  <c r="Q1824" i="1"/>
  <c r="P1824" i="1"/>
  <c r="O1824" i="1"/>
  <c r="N1824" i="1"/>
  <c r="V1823" i="1"/>
  <c r="Q1823" i="1"/>
  <c r="P1823" i="1"/>
  <c r="O1823" i="1"/>
  <c r="N1823" i="1"/>
  <c r="V1822" i="1"/>
  <c r="Q1822" i="1"/>
  <c r="P1822" i="1"/>
  <c r="O1822" i="1"/>
  <c r="N1822" i="1"/>
  <c r="V1821" i="1"/>
  <c r="Q1821" i="1"/>
  <c r="P1821" i="1"/>
  <c r="O1821" i="1"/>
  <c r="N1821" i="1"/>
  <c r="V1820" i="1"/>
  <c r="Q1820" i="1"/>
  <c r="P1820" i="1"/>
  <c r="O1820" i="1"/>
  <c r="N1820" i="1"/>
  <c r="V1819" i="1"/>
  <c r="Q1819" i="1"/>
  <c r="P1819" i="1"/>
  <c r="O1819" i="1"/>
  <c r="N1819" i="1"/>
  <c r="V1818" i="1"/>
  <c r="Q1818" i="1"/>
  <c r="P1818" i="1"/>
  <c r="O1818" i="1"/>
  <c r="N1818" i="1"/>
  <c r="V1817" i="1"/>
  <c r="Q1817" i="1"/>
  <c r="P1817" i="1"/>
  <c r="O1817" i="1"/>
  <c r="N1817" i="1"/>
  <c r="V1816" i="1"/>
  <c r="Q1816" i="1"/>
  <c r="P1816" i="1"/>
  <c r="O1816" i="1"/>
  <c r="N1816" i="1"/>
  <c r="V1815" i="1"/>
  <c r="Q1815" i="1"/>
  <c r="P1815" i="1"/>
  <c r="O1815" i="1"/>
  <c r="N1815" i="1"/>
  <c r="V1814" i="1"/>
  <c r="Q1814" i="1"/>
  <c r="P1814" i="1"/>
  <c r="O1814" i="1"/>
  <c r="N1814" i="1"/>
  <c r="V1813" i="1"/>
  <c r="Q1813" i="1"/>
  <c r="P1813" i="1"/>
  <c r="O1813" i="1"/>
  <c r="N1813" i="1"/>
  <c r="V1812" i="1"/>
  <c r="Q1812" i="1"/>
  <c r="P1812" i="1"/>
  <c r="O1812" i="1"/>
  <c r="N1812" i="1"/>
  <c r="V1811" i="1"/>
  <c r="Q1811" i="1"/>
  <c r="P1811" i="1"/>
  <c r="O1811" i="1"/>
  <c r="N1811" i="1"/>
  <c r="V1810" i="1"/>
  <c r="Q1810" i="1"/>
  <c r="P1810" i="1"/>
  <c r="O1810" i="1"/>
  <c r="N1810" i="1"/>
  <c r="V1809" i="1"/>
  <c r="Q1809" i="1"/>
  <c r="P1809" i="1"/>
  <c r="O1809" i="1"/>
  <c r="N1809" i="1"/>
  <c r="V1808" i="1"/>
  <c r="Q1808" i="1"/>
  <c r="P1808" i="1"/>
  <c r="O1808" i="1"/>
  <c r="N1808" i="1"/>
  <c r="V1807" i="1"/>
  <c r="Q1807" i="1"/>
  <c r="P1807" i="1"/>
  <c r="O1807" i="1"/>
  <c r="N1807" i="1"/>
  <c r="V1806" i="1"/>
  <c r="Q1806" i="1"/>
  <c r="P1806" i="1"/>
  <c r="O1806" i="1"/>
  <c r="N1806" i="1"/>
  <c r="V1805" i="1"/>
  <c r="Q1805" i="1"/>
  <c r="P1805" i="1"/>
  <c r="O1805" i="1"/>
  <c r="N1805" i="1"/>
  <c r="V1804" i="1"/>
  <c r="Q1804" i="1"/>
  <c r="P1804" i="1"/>
  <c r="O1804" i="1"/>
  <c r="N1804" i="1"/>
  <c r="V1803" i="1"/>
  <c r="Q1803" i="1"/>
  <c r="P1803" i="1"/>
  <c r="O1803" i="1"/>
  <c r="N1803" i="1"/>
  <c r="V1802" i="1"/>
  <c r="Q1802" i="1"/>
  <c r="P1802" i="1"/>
  <c r="O1802" i="1"/>
  <c r="N1802" i="1"/>
  <c r="V1801" i="1"/>
  <c r="Q1801" i="1"/>
  <c r="P1801" i="1"/>
  <c r="O1801" i="1"/>
  <c r="N1801" i="1"/>
  <c r="V1800" i="1"/>
  <c r="Q1800" i="1"/>
  <c r="P1800" i="1"/>
  <c r="O1800" i="1"/>
  <c r="N1800" i="1"/>
  <c r="V1799" i="1"/>
  <c r="Q1799" i="1"/>
  <c r="P1799" i="1"/>
  <c r="O1799" i="1"/>
  <c r="N1799" i="1"/>
  <c r="V1798" i="1"/>
  <c r="Q1798" i="1"/>
  <c r="P1798" i="1"/>
  <c r="O1798" i="1"/>
  <c r="N1798" i="1"/>
  <c r="V1797" i="1"/>
  <c r="Q1797" i="1"/>
  <c r="P1797" i="1"/>
  <c r="O1797" i="1"/>
  <c r="N1797" i="1"/>
  <c r="V1796" i="1"/>
  <c r="Q1796" i="1"/>
  <c r="P1796" i="1"/>
  <c r="O1796" i="1"/>
  <c r="N1796" i="1"/>
  <c r="V1795" i="1"/>
  <c r="Q1795" i="1"/>
  <c r="P1795" i="1"/>
  <c r="O1795" i="1"/>
  <c r="N1795" i="1"/>
  <c r="V1794" i="1"/>
  <c r="Q1794" i="1"/>
  <c r="P1794" i="1"/>
  <c r="O1794" i="1"/>
  <c r="N1794" i="1"/>
  <c r="V1793" i="1"/>
  <c r="Q1793" i="1"/>
  <c r="P1793" i="1"/>
  <c r="O1793" i="1"/>
  <c r="V1792" i="1"/>
  <c r="Q1792" i="1"/>
  <c r="P1792" i="1"/>
  <c r="O1792" i="1"/>
  <c r="V1791" i="1"/>
  <c r="Q1791" i="1"/>
  <c r="P1791" i="1"/>
  <c r="O1791" i="1"/>
  <c r="V1790" i="1"/>
  <c r="Q1790" i="1"/>
  <c r="P1790" i="1"/>
  <c r="O1790" i="1"/>
  <c r="V1789" i="1"/>
  <c r="Q1789" i="1"/>
  <c r="P1789" i="1"/>
  <c r="O1789" i="1"/>
  <c r="V1788" i="1"/>
  <c r="Q1788" i="1"/>
  <c r="P1788" i="1"/>
  <c r="O1788" i="1"/>
  <c r="V1787" i="1"/>
  <c r="Q1787" i="1"/>
  <c r="P1787" i="1"/>
  <c r="O1787" i="1"/>
  <c r="V1786" i="1"/>
  <c r="Q1786" i="1"/>
  <c r="P1786" i="1"/>
  <c r="O1786" i="1"/>
  <c r="V1785" i="1"/>
  <c r="Q1785" i="1"/>
  <c r="P1785" i="1"/>
  <c r="O1785" i="1"/>
  <c r="V1784" i="1"/>
  <c r="Q1784" i="1"/>
  <c r="P1784" i="1"/>
  <c r="O1784" i="1"/>
  <c r="V1783" i="1"/>
  <c r="Q1783" i="1"/>
  <c r="P1783" i="1"/>
  <c r="O1783" i="1"/>
  <c r="V1782" i="1"/>
  <c r="Q1782" i="1"/>
  <c r="P1782" i="1"/>
  <c r="O1782" i="1"/>
  <c r="V1781" i="1"/>
  <c r="Q1781" i="1"/>
  <c r="P1781" i="1"/>
  <c r="O1781" i="1"/>
  <c r="V1780" i="1"/>
  <c r="Q1780" i="1"/>
  <c r="P1780" i="1"/>
  <c r="O1780" i="1"/>
  <c r="V1779" i="1"/>
  <c r="Q1779" i="1"/>
  <c r="P1779" i="1"/>
  <c r="O1779" i="1"/>
  <c r="V1778" i="1"/>
  <c r="Q1778" i="1"/>
  <c r="P1778" i="1"/>
  <c r="O1778" i="1"/>
  <c r="V1777" i="1"/>
  <c r="Q1777" i="1"/>
  <c r="P1777" i="1"/>
  <c r="O1777" i="1"/>
  <c r="V1776" i="1"/>
  <c r="Q1776" i="1"/>
  <c r="P1776" i="1"/>
  <c r="O1776" i="1"/>
  <c r="V1775" i="1"/>
  <c r="Q1775" i="1"/>
  <c r="P1775" i="1"/>
  <c r="O1775" i="1"/>
  <c r="V1774" i="1"/>
  <c r="Q1774" i="1"/>
  <c r="P1774" i="1"/>
  <c r="O1774" i="1"/>
  <c r="V1773" i="1"/>
  <c r="Q1773" i="1"/>
  <c r="P1773" i="1"/>
  <c r="O1773" i="1"/>
  <c r="V1772" i="1"/>
  <c r="Q1772" i="1"/>
  <c r="P1772" i="1"/>
  <c r="O1772" i="1"/>
  <c r="V1771" i="1"/>
  <c r="Q1771" i="1"/>
  <c r="P1771" i="1"/>
  <c r="O1771" i="1"/>
  <c r="V1770" i="1"/>
  <c r="Q1770" i="1"/>
  <c r="P1770" i="1"/>
  <c r="O1770" i="1"/>
  <c r="V1769" i="1"/>
  <c r="Q1769" i="1"/>
  <c r="P1769" i="1"/>
  <c r="O1769" i="1"/>
  <c r="V1768" i="1"/>
  <c r="Q1768" i="1"/>
  <c r="P1768" i="1"/>
  <c r="O1768" i="1"/>
  <c r="V1767" i="1"/>
  <c r="Q1767" i="1"/>
  <c r="P1767" i="1"/>
  <c r="O1767" i="1"/>
  <c r="V1766" i="1"/>
  <c r="Q1766" i="1"/>
  <c r="P1766" i="1"/>
  <c r="O1766" i="1"/>
  <c r="V1765" i="1"/>
  <c r="Q1765" i="1"/>
  <c r="P1765" i="1"/>
  <c r="O1765" i="1"/>
  <c r="V1764" i="1"/>
  <c r="Q1764" i="1"/>
  <c r="P1764" i="1"/>
  <c r="O1764" i="1"/>
  <c r="V1763" i="1"/>
  <c r="Q1763" i="1"/>
  <c r="P1763" i="1"/>
  <c r="O1763" i="1"/>
  <c r="V1762" i="1"/>
  <c r="Q1762" i="1"/>
  <c r="P1762" i="1"/>
  <c r="O1762" i="1"/>
  <c r="V1761" i="1"/>
  <c r="Q1761" i="1"/>
  <c r="P1761" i="1"/>
  <c r="O1761" i="1"/>
  <c r="V1760" i="1"/>
  <c r="Q1760" i="1"/>
  <c r="P1760" i="1"/>
  <c r="O1760" i="1"/>
  <c r="V1759" i="1"/>
  <c r="Q1759" i="1"/>
  <c r="P1759" i="1"/>
  <c r="O1759" i="1"/>
  <c r="V1758" i="1"/>
  <c r="Q1758" i="1"/>
  <c r="P1758" i="1"/>
  <c r="O1758" i="1"/>
  <c r="V1757" i="1"/>
  <c r="Q1757" i="1"/>
  <c r="P1757" i="1"/>
  <c r="O1757" i="1"/>
  <c r="V1756" i="1"/>
  <c r="Q1756" i="1"/>
  <c r="P1756" i="1"/>
  <c r="O1756" i="1"/>
  <c r="V1755" i="1"/>
  <c r="Q1755" i="1"/>
  <c r="P1755" i="1"/>
  <c r="O1755" i="1"/>
  <c r="V1754" i="1"/>
  <c r="Q1754" i="1"/>
  <c r="P1754" i="1"/>
  <c r="O1754" i="1"/>
  <c r="V1753" i="1"/>
  <c r="Q1753" i="1"/>
  <c r="P1753" i="1"/>
  <c r="O1753" i="1"/>
  <c r="V1752" i="1"/>
  <c r="Q1752" i="1"/>
  <c r="P1752" i="1"/>
  <c r="O1752" i="1"/>
  <c r="V1751" i="1"/>
  <c r="Q1751" i="1"/>
  <c r="P1751" i="1"/>
  <c r="O1751" i="1"/>
  <c r="V1750" i="1"/>
  <c r="Q1750" i="1"/>
  <c r="P1750" i="1"/>
  <c r="O1750" i="1"/>
  <c r="V1749" i="1"/>
  <c r="Q1749" i="1"/>
  <c r="P1749" i="1"/>
  <c r="O1749" i="1"/>
  <c r="V1748" i="1"/>
  <c r="Q1748" i="1"/>
  <c r="P1748" i="1"/>
  <c r="O1748" i="1"/>
  <c r="V1747" i="1"/>
  <c r="Q1747" i="1"/>
  <c r="P1747" i="1"/>
  <c r="O1747" i="1"/>
  <c r="V1746" i="1"/>
  <c r="Q1746" i="1"/>
  <c r="P1746" i="1"/>
  <c r="O1746" i="1"/>
  <c r="V1745" i="1"/>
  <c r="Q1745" i="1"/>
  <c r="P1745" i="1"/>
  <c r="O1745" i="1"/>
  <c r="V1744" i="1"/>
  <c r="Q1744" i="1"/>
  <c r="P1744" i="1"/>
  <c r="O1744" i="1"/>
  <c r="V1743" i="1"/>
  <c r="Q1743" i="1"/>
  <c r="P1743" i="1"/>
  <c r="O1743" i="1"/>
  <c r="V1742" i="1"/>
  <c r="Q1742" i="1"/>
  <c r="P1742" i="1"/>
  <c r="O1742" i="1"/>
  <c r="V1741" i="1"/>
  <c r="Q1741" i="1"/>
  <c r="P1741" i="1"/>
  <c r="O1741" i="1"/>
  <c r="V1740" i="1"/>
  <c r="Q1740" i="1"/>
  <c r="P1740" i="1"/>
  <c r="O1740" i="1"/>
  <c r="V1739" i="1"/>
  <c r="Q1739" i="1"/>
  <c r="P1739" i="1"/>
  <c r="O1739" i="1"/>
  <c r="V1738" i="1"/>
  <c r="Q1738" i="1"/>
  <c r="P1738" i="1"/>
  <c r="O1738" i="1"/>
  <c r="V1737" i="1"/>
  <c r="Q1737" i="1"/>
  <c r="P1737" i="1"/>
  <c r="O1737" i="1"/>
  <c r="V1736" i="1"/>
  <c r="Q1736" i="1"/>
  <c r="P1736" i="1"/>
  <c r="O1736" i="1"/>
  <c r="V1735" i="1"/>
  <c r="Q1735" i="1"/>
  <c r="P1735" i="1"/>
  <c r="O1735" i="1"/>
  <c r="V1734" i="1"/>
  <c r="Q1734" i="1"/>
  <c r="P1734" i="1"/>
  <c r="O1734" i="1"/>
  <c r="V1733" i="1"/>
  <c r="Q1733" i="1"/>
  <c r="P1733" i="1"/>
  <c r="O1733" i="1"/>
  <c r="V1732" i="1"/>
  <c r="Q1732" i="1"/>
  <c r="P1732" i="1"/>
  <c r="O1732" i="1"/>
  <c r="V1731" i="1"/>
  <c r="Q1731" i="1"/>
  <c r="P1731" i="1"/>
  <c r="O1731" i="1"/>
  <c r="V1730" i="1"/>
  <c r="Q1730" i="1"/>
  <c r="P1730" i="1"/>
  <c r="O1730" i="1"/>
  <c r="V1729" i="1"/>
  <c r="Q1729" i="1"/>
  <c r="P1729" i="1"/>
  <c r="O1729" i="1"/>
  <c r="V1728" i="1"/>
  <c r="Q1728" i="1"/>
  <c r="P1728" i="1"/>
  <c r="O1728" i="1"/>
  <c r="V1727" i="1"/>
  <c r="Q1727" i="1"/>
  <c r="P1727" i="1"/>
  <c r="O1727" i="1"/>
  <c r="V1726" i="1"/>
  <c r="Q1726" i="1"/>
  <c r="P1726" i="1"/>
  <c r="O1726" i="1"/>
  <c r="V1725" i="1"/>
  <c r="Q1725" i="1"/>
  <c r="P1725" i="1"/>
  <c r="O1725" i="1"/>
  <c r="V1724" i="1"/>
  <c r="Q1724" i="1"/>
  <c r="P1724" i="1"/>
  <c r="O1724" i="1"/>
  <c r="V1723" i="1"/>
  <c r="Q1723" i="1"/>
  <c r="P1723" i="1"/>
  <c r="O1723" i="1"/>
  <c r="V1722" i="1"/>
  <c r="Q1722" i="1"/>
  <c r="P1722" i="1"/>
  <c r="O1722" i="1"/>
  <c r="V1721" i="1"/>
  <c r="Q1721" i="1"/>
  <c r="P1721" i="1"/>
  <c r="O1721" i="1"/>
  <c r="V1720" i="1"/>
  <c r="Q1720" i="1"/>
  <c r="P1720" i="1"/>
  <c r="O1720" i="1"/>
  <c r="V1719" i="1"/>
  <c r="Q1719" i="1"/>
  <c r="P1719" i="1"/>
  <c r="O1719" i="1"/>
  <c r="V1718" i="1"/>
  <c r="Q1718" i="1"/>
  <c r="P1718" i="1"/>
  <c r="O1718" i="1"/>
  <c r="V1717" i="1"/>
  <c r="Q1717" i="1"/>
  <c r="P1717" i="1"/>
  <c r="O1717" i="1"/>
  <c r="V1716" i="1"/>
  <c r="Q1716" i="1"/>
  <c r="P1716" i="1"/>
  <c r="O1716" i="1"/>
  <c r="V1715" i="1"/>
  <c r="Q1715" i="1"/>
  <c r="P1715" i="1"/>
  <c r="O1715" i="1"/>
  <c r="V1714" i="1"/>
  <c r="Q1714" i="1"/>
  <c r="P1714" i="1"/>
  <c r="O1714" i="1"/>
  <c r="V1713" i="1"/>
  <c r="Q1713" i="1"/>
  <c r="P1713" i="1"/>
  <c r="O1713" i="1"/>
  <c r="V1712" i="1"/>
  <c r="Q1712" i="1"/>
  <c r="P1712" i="1"/>
  <c r="O1712" i="1"/>
  <c r="V1711" i="1"/>
  <c r="Q1711" i="1"/>
  <c r="P1711" i="1"/>
  <c r="O1711" i="1"/>
  <c r="V1710" i="1"/>
  <c r="Q1710" i="1"/>
  <c r="P1710" i="1"/>
  <c r="O1710" i="1"/>
  <c r="V1709" i="1"/>
  <c r="Q1709" i="1"/>
  <c r="P1709" i="1"/>
  <c r="O1709" i="1"/>
  <c r="V1708" i="1"/>
  <c r="Q1708" i="1"/>
  <c r="P1708" i="1"/>
  <c r="O1708" i="1"/>
  <c r="V1707" i="1"/>
  <c r="Q1707" i="1"/>
  <c r="P1707" i="1"/>
  <c r="O1707" i="1"/>
  <c r="V1706" i="1"/>
  <c r="Q1706" i="1"/>
  <c r="P1706" i="1"/>
  <c r="O1706" i="1"/>
  <c r="V1705" i="1"/>
  <c r="Q1705" i="1"/>
  <c r="P1705" i="1"/>
  <c r="O1705" i="1"/>
  <c r="V1704" i="1"/>
  <c r="Q1704" i="1"/>
  <c r="P1704" i="1"/>
  <c r="O1704" i="1"/>
  <c r="V1703" i="1"/>
  <c r="Q1703" i="1"/>
  <c r="P1703" i="1"/>
  <c r="O1703" i="1"/>
  <c r="V1702" i="1"/>
  <c r="Q1702" i="1"/>
  <c r="P1702" i="1"/>
  <c r="O1702" i="1"/>
  <c r="V1701" i="1"/>
  <c r="Q1701" i="1"/>
  <c r="P1701" i="1"/>
  <c r="O1701" i="1"/>
  <c r="V1700" i="1"/>
  <c r="Q1700" i="1"/>
  <c r="P1700" i="1"/>
  <c r="O1700" i="1"/>
  <c r="V1699" i="1"/>
  <c r="Q1699" i="1"/>
  <c r="P1699" i="1"/>
  <c r="O1699" i="1"/>
  <c r="P1698" i="1"/>
  <c r="O1698" i="1"/>
  <c r="P1697" i="1"/>
  <c r="O1697" i="1"/>
  <c r="V1696" i="1"/>
  <c r="P1696" i="1"/>
  <c r="O1696" i="1"/>
  <c r="V1695" i="1"/>
  <c r="P1695" i="1"/>
  <c r="O1695" i="1"/>
  <c r="V1694" i="1"/>
  <c r="Q1694" i="1"/>
  <c r="P1694" i="1"/>
  <c r="O1694" i="1"/>
  <c r="V1693" i="1"/>
  <c r="Q1693" i="1"/>
  <c r="P1693" i="1"/>
  <c r="O1693" i="1"/>
  <c r="V1692" i="1"/>
  <c r="Q1692" i="1"/>
  <c r="P1692" i="1"/>
  <c r="O1692" i="1"/>
  <c r="V1691" i="1"/>
  <c r="P1691" i="1"/>
  <c r="O1691" i="1"/>
  <c r="V1690" i="1"/>
  <c r="P1690" i="1"/>
  <c r="O1690" i="1"/>
  <c r="V1689" i="1"/>
  <c r="P1689" i="1"/>
  <c r="O1689" i="1"/>
  <c r="V1688" i="1"/>
  <c r="P1688" i="1"/>
  <c r="O1688" i="1"/>
  <c r="V1687" i="1"/>
  <c r="P1687" i="1"/>
  <c r="O1687" i="1"/>
  <c r="V1686" i="1"/>
  <c r="P1686" i="1"/>
  <c r="O1686" i="1"/>
  <c r="V1685" i="1"/>
  <c r="P1685" i="1"/>
  <c r="O1685" i="1"/>
  <c r="V1684" i="1"/>
  <c r="P1684" i="1"/>
  <c r="O1684" i="1"/>
  <c r="V1683" i="1"/>
  <c r="P1683" i="1"/>
  <c r="O1683" i="1"/>
  <c r="V1682" i="1"/>
  <c r="P1682" i="1"/>
  <c r="O1682" i="1"/>
  <c r="V1681" i="1"/>
  <c r="P1681" i="1"/>
  <c r="O1681" i="1"/>
  <c r="V1680" i="1"/>
  <c r="P1680" i="1"/>
  <c r="O1680" i="1"/>
  <c r="V1679" i="1"/>
  <c r="P1679" i="1"/>
  <c r="O1679" i="1"/>
  <c r="V1678" i="1"/>
  <c r="P1678" i="1"/>
  <c r="O1678" i="1"/>
  <c r="V1677" i="1"/>
  <c r="P1677" i="1"/>
  <c r="O1677" i="1"/>
  <c r="V1676" i="1"/>
  <c r="P1676" i="1"/>
  <c r="O1676" i="1"/>
  <c r="V1675" i="1"/>
  <c r="P1675" i="1"/>
  <c r="O1675" i="1"/>
  <c r="V1674" i="1"/>
  <c r="P1674" i="1"/>
  <c r="O1674" i="1"/>
  <c r="V1673" i="1"/>
  <c r="P1673" i="1"/>
  <c r="O1673" i="1"/>
  <c r="V1672" i="1"/>
  <c r="P1672" i="1"/>
  <c r="O1672" i="1"/>
  <c r="V1671" i="1"/>
  <c r="P1671" i="1"/>
  <c r="O1671" i="1"/>
  <c r="V1670" i="1"/>
  <c r="P1670" i="1"/>
  <c r="O1670" i="1"/>
  <c r="V1669" i="1"/>
  <c r="P1669" i="1"/>
  <c r="O1669" i="1"/>
  <c r="V1668" i="1"/>
  <c r="P1668" i="1"/>
  <c r="O1668" i="1"/>
  <c r="V1667" i="1"/>
  <c r="P1667" i="1"/>
  <c r="O1667" i="1"/>
  <c r="V1666" i="1"/>
  <c r="P1666" i="1"/>
  <c r="O1666" i="1"/>
  <c r="P1665" i="1"/>
  <c r="O1665" i="1"/>
  <c r="V1664" i="1"/>
  <c r="P1664" i="1"/>
  <c r="O1664" i="1"/>
  <c r="V1663" i="1"/>
  <c r="P1663" i="1"/>
  <c r="O1663" i="1"/>
  <c r="P1662" i="1"/>
  <c r="O1662" i="1"/>
  <c r="P1661" i="1"/>
  <c r="O1661" i="1"/>
  <c r="V1660" i="1"/>
  <c r="P1660" i="1"/>
  <c r="O1660" i="1"/>
  <c r="V1659" i="1"/>
  <c r="P1659" i="1"/>
  <c r="O1659" i="1"/>
  <c r="V1658" i="1"/>
  <c r="P1658" i="1"/>
  <c r="O1658" i="1"/>
  <c r="V1657" i="1"/>
  <c r="P1657" i="1"/>
  <c r="O1657" i="1"/>
  <c r="V1656" i="1"/>
  <c r="P1656" i="1"/>
  <c r="O1656" i="1"/>
  <c r="V1655" i="1"/>
  <c r="P1655" i="1"/>
  <c r="O1655" i="1"/>
  <c r="V1654" i="1"/>
  <c r="P1654" i="1"/>
  <c r="O1654" i="1"/>
  <c r="V1653" i="1"/>
  <c r="P1653" i="1"/>
  <c r="O1653" i="1"/>
  <c r="V1652" i="1"/>
  <c r="P1652" i="1"/>
  <c r="O1652" i="1"/>
  <c r="V1651" i="1"/>
  <c r="P1651" i="1"/>
  <c r="O1651" i="1"/>
  <c r="V1650" i="1"/>
  <c r="P1650" i="1"/>
  <c r="O1650" i="1"/>
  <c r="V1649" i="1"/>
  <c r="P1649" i="1"/>
  <c r="O1649" i="1"/>
  <c r="V1648" i="1"/>
  <c r="P1648" i="1"/>
  <c r="O1648" i="1"/>
  <c r="V1647" i="1"/>
  <c r="P1647" i="1"/>
  <c r="O1647" i="1"/>
  <c r="V1646" i="1"/>
  <c r="P1646" i="1"/>
  <c r="O1646" i="1"/>
  <c r="V1645" i="1"/>
  <c r="P1645" i="1"/>
  <c r="O1645" i="1"/>
  <c r="V1644" i="1"/>
  <c r="P1644" i="1"/>
  <c r="O1644" i="1"/>
  <c r="V1643" i="1"/>
  <c r="P1643" i="1"/>
  <c r="O1643" i="1"/>
  <c r="V1642" i="1"/>
  <c r="P1642" i="1"/>
  <c r="O1642" i="1"/>
  <c r="V1641" i="1"/>
  <c r="P1641" i="1"/>
  <c r="O1641" i="1"/>
  <c r="V1640" i="1"/>
  <c r="P1640" i="1"/>
  <c r="O1640" i="1"/>
  <c r="V1639" i="1"/>
  <c r="P1639" i="1"/>
  <c r="O1639" i="1"/>
  <c r="V1638" i="1"/>
  <c r="P1638" i="1"/>
  <c r="O1638" i="1"/>
  <c r="V1637" i="1"/>
  <c r="P1637" i="1"/>
  <c r="O1637" i="1"/>
  <c r="V1636" i="1"/>
  <c r="P1636" i="1"/>
  <c r="O1636" i="1"/>
  <c r="V1635" i="1"/>
  <c r="P1635" i="1"/>
  <c r="O1635" i="1"/>
  <c r="V1634" i="1"/>
  <c r="P1634" i="1"/>
  <c r="O1634" i="1"/>
  <c r="V1633" i="1"/>
  <c r="P1633" i="1"/>
  <c r="O1633" i="1"/>
  <c r="V1632" i="1"/>
  <c r="P1632" i="1"/>
  <c r="O1632" i="1"/>
  <c r="V1631" i="1"/>
  <c r="P1631" i="1"/>
  <c r="O1631" i="1"/>
  <c r="V1630" i="1"/>
  <c r="P1630" i="1"/>
  <c r="O1630" i="1"/>
  <c r="V1629" i="1"/>
  <c r="P1629" i="1"/>
  <c r="O1629" i="1"/>
  <c r="V1628" i="1"/>
  <c r="P1628" i="1"/>
  <c r="O1628" i="1"/>
  <c r="V1627" i="1"/>
  <c r="P1627" i="1"/>
  <c r="O1627" i="1"/>
  <c r="V1626" i="1"/>
  <c r="P1626" i="1"/>
  <c r="O1626" i="1"/>
  <c r="V1625" i="1"/>
  <c r="P1625" i="1"/>
  <c r="O1625" i="1"/>
  <c r="V1624" i="1"/>
  <c r="P1624" i="1"/>
  <c r="O1624" i="1"/>
  <c r="V1623" i="1"/>
  <c r="P1623" i="1"/>
  <c r="O1623" i="1"/>
  <c r="V1622" i="1"/>
  <c r="P1622" i="1"/>
  <c r="O1622" i="1"/>
  <c r="V1621" i="1"/>
  <c r="P1621" i="1"/>
  <c r="O1621" i="1"/>
  <c r="V1620" i="1"/>
  <c r="P1620" i="1"/>
  <c r="O1620" i="1"/>
  <c r="V1619" i="1"/>
  <c r="P1619" i="1"/>
  <c r="O1619" i="1"/>
  <c r="V1618" i="1"/>
  <c r="P1618" i="1"/>
  <c r="O1618" i="1"/>
  <c r="V1617" i="1"/>
  <c r="P1617" i="1"/>
  <c r="O1617" i="1"/>
  <c r="V1616" i="1"/>
  <c r="P1616" i="1"/>
  <c r="O1616" i="1"/>
  <c r="V1615" i="1"/>
  <c r="P1615" i="1"/>
  <c r="O1615" i="1"/>
  <c r="V1614" i="1"/>
  <c r="P1614" i="1"/>
  <c r="O1614" i="1"/>
  <c r="V1613" i="1"/>
  <c r="P1613" i="1"/>
  <c r="O1613" i="1"/>
  <c r="V1612" i="1"/>
  <c r="P1612" i="1"/>
  <c r="O1612" i="1"/>
  <c r="V1611" i="1"/>
  <c r="P1611" i="1"/>
  <c r="O1611" i="1"/>
  <c r="V1610" i="1"/>
  <c r="P1610" i="1"/>
  <c r="O1610" i="1"/>
  <c r="V1609" i="1"/>
  <c r="P1609" i="1"/>
  <c r="O1609" i="1"/>
  <c r="V1608" i="1"/>
  <c r="P1608" i="1"/>
  <c r="O1608" i="1"/>
  <c r="V1607" i="1"/>
  <c r="P1607" i="1"/>
  <c r="O1607" i="1"/>
  <c r="V1606" i="1"/>
  <c r="P1606" i="1"/>
  <c r="O1606" i="1"/>
  <c r="V1605" i="1"/>
  <c r="P1605" i="1"/>
  <c r="O1605" i="1"/>
  <c r="V1604" i="1"/>
  <c r="P1604" i="1"/>
  <c r="O1604" i="1"/>
  <c r="V1603" i="1"/>
  <c r="P1603" i="1"/>
  <c r="O1603" i="1"/>
  <c r="V1602" i="1"/>
  <c r="P1602" i="1"/>
  <c r="O1602" i="1"/>
  <c r="V1601" i="1"/>
  <c r="P1601" i="1"/>
  <c r="O1601" i="1"/>
  <c r="V1600" i="1"/>
  <c r="P1600" i="1"/>
  <c r="O1600" i="1"/>
  <c r="V1599" i="1"/>
  <c r="P1599" i="1"/>
  <c r="O1599" i="1"/>
  <c r="V1598" i="1"/>
  <c r="P1598" i="1"/>
  <c r="O1598" i="1"/>
  <c r="V1597" i="1"/>
  <c r="P1597" i="1"/>
  <c r="O1597" i="1"/>
  <c r="V1596" i="1"/>
  <c r="P1596" i="1"/>
  <c r="O1596" i="1"/>
  <c r="V1595" i="1"/>
  <c r="P1595" i="1"/>
  <c r="O1595" i="1"/>
  <c r="V1594" i="1"/>
  <c r="P1594" i="1"/>
  <c r="O1594" i="1"/>
  <c r="V1593" i="1"/>
  <c r="P1593" i="1"/>
  <c r="O1593" i="1"/>
  <c r="V1592" i="1"/>
  <c r="P1592" i="1"/>
  <c r="O1592" i="1"/>
  <c r="V1591" i="1"/>
  <c r="P1591" i="1"/>
  <c r="O1591" i="1"/>
  <c r="V1590" i="1"/>
  <c r="P1590" i="1"/>
  <c r="O1590" i="1"/>
  <c r="V1589" i="1"/>
  <c r="P1589" i="1"/>
  <c r="O1589" i="1"/>
  <c r="V1588" i="1"/>
  <c r="P1588" i="1"/>
  <c r="O1588" i="1"/>
  <c r="V1587" i="1"/>
  <c r="P1587" i="1"/>
  <c r="O1587" i="1"/>
  <c r="V1586" i="1"/>
  <c r="P1586" i="1"/>
  <c r="O1586" i="1"/>
  <c r="V1585" i="1"/>
  <c r="P1585" i="1"/>
  <c r="O1585" i="1"/>
  <c r="V1584" i="1"/>
  <c r="P1584" i="1"/>
  <c r="O1584" i="1"/>
  <c r="V1583" i="1"/>
  <c r="P1583" i="1"/>
  <c r="O1583" i="1"/>
  <c r="V1582" i="1"/>
  <c r="P1582" i="1"/>
  <c r="O1582" i="1"/>
  <c r="V1581" i="1"/>
  <c r="P1581" i="1"/>
  <c r="O1581" i="1"/>
  <c r="V1580" i="1"/>
  <c r="P1580" i="1"/>
  <c r="O1580" i="1"/>
  <c r="V1579" i="1"/>
  <c r="P1579" i="1"/>
  <c r="O1579" i="1"/>
  <c r="V1578" i="1"/>
  <c r="P1578" i="1"/>
  <c r="O1578" i="1"/>
  <c r="V1577" i="1"/>
  <c r="P1577" i="1"/>
  <c r="O1577" i="1"/>
  <c r="V1576" i="1"/>
  <c r="P1576" i="1"/>
  <c r="O1576" i="1"/>
  <c r="V1575" i="1"/>
  <c r="P1575" i="1"/>
  <c r="O1575" i="1"/>
  <c r="V1574" i="1"/>
  <c r="P1574" i="1"/>
  <c r="O1574" i="1"/>
  <c r="V1573" i="1"/>
  <c r="P1573" i="1"/>
  <c r="O1573" i="1"/>
  <c r="V1572" i="1"/>
  <c r="P1572" i="1"/>
  <c r="O1572" i="1"/>
  <c r="V1571" i="1"/>
  <c r="P1571" i="1"/>
  <c r="O1571" i="1"/>
  <c r="V1570" i="1"/>
  <c r="P1570" i="1"/>
  <c r="O1570" i="1"/>
  <c r="V1569" i="1"/>
  <c r="P1569" i="1"/>
  <c r="O1569" i="1"/>
  <c r="V1568" i="1"/>
  <c r="P1568" i="1"/>
  <c r="O1568" i="1"/>
  <c r="V1567" i="1"/>
  <c r="P1567" i="1"/>
  <c r="O1567" i="1"/>
  <c r="V1566" i="1"/>
  <c r="P1566" i="1"/>
  <c r="O1566" i="1"/>
  <c r="V1565" i="1"/>
  <c r="P1565" i="1"/>
  <c r="O1565" i="1"/>
  <c r="V1564" i="1"/>
  <c r="P1564" i="1"/>
  <c r="O1564" i="1"/>
  <c r="V1563" i="1"/>
  <c r="P1563" i="1"/>
  <c r="O1563" i="1"/>
  <c r="V1562" i="1"/>
  <c r="P1562" i="1"/>
  <c r="O1562" i="1"/>
  <c r="V1561" i="1"/>
  <c r="P1561" i="1"/>
  <c r="O1561" i="1"/>
  <c r="V1560" i="1"/>
  <c r="P1560" i="1"/>
  <c r="O1560" i="1"/>
  <c r="V1559" i="1"/>
  <c r="P1559" i="1"/>
  <c r="O1559" i="1"/>
  <c r="V1558" i="1"/>
  <c r="P1558" i="1"/>
  <c r="O1558" i="1"/>
  <c r="V1557" i="1"/>
  <c r="P1557" i="1"/>
  <c r="O1557" i="1"/>
  <c r="V1556" i="1"/>
  <c r="P1556" i="1"/>
  <c r="O1556" i="1"/>
  <c r="V1555" i="1"/>
  <c r="P1555" i="1"/>
  <c r="O1555" i="1"/>
  <c r="V1554" i="1"/>
  <c r="P1554" i="1"/>
  <c r="O1554" i="1"/>
  <c r="V1553" i="1"/>
  <c r="P1553" i="1"/>
  <c r="O1553" i="1"/>
  <c r="V1552" i="1"/>
  <c r="P1552" i="1"/>
  <c r="O1552" i="1"/>
  <c r="V1551" i="1"/>
  <c r="P1551" i="1"/>
  <c r="O1551" i="1"/>
  <c r="V1550" i="1"/>
  <c r="P1550" i="1"/>
  <c r="O1550" i="1"/>
  <c r="V1549" i="1"/>
  <c r="P1549" i="1"/>
  <c r="O1549" i="1"/>
  <c r="V1548" i="1"/>
  <c r="P1548" i="1"/>
  <c r="O1548" i="1"/>
  <c r="V1547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Q1490" i="1"/>
  <c r="P1490" i="1"/>
  <c r="O1490" i="1"/>
  <c r="V1489" i="1"/>
  <c r="Q1489" i="1"/>
  <c r="P1489" i="1"/>
  <c r="O1489" i="1"/>
  <c r="V1488" i="1"/>
  <c r="Q1488" i="1"/>
  <c r="P1488" i="1"/>
  <c r="O1488" i="1"/>
  <c r="V1487" i="1"/>
  <c r="Q1487" i="1"/>
  <c r="P1487" i="1"/>
  <c r="O1487" i="1"/>
  <c r="V1486" i="1"/>
  <c r="Q1486" i="1"/>
  <c r="P1486" i="1"/>
  <c r="O1486" i="1"/>
  <c r="N1486" i="1"/>
  <c r="V1485" i="1"/>
  <c r="Q1485" i="1"/>
  <c r="P1485" i="1"/>
  <c r="O1485" i="1"/>
  <c r="N1485" i="1"/>
  <c r="I1485" i="1"/>
  <c r="H1485" i="1"/>
  <c r="V1484" i="1"/>
  <c r="Q1484" i="1"/>
  <c r="P1484" i="1"/>
  <c r="O1484" i="1"/>
  <c r="N1484" i="1"/>
  <c r="I1484" i="1"/>
  <c r="H1484" i="1"/>
  <c r="G1484" i="1"/>
  <c r="V1483" i="1"/>
  <c r="Q1483" i="1"/>
  <c r="P1483" i="1"/>
  <c r="O1483" i="1"/>
  <c r="N1483" i="1"/>
  <c r="I1483" i="1"/>
  <c r="H1483" i="1"/>
  <c r="G1483" i="1"/>
  <c r="F1483" i="1"/>
  <c r="V1482" i="1"/>
  <c r="Q1482" i="1"/>
  <c r="P1482" i="1"/>
  <c r="O1482" i="1"/>
  <c r="N1482" i="1"/>
  <c r="J1482" i="1"/>
  <c r="I1482" i="1"/>
  <c r="H1482" i="1"/>
  <c r="G1482" i="1"/>
  <c r="F1482" i="1"/>
  <c r="E1482" i="1"/>
  <c r="D1482" i="1"/>
  <c r="V1481" i="1"/>
  <c r="Q1481" i="1"/>
  <c r="P1481" i="1"/>
  <c r="O1481" i="1"/>
  <c r="N1481" i="1"/>
  <c r="J1481" i="1"/>
  <c r="I1481" i="1"/>
  <c r="H1481" i="1"/>
  <c r="G1481" i="1"/>
  <c r="F1481" i="1"/>
  <c r="E1481" i="1"/>
  <c r="D1481" i="1"/>
  <c r="V1480" i="1"/>
  <c r="Q1480" i="1"/>
  <c r="P1480" i="1"/>
  <c r="O1480" i="1"/>
  <c r="N1480" i="1"/>
  <c r="J1480" i="1"/>
  <c r="I1480" i="1"/>
  <c r="H1480" i="1"/>
  <c r="G1480" i="1"/>
  <c r="F1480" i="1"/>
  <c r="E1480" i="1"/>
  <c r="D1480" i="1"/>
  <c r="C1480" i="1"/>
  <c r="V1479" i="1"/>
  <c r="Q1479" i="1"/>
  <c r="P1479" i="1"/>
  <c r="O1479" i="1"/>
  <c r="N1479" i="1"/>
  <c r="J1479" i="1"/>
  <c r="I1479" i="1"/>
  <c r="H1479" i="1"/>
  <c r="G1479" i="1"/>
  <c r="F1479" i="1"/>
  <c r="E1479" i="1"/>
  <c r="D1479" i="1"/>
  <c r="C1479" i="1"/>
  <c r="V1478" i="1"/>
  <c r="Q1478" i="1"/>
  <c r="P1478" i="1"/>
  <c r="O1478" i="1"/>
  <c r="N1478" i="1"/>
  <c r="J1478" i="1"/>
  <c r="I1478" i="1"/>
  <c r="H1478" i="1"/>
  <c r="G1478" i="1"/>
  <c r="F1478" i="1"/>
  <c r="E1478" i="1"/>
  <c r="D1478" i="1"/>
  <c r="C1478" i="1"/>
  <c r="V1477" i="1"/>
  <c r="Q1477" i="1"/>
  <c r="P1477" i="1"/>
  <c r="O1477" i="1"/>
  <c r="N1477" i="1"/>
  <c r="J1477" i="1"/>
  <c r="I1477" i="1"/>
  <c r="H1477" i="1"/>
  <c r="G1477" i="1"/>
  <c r="F1477" i="1"/>
  <c r="E1477" i="1"/>
  <c r="D1477" i="1"/>
  <c r="C1477" i="1"/>
  <c r="V1476" i="1"/>
  <c r="Q1476" i="1"/>
  <c r="P1476" i="1"/>
  <c r="O1476" i="1"/>
  <c r="N1476" i="1"/>
  <c r="J1476" i="1"/>
  <c r="I1476" i="1"/>
  <c r="H1476" i="1"/>
  <c r="G1476" i="1"/>
  <c r="F1476" i="1"/>
  <c r="E1476" i="1"/>
  <c r="D1476" i="1"/>
  <c r="C1476" i="1"/>
  <c r="V1475" i="1"/>
  <c r="Q1475" i="1"/>
  <c r="P1475" i="1"/>
  <c r="O1475" i="1"/>
  <c r="N1475" i="1"/>
  <c r="J1475" i="1"/>
  <c r="I1475" i="1"/>
  <c r="H1475" i="1"/>
  <c r="G1475" i="1"/>
  <c r="F1475" i="1"/>
  <c r="E1475" i="1"/>
  <c r="D1475" i="1"/>
  <c r="C1475" i="1"/>
  <c r="V1474" i="1"/>
  <c r="Q1474" i="1"/>
  <c r="P1474" i="1"/>
  <c r="O1474" i="1"/>
  <c r="N1474" i="1"/>
  <c r="J1474" i="1"/>
  <c r="I1474" i="1"/>
  <c r="H1474" i="1"/>
  <c r="G1474" i="1"/>
  <c r="F1474" i="1"/>
  <c r="E1474" i="1"/>
  <c r="D1474" i="1"/>
  <c r="C1474" i="1"/>
  <c r="V1473" i="1"/>
  <c r="Q1473" i="1"/>
  <c r="P1473" i="1"/>
  <c r="O1473" i="1"/>
  <c r="N1473" i="1"/>
  <c r="J1473" i="1"/>
  <c r="I1473" i="1"/>
  <c r="H1473" i="1"/>
  <c r="G1473" i="1"/>
  <c r="F1473" i="1"/>
  <c r="E1473" i="1"/>
  <c r="D1473" i="1"/>
  <c r="C1473" i="1"/>
  <c r="V1472" i="1"/>
  <c r="Q1472" i="1"/>
  <c r="P1472" i="1"/>
  <c r="O1472" i="1"/>
  <c r="N1472" i="1"/>
  <c r="J1472" i="1"/>
  <c r="I1472" i="1"/>
  <c r="H1472" i="1"/>
  <c r="G1472" i="1"/>
  <c r="F1472" i="1"/>
  <c r="E1472" i="1"/>
  <c r="D1472" i="1"/>
  <c r="C1472" i="1"/>
  <c r="V1471" i="1"/>
  <c r="Q1471" i="1"/>
  <c r="P1471" i="1"/>
  <c r="O1471" i="1"/>
  <c r="N1471" i="1"/>
  <c r="J1471" i="1"/>
  <c r="I1471" i="1"/>
  <c r="H1471" i="1"/>
  <c r="G1471" i="1"/>
  <c r="F1471" i="1"/>
  <c r="E1471" i="1"/>
  <c r="D1471" i="1"/>
  <c r="C1471" i="1"/>
  <c r="V1470" i="1"/>
  <c r="Q1470" i="1"/>
  <c r="P1470" i="1"/>
  <c r="O1470" i="1"/>
  <c r="N1470" i="1"/>
  <c r="J1470" i="1"/>
  <c r="I1470" i="1"/>
  <c r="H1470" i="1"/>
  <c r="G1470" i="1"/>
  <c r="F1470" i="1"/>
  <c r="E1470" i="1"/>
  <c r="D1470" i="1"/>
  <c r="C1470" i="1"/>
  <c r="V1469" i="1"/>
  <c r="Q1469" i="1"/>
  <c r="P1469" i="1"/>
  <c r="O1469" i="1"/>
  <c r="N1469" i="1"/>
  <c r="J1469" i="1"/>
  <c r="I1469" i="1"/>
  <c r="H1469" i="1"/>
  <c r="G1469" i="1"/>
  <c r="F1469" i="1"/>
  <c r="E1469" i="1"/>
  <c r="D1469" i="1"/>
  <c r="C1469" i="1"/>
  <c r="V1468" i="1"/>
  <c r="Q1468" i="1"/>
  <c r="P1468" i="1"/>
  <c r="O1468" i="1"/>
  <c r="N1468" i="1"/>
  <c r="J1468" i="1"/>
  <c r="I1468" i="1"/>
  <c r="H1468" i="1"/>
  <c r="G1468" i="1"/>
  <c r="F1468" i="1"/>
  <c r="E1468" i="1"/>
  <c r="D1468" i="1"/>
  <c r="C1468" i="1"/>
  <c r="V1467" i="1"/>
  <c r="Q1467" i="1"/>
  <c r="P1467" i="1"/>
  <c r="O1467" i="1"/>
  <c r="N1467" i="1"/>
  <c r="J1467" i="1"/>
  <c r="I1467" i="1"/>
  <c r="H1467" i="1"/>
  <c r="G1467" i="1"/>
  <c r="F1467" i="1"/>
  <c r="E1467" i="1"/>
  <c r="D1467" i="1"/>
  <c r="C1467" i="1"/>
  <c r="V1466" i="1"/>
  <c r="Q1466" i="1"/>
  <c r="P1466" i="1"/>
  <c r="O1466" i="1"/>
  <c r="N1466" i="1"/>
  <c r="J1466" i="1"/>
  <c r="I1466" i="1"/>
  <c r="H1466" i="1"/>
  <c r="G1466" i="1"/>
  <c r="F1466" i="1"/>
  <c r="E1466" i="1"/>
  <c r="D1466" i="1"/>
  <c r="C1466" i="1"/>
  <c r="V1465" i="1"/>
  <c r="Q1465" i="1"/>
  <c r="P1465" i="1"/>
  <c r="O1465" i="1"/>
  <c r="N1465" i="1"/>
  <c r="J1465" i="1"/>
  <c r="I1465" i="1"/>
  <c r="H1465" i="1"/>
  <c r="G1465" i="1"/>
  <c r="F1465" i="1"/>
  <c r="E1465" i="1"/>
  <c r="D1465" i="1"/>
  <c r="C1465" i="1"/>
  <c r="V1464" i="1"/>
  <c r="Q1464" i="1"/>
  <c r="P1464" i="1"/>
  <c r="O1464" i="1"/>
  <c r="N1464" i="1"/>
  <c r="J1464" i="1"/>
  <c r="I1464" i="1"/>
  <c r="H1464" i="1"/>
  <c r="G1464" i="1"/>
  <c r="F1464" i="1"/>
  <c r="E1464" i="1"/>
  <c r="D1464" i="1"/>
  <c r="C1464" i="1"/>
  <c r="V1463" i="1"/>
  <c r="Q1463" i="1"/>
  <c r="P1463" i="1"/>
  <c r="O1463" i="1"/>
  <c r="N1463" i="1"/>
  <c r="J1463" i="1"/>
  <c r="I1463" i="1"/>
  <c r="H1463" i="1"/>
  <c r="G1463" i="1"/>
  <c r="F1463" i="1"/>
  <c r="E1463" i="1"/>
  <c r="D1463" i="1"/>
  <c r="C1463" i="1"/>
  <c r="V1462" i="1"/>
  <c r="Q1462" i="1"/>
  <c r="P1462" i="1"/>
  <c r="O1462" i="1"/>
  <c r="N1462" i="1"/>
  <c r="J1462" i="1"/>
  <c r="I1462" i="1"/>
  <c r="H1462" i="1"/>
  <c r="G1462" i="1"/>
  <c r="F1462" i="1"/>
  <c r="E1462" i="1"/>
  <c r="D1462" i="1"/>
  <c r="C1462" i="1"/>
  <c r="V1461" i="1"/>
  <c r="Q1461" i="1"/>
  <c r="P1461" i="1"/>
  <c r="O1461" i="1"/>
  <c r="N1461" i="1"/>
  <c r="J1461" i="1"/>
  <c r="I1461" i="1"/>
  <c r="H1461" i="1"/>
  <c r="G1461" i="1"/>
  <c r="F1461" i="1"/>
  <c r="E1461" i="1"/>
  <c r="D1461" i="1"/>
  <c r="C1461" i="1"/>
  <c r="V1460" i="1"/>
  <c r="Q1460" i="1"/>
  <c r="P1460" i="1"/>
  <c r="O1460" i="1"/>
  <c r="N1460" i="1"/>
  <c r="J1460" i="1"/>
  <c r="I1460" i="1"/>
  <c r="H1460" i="1"/>
  <c r="G1460" i="1"/>
  <c r="F1460" i="1"/>
  <c r="E1460" i="1"/>
  <c r="D1460" i="1"/>
  <c r="C1460" i="1"/>
  <c r="V1459" i="1"/>
  <c r="Q1459" i="1"/>
  <c r="P1459" i="1"/>
  <c r="O1459" i="1"/>
  <c r="N1459" i="1"/>
  <c r="J1459" i="1"/>
  <c r="I1459" i="1"/>
  <c r="H1459" i="1"/>
  <c r="G1459" i="1"/>
  <c r="F1459" i="1"/>
  <c r="E1459" i="1"/>
  <c r="D1459" i="1"/>
  <c r="C1459" i="1"/>
  <c r="V1458" i="1"/>
  <c r="Q1458" i="1"/>
  <c r="P1458" i="1"/>
  <c r="O1458" i="1"/>
  <c r="N1458" i="1"/>
  <c r="J1458" i="1"/>
  <c r="I1458" i="1"/>
  <c r="H1458" i="1"/>
  <c r="G1458" i="1"/>
  <c r="F1458" i="1"/>
  <c r="E1458" i="1"/>
  <c r="D1458" i="1"/>
  <c r="C1458" i="1"/>
  <c r="V1457" i="1"/>
  <c r="Q1457" i="1"/>
  <c r="P1457" i="1"/>
  <c r="O1457" i="1"/>
  <c r="N1457" i="1"/>
  <c r="J1457" i="1"/>
  <c r="I1457" i="1"/>
  <c r="H1457" i="1"/>
  <c r="G1457" i="1"/>
  <c r="F1457" i="1"/>
  <c r="E1457" i="1"/>
  <c r="D1457" i="1"/>
  <c r="C1457" i="1"/>
  <c r="V1456" i="1"/>
  <c r="Q1456" i="1"/>
  <c r="P1456" i="1"/>
  <c r="O1456" i="1"/>
  <c r="N1456" i="1"/>
  <c r="J1456" i="1"/>
  <c r="I1456" i="1"/>
  <c r="H1456" i="1"/>
  <c r="G1456" i="1"/>
  <c r="F1456" i="1"/>
  <c r="E1456" i="1"/>
  <c r="D1456" i="1"/>
  <c r="C1456" i="1"/>
  <c r="V1455" i="1"/>
  <c r="Q1455" i="1"/>
  <c r="P1455" i="1"/>
  <c r="O1455" i="1"/>
  <c r="N1455" i="1"/>
  <c r="J1455" i="1"/>
  <c r="I1455" i="1"/>
  <c r="H1455" i="1"/>
  <c r="G1455" i="1"/>
  <c r="F1455" i="1"/>
  <c r="E1455" i="1"/>
  <c r="D1455" i="1"/>
  <c r="C1455" i="1"/>
  <c r="V1454" i="1"/>
  <c r="Q1454" i="1"/>
  <c r="P1454" i="1"/>
  <c r="O1454" i="1"/>
  <c r="N1454" i="1"/>
  <c r="J1454" i="1"/>
  <c r="I1454" i="1"/>
  <c r="H1454" i="1"/>
  <c r="G1454" i="1"/>
  <c r="F1454" i="1"/>
  <c r="E1454" i="1"/>
  <c r="D1454" i="1"/>
  <c r="C1454" i="1"/>
  <c r="V1453" i="1"/>
  <c r="Q1453" i="1"/>
  <c r="P1453" i="1"/>
  <c r="O1453" i="1"/>
  <c r="N1453" i="1"/>
  <c r="J1453" i="1"/>
  <c r="I1453" i="1"/>
  <c r="H1453" i="1"/>
  <c r="G1453" i="1"/>
  <c r="F1453" i="1"/>
  <c r="E1453" i="1"/>
  <c r="D1453" i="1"/>
  <c r="C1453" i="1"/>
  <c r="V1452" i="1"/>
  <c r="Q1452" i="1"/>
  <c r="P1452" i="1"/>
  <c r="O1452" i="1"/>
  <c r="N1452" i="1"/>
  <c r="J1452" i="1"/>
  <c r="I1452" i="1"/>
  <c r="H1452" i="1"/>
  <c r="G1452" i="1"/>
  <c r="F1452" i="1"/>
  <c r="E1452" i="1"/>
  <c r="D1452" i="1"/>
  <c r="C1452" i="1"/>
  <c r="V1451" i="1"/>
  <c r="Q1451" i="1"/>
  <c r="P1451" i="1"/>
  <c r="O1451" i="1"/>
  <c r="N1451" i="1"/>
  <c r="J1451" i="1"/>
  <c r="I1451" i="1"/>
  <c r="H1451" i="1"/>
  <c r="G1451" i="1"/>
  <c r="F1451" i="1"/>
  <c r="E1451" i="1"/>
  <c r="D1451" i="1"/>
  <c r="C1451" i="1"/>
  <c r="V1450" i="1"/>
  <c r="Q1450" i="1"/>
  <c r="P1450" i="1"/>
  <c r="O1450" i="1"/>
  <c r="N1450" i="1"/>
  <c r="J1450" i="1"/>
  <c r="I1450" i="1"/>
  <c r="H1450" i="1"/>
  <c r="G1450" i="1"/>
  <c r="F1450" i="1"/>
  <c r="E1450" i="1"/>
  <c r="D1450" i="1"/>
  <c r="C1450" i="1"/>
  <c r="V1449" i="1"/>
  <c r="Q1449" i="1"/>
  <c r="P1449" i="1"/>
  <c r="O1449" i="1"/>
  <c r="N1449" i="1"/>
  <c r="J1449" i="1"/>
  <c r="I1449" i="1"/>
  <c r="H1449" i="1"/>
  <c r="G1449" i="1"/>
  <c r="F1449" i="1"/>
  <c r="E1449" i="1"/>
  <c r="D1449" i="1"/>
  <c r="C1449" i="1"/>
  <c r="V1448" i="1"/>
  <c r="Q1448" i="1"/>
  <c r="P1448" i="1"/>
  <c r="O1448" i="1"/>
  <c r="N1448" i="1"/>
  <c r="J1448" i="1"/>
  <c r="I1448" i="1"/>
  <c r="H1448" i="1"/>
  <c r="G1448" i="1"/>
  <c r="F1448" i="1"/>
  <c r="E1448" i="1"/>
  <c r="D1448" i="1"/>
  <c r="C1448" i="1"/>
  <c r="V1447" i="1"/>
  <c r="Q1447" i="1"/>
  <c r="P1447" i="1"/>
  <c r="O1447" i="1"/>
  <c r="N1447" i="1"/>
  <c r="J1447" i="1"/>
  <c r="I1447" i="1"/>
  <c r="H1447" i="1"/>
  <c r="G1447" i="1"/>
  <c r="F1447" i="1"/>
  <c r="E1447" i="1"/>
  <c r="D1447" i="1"/>
  <c r="C1447" i="1"/>
  <c r="V1446" i="1"/>
  <c r="Q1446" i="1"/>
  <c r="P1446" i="1"/>
  <c r="O1446" i="1"/>
  <c r="N1446" i="1"/>
  <c r="J1446" i="1"/>
  <c r="I1446" i="1"/>
  <c r="H1446" i="1"/>
  <c r="G1446" i="1"/>
  <c r="F1446" i="1"/>
  <c r="E1446" i="1"/>
  <c r="D1446" i="1"/>
  <c r="C1446" i="1"/>
  <c r="V1445" i="1"/>
  <c r="Q1445" i="1"/>
  <c r="P1445" i="1"/>
  <c r="O1445" i="1"/>
  <c r="N1445" i="1"/>
  <c r="J1445" i="1"/>
  <c r="I1445" i="1"/>
  <c r="H1445" i="1"/>
  <c r="G1445" i="1"/>
  <c r="F1445" i="1"/>
  <c r="E1445" i="1"/>
  <c r="D1445" i="1"/>
  <c r="C1445" i="1"/>
  <c r="V1444" i="1"/>
  <c r="Q1444" i="1"/>
  <c r="P1444" i="1"/>
  <c r="O1444" i="1"/>
  <c r="N1444" i="1"/>
  <c r="J1444" i="1"/>
  <c r="I1444" i="1"/>
  <c r="H1444" i="1"/>
  <c r="G1444" i="1"/>
  <c r="F1444" i="1"/>
  <c r="E1444" i="1"/>
  <c r="D1444" i="1"/>
  <c r="C1444" i="1"/>
  <c r="V1443" i="1"/>
  <c r="Q1443" i="1"/>
  <c r="P1443" i="1"/>
  <c r="O1443" i="1"/>
  <c r="N1443" i="1"/>
  <c r="J1443" i="1"/>
  <c r="I1443" i="1"/>
  <c r="H1443" i="1"/>
  <c r="G1443" i="1"/>
  <c r="F1443" i="1"/>
  <c r="E1443" i="1"/>
  <c r="D1443" i="1"/>
  <c r="C1443" i="1"/>
  <c r="V1442" i="1"/>
  <c r="Q1442" i="1"/>
  <c r="P1442" i="1"/>
  <c r="O1442" i="1"/>
  <c r="N1442" i="1"/>
  <c r="J1442" i="1"/>
  <c r="I1442" i="1"/>
  <c r="H1442" i="1"/>
  <c r="G1442" i="1"/>
  <c r="F1442" i="1"/>
  <c r="E1442" i="1"/>
  <c r="D1442" i="1"/>
  <c r="C1442" i="1"/>
  <c r="V1441" i="1"/>
  <c r="Q1441" i="1"/>
  <c r="P1441" i="1"/>
  <c r="O1441" i="1"/>
  <c r="N1441" i="1"/>
  <c r="J1441" i="1"/>
  <c r="I1441" i="1"/>
  <c r="H1441" i="1"/>
  <c r="G1441" i="1"/>
  <c r="F1441" i="1"/>
  <c r="E1441" i="1"/>
  <c r="D1441" i="1"/>
  <c r="C1441" i="1"/>
  <c r="V1440" i="1"/>
  <c r="Q1440" i="1"/>
  <c r="P1440" i="1"/>
  <c r="O1440" i="1"/>
  <c r="N1440" i="1"/>
  <c r="J1440" i="1"/>
  <c r="I1440" i="1"/>
  <c r="H1440" i="1"/>
  <c r="G1440" i="1"/>
  <c r="F1440" i="1"/>
  <c r="E1440" i="1"/>
  <c r="D1440" i="1"/>
  <c r="C1440" i="1"/>
  <c r="V1439" i="1"/>
  <c r="Q1439" i="1"/>
  <c r="P1439" i="1"/>
  <c r="O1439" i="1"/>
  <c r="N1439" i="1"/>
  <c r="J1439" i="1"/>
  <c r="I1439" i="1"/>
  <c r="H1439" i="1"/>
  <c r="G1439" i="1"/>
  <c r="F1439" i="1"/>
  <c r="E1439" i="1"/>
  <c r="D1439" i="1"/>
  <c r="C1439" i="1"/>
  <c r="V1438" i="1"/>
  <c r="Q1438" i="1"/>
  <c r="P1438" i="1"/>
  <c r="O1438" i="1"/>
  <c r="N1438" i="1"/>
  <c r="J1438" i="1"/>
  <c r="I1438" i="1"/>
  <c r="H1438" i="1"/>
  <c r="G1438" i="1"/>
  <c r="F1438" i="1"/>
  <c r="E1438" i="1"/>
  <c r="D1438" i="1"/>
  <c r="C1438" i="1"/>
  <c r="V1437" i="1"/>
  <c r="Q1437" i="1"/>
  <c r="P1437" i="1"/>
  <c r="O1437" i="1"/>
  <c r="N1437" i="1"/>
  <c r="J1437" i="1"/>
  <c r="I1437" i="1"/>
  <c r="H1437" i="1"/>
  <c r="G1437" i="1"/>
  <c r="F1437" i="1"/>
  <c r="E1437" i="1"/>
  <c r="D1437" i="1"/>
  <c r="C1437" i="1"/>
  <c r="V1436" i="1"/>
  <c r="Q1436" i="1"/>
  <c r="P1436" i="1"/>
  <c r="O1436" i="1"/>
  <c r="N1436" i="1"/>
  <c r="J1436" i="1"/>
  <c r="I1436" i="1"/>
  <c r="H1436" i="1"/>
  <c r="G1436" i="1"/>
  <c r="F1436" i="1"/>
  <c r="E1436" i="1"/>
  <c r="D1436" i="1"/>
  <c r="C1436" i="1"/>
  <c r="V1435" i="1"/>
  <c r="Q1435" i="1"/>
  <c r="P1435" i="1"/>
  <c r="O1435" i="1"/>
  <c r="N1435" i="1"/>
  <c r="J1435" i="1"/>
  <c r="I1435" i="1"/>
  <c r="H1435" i="1"/>
  <c r="G1435" i="1"/>
  <c r="F1435" i="1"/>
  <c r="E1435" i="1"/>
  <c r="D1435" i="1"/>
  <c r="C1435" i="1"/>
  <c r="V1434" i="1"/>
  <c r="Q1434" i="1"/>
  <c r="P1434" i="1"/>
  <c r="O1434" i="1"/>
  <c r="N1434" i="1"/>
  <c r="J1434" i="1"/>
  <c r="I1434" i="1"/>
  <c r="H1434" i="1"/>
  <c r="G1434" i="1"/>
  <c r="F1434" i="1"/>
  <c r="E1434" i="1"/>
  <c r="D1434" i="1"/>
  <c r="C1434" i="1"/>
  <c r="V1433" i="1"/>
  <c r="Q1433" i="1"/>
  <c r="P1433" i="1"/>
  <c r="O1433" i="1"/>
  <c r="N1433" i="1"/>
  <c r="J1433" i="1"/>
  <c r="I1433" i="1"/>
  <c r="H1433" i="1"/>
  <c r="G1433" i="1"/>
  <c r="F1433" i="1"/>
  <c r="E1433" i="1"/>
  <c r="D1433" i="1"/>
  <c r="C1433" i="1"/>
  <c r="V1432" i="1"/>
  <c r="Q1432" i="1"/>
  <c r="P1432" i="1"/>
  <c r="O1432" i="1"/>
  <c r="N1432" i="1"/>
  <c r="J1432" i="1"/>
  <c r="I1432" i="1"/>
  <c r="H1432" i="1"/>
  <c r="G1432" i="1"/>
  <c r="F1432" i="1"/>
  <c r="E1432" i="1"/>
  <c r="D1432" i="1"/>
  <c r="C1432" i="1"/>
  <c r="V1431" i="1"/>
  <c r="Q1431" i="1"/>
  <c r="P1431" i="1"/>
  <c r="O1431" i="1"/>
  <c r="N1431" i="1"/>
  <c r="J1431" i="1"/>
  <c r="I1431" i="1"/>
  <c r="H1431" i="1"/>
  <c r="G1431" i="1"/>
  <c r="F1431" i="1"/>
  <c r="E1431" i="1"/>
  <c r="D1431" i="1"/>
  <c r="C1431" i="1"/>
  <c r="V1430" i="1"/>
  <c r="Q1430" i="1"/>
  <c r="P1430" i="1"/>
  <c r="O1430" i="1"/>
  <c r="N1430" i="1"/>
  <c r="J1430" i="1"/>
  <c r="I1430" i="1"/>
  <c r="H1430" i="1"/>
  <c r="G1430" i="1"/>
  <c r="F1430" i="1"/>
  <c r="E1430" i="1"/>
  <c r="D1430" i="1"/>
  <c r="C1430" i="1"/>
  <c r="V1429" i="1"/>
  <c r="Q1429" i="1"/>
  <c r="P1429" i="1"/>
  <c r="O1429" i="1"/>
  <c r="N1429" i="1"/>
  <c r="J1429" i="1"/>
  <c r="I1429" i="1"/>
  <c r="H1429" i="1"/>
  <c r="G1429" i="1"/>
  <c r="F1429" i="1"/>
  <c r="E1429" i="1"/>
  <c r="D1429" i="1"/>
  <c r="C1429" i="1"/>
  <c r="V1428" i="1"/>
  <c r="Q1428" i="1"/>
  <c r="P1428" i="1"/>
  <c r="O1428" i="1"/>
  <c r="N1428" i="1"/>
  <c r="J1428" i="1"/>
  <c r="I1428" i="1"/>
  <c r="H1428" i="1"/>
  <c r="G1428" i="1"/>
  <c r="F1428" i="1"/>
  <c r="E1428" i="1"/>
  <c r="D1428" i="1"/>
  <c r="C1428" i="1"/>
  <c r="V1427" i="1"/>
  <c r="Q1427" i="1"/>
  <c r="P1427" i="1"/>
  <c r="O1427" i="1"/>
  <c r="N1427" i="1"/>
  <c r="J1427" i="1"/>
  <c r="I1427" i="1"/>
  <c r="H1427" i="1"/>
  <c r="G1427" i="1"/>
  <c r="F1427" i="1"/>
  <c r="E1427" i="1"/>
  <c r="D1427" i="1"/>
  <c r="C1427" i="1"/>
  <c r="V1426" i="1"/>
  <c r="Q1426" i="1"/>
  <c r="P1426" i="1"/>
  <c r="O1426" i="1"/>
  <c r="N1426" i="1"/>
  <c r="J1426" i="1"/>
  <c r="I1426" i="1"/>
  <c r="H1426" i="1"/>
  <c r="G1426" i="1"/>
  <c r="F1426" i="1"/>
  <c r="E1426" i="1"/>
  <c r="D1426" i="1"/>
  <c r="C1426" i="1"/>
  <c r="V1425" i="1"/>
  <c r="Q1425" i="1"/>
  <c r="P1425" i="1"/>
  <c r="O1425" i="1"/>
  <c r="N1425" i="1"/>
  <c r="J1425" i="1"/>
  <c r="I1425" i="1"/>
  <c r="H1425" i="1"/>
  <c r="G1425" i="1"/>
  <c r="F1425" i="1"/>
  <c r="E1425" i="1"/>
  <c r="D1425" i="1"/>
  <c r="C1425" i="1"/>
  <c r="V1424" i="1"/>
  <c r="Q1424" i="1"/>
  <c r="P1424" i="1"/>
  <c r="O1424" i="1"/>
  <c r="N1424" i="1"/>
  <c r="J1424" i="1"/>
  <c r="I1424" i="1"/>
  <c r="H1424" i="1"/>
  <c r="G1424" i="1"/>
  <c r="F1424" i="1"/>
  <c r="E1424" i="1"/>
  <c r="D1424" i="1"/>
  <c r="C1424" i="1"/>
  <c r="V1423" i="1"/>
  <c r="Q1423" i="1"/>
  <c r="P1423" i="1"/>
  <c r="O1423" i="1"/>
  <c r="N1423" i="1"/>
  <c r="J1423" i="1"/>
  <c r="I1423" i="1"/>
  <c r="H1423" i="1"/>
  <c r="G1423" i="1"/>
  <c r="F1423" i="1"/>
  <c r="E1423" i="1"/>
  <c r="D1423" i="1"/>
  <c r="C1423" i="1"/>
  <c r="V1422" i="1"/>
  <c r="Q1422" i="1"/>
  <c r="P1422" i="1"/>
  <c r="O1422" i="1"/>
  <c r="N1422" i="1"/>
  <c r="J1422" i="1"/>
  <c r="I1422" i="1"/>
  <c r="H1422" i="1"/>
  <c r="G1422" i="1"/>
  <c r="F1422" i="1"/>
  <c r="E1422" i="1"/>
  <c r="D1422" i="1"/>
  <c r="C1422" i="1"/>
  <c r="V1421" i="1"/>
  <c r="Q1421" i="1"/>
  <c r="P1421" i="1"/>
  <c r="O1421" i="1"/>
  <c r="N1421" i="1"/>
  <c r="J1421" i="1"/>
  <c r="I1421" i="1"/>
  <c r="H1421" i="1"/>
  <c r="G1421" i="1"/>
  <c r="F1421" i="1"/>
  <c r="E1421" i="1"/>
  <c r="D1421" i="1"/>
  <c r="C1421" i="1"/>
  <c r="V1420" i="1"/>
  <c r="Q1420" i="1"/>
  <c r="P1420" i="1"/>
  <c r="O1420" i="1"/>
  <c r="N1420" i="1"/>
  <c r="J1420" i="1"/>
  <c r="I1420" i="1"/>
  <c r="H1420" i="1"/>
  <c r="G1420" i="1"/>
  <c r="F1420" i="1"/>
  <c r="E1420" i="1"/>
  <c r="D1420" i="1"/>
  <c r="C1420" i="1"/>
  <c r="V1419" i="1"/>
  <c r="Q1419" i="1"/>
  <c r="P1419" i="1"/>
  <c r="O1419" i="1"/>
  <c r="N1419" i="1"/>
  <c r="J1419" i="1"/>
  <c r="I1419" i="1"/>
  <c r="H1419" i="1"/>
  <c r="G1419" i="1"/>
  <c r="F1419" i="1"/>
  <c r="E1419" i="1"/>
  <c r="D1419" i="1"/>
  <c r="C1419" i="1"/>
  <c r="V1418" i="1"/>
  <c r="Q1418" i="1"/>
  <c r="P1418" i="1"/>
  <c r="O1418" i="1"/>
  <c r="N1418" i="1"/>
  <c r="J1418" i="1"/>
  <c r="I1418" i="1"/>
  <c r="H1418" i="1"/>
  <c r="G1418" i="1"/>
  <c r="F1418" i="1"/>
  <c r="E1418" i="1"/>
  <c r="D1418" i="1"/>
  <c r="C1418" i="1"/>
  <c r="V1417" i="1"/>
  <c r="Q1417" i="1"/>
  <c r="P1417" i="1"/>
  <c r="O1417" i="1"/>
  <c r="N1417" i="1"/>
  <c r="J1417" i="1"/>
  <c r="I1417" i="1"/>
  <c r="H1417" i="1"/>
  <c r="G1417" i="1"/>
  <c r="F1417" i="1"/>
  <c r="E1417" i="1"/>
  <c r="D1417" i="1"/>
  <c r="C1417" i="1"/>
  <c r="V1416" i="1"/>
  <c r="Q1416" i="1"/>
  <c r="P1416" i="1"/>
  <c r="O1416" i="1"/>
  <c r="N1416" i="1"/>
  <c r="J1416" i="1"/>
  <c r="I1416" i="1"/>
  <c r="H1416" i="1"/>
  <c r="G1416" i="1"/>
  <c r="F1416" i="1"/>
  <c r="E1416" i="1"/>
  <c r="D1416" i="1"/>
  <c r="C1416" i="1"/>
  <c r="V1415" i="1"/>
  <c r="Q1415" i="1"/>
  <c r="P1415" i="1"/>
  <c r="O1415" i="1"/>
  <c r="N1415" i="1"/>
  <c r="J1415" i="1"/>
  <c r="I1415" i="1"/>
  <c r="H1415" i="1"/>
  <c r="G1415" i="1"/>
  <c r="F1415" i="1"/>
  <c r="E1415" i="1"/>
  <c r="D1415" i="1"/>
  <c r="C1415" i="1"/>
  <c r="V1414" i="1"/>
  <c r="Q1414" i="1"/>
  <c r="P1414" i="1"/>
  <c r="O1414" i="1"/>
  <c r="N1414" i="1"/>
  <c r="J1414" i="1"/>
  <c r="I1414" i="1"/>
  <c r="H1414" i="1"/>
  <c r="G1414" i="1"/>
  <c r="F1414" i="1"/>
  <c r="E1414" i="1"/>
  <c r="D1414" i="1"/>
  <c r="C1414" i="1"/>
  <c r="V1413" i="1"/>
  <c r="Q1413" i="1"/>
  <c r="P1413" i="1"/>
  <c r="O1413" i="1"/>
  <c r="N1413" i="1"/>
  <c r="J1413" i="1"/>
  <c r="I1413" i="1"/>
  <c r="H1413" i="1"/>
  <c r="G1413" i="1"/>
  <c r="F1413" i="1"/>
  <c r="E1413" i="1"/>
  <c r="D1413" i="1"/>
  <c r="C1413" i="1"/>
  <c r="V1412" i="1"/>
  <c r="Q1412" i="1"/>
  <c r="P1412" i="1"/>
  <c r="O1412" i="1"/>
  <c r="N1412" i="1"/>
  <c r="J1412" i="1"/>
  <c r="I1412" i="1"/>
  <c r="H1412" i="1"/>
  <c r="G1412" i="1"/>
  <c r="F1412" i="1"/>
  <c r="E1412" i="1"/>
  <c r="D1412" i="1"/>
  <c r="C1412" i="1"/>
  <c r="V1411" i="1"/>
  <c r="Q1411" i="1"/>
  <c r="P1411" i="1"/>
  <c r="O1411" i="1"/>
  <c r="N1411" i="1"/>
  <c r="J1411" i="1"/>
  <c r="I1411" i="1"/>
  <c r="H1411" i="1"/>
  <c r="G1411" i="1"/>
  <c r="F1411" i="1"/>
  <c r="E1411" i="1"/>
  <c r="D1411" i="1"/>
  <c r="C1411" i="1"/>
  <c r="V1410" i="1"/>
  <c r="Q1410" i="1"/>
  <c r="P1410" i="1"/>
  <c r="O1410" i="1"/>
  <c r="N1410" i="1"/>
  <c r="J1410" i="1"/>
  <c r="I1410" i="1"/>
  <c r="H1410" i="1"/>
  <c r="G1410" i="1"/>
  <c r="F1410" i="1"/>
  <c r="E1410" i="1"/>
  <c r="D1410" i="1"/>
  <c r="C1410" i="1"/>
  <c r="V1409" i="1"/>
  <c r="Q1409" i="1"/>
  <c r="P1409" i="1"/>
  <c r="O1409" i="1"/>
  <c r="N1409" i="1"/>
  <c r="J1409" i="1"/>
  <c r="I1409" i="1"/>
  <c r="H1409" i="1"/>
  <c r="G1409" i="1"/>
  <c r="F1409" i="1"/>
  <c r="E1409" i="1"/>
  <c r="D1409" i="1"/>
  <c r="C1409" i="1"/>
  <c r="V1408" i="1"/>
  <c r="Q1408" i="1"/>
  <c r="P1408" i="1"/>
  <c r="O1408" i="1"/>
  <c r="N1408" i="1"/>
  <c r="J1408" i="1"/>
  <c r="I1408" i="1"/>
  <c r="H1408" i="1"/>
  <c r="G1408" i="1"/>
  <c r="F1408" i="1"/>
  <c r="E1408" i="1"/>
  <c r="D1408" i="1"/>
  <c r="C1408" i="1"/>
  <c r="V1407" i="1"/>
  <c r="Q1407" i="1"/>
  <c r="P1407" i="1"/>
  <c r="O1407" i="1"/>
  <c r="N1407" i="1"/>
  <c r="J1407" i="1"/>
  <c r="I1407" i="1"/>
  <c r="H1407" i="1"/>
  <c r="G1407" i="1"/>
  <c r="F1407" i="1"/>
  <c r="E1407" i="1"/>
  <c r="D1407" i="1"/>
  <c r="C1407" i="1"/>
  <c r="V1406" i="1"/>
  <c r="Q1406" i="1"/>
  <c r="P1406" i="1"/>
  <c r="O1406" i="1"/>
  <c r="N1406" i="1"/>
  <c r="J1406" i="1"/>
  <c r="I1406" i="1"/>
  <c r="H1406" i="1"/>
  <c r="G1406" i="1"/>
  <c r="F1406" i="1"/>
  <c r="E1406" i="1"/>
  <c r="D1406" i="1"/>
  <c r="C1406" i="1"/>
  <c r="V1405" i="1"/>
  <c r="Q1405" i="1"/>
  <c r="P1405" i="1"/>
  <c r="O1405" i="1"/>
  <c r="N1405" i="1"/>
  <c r="J1405" i="1"/>
  <c r="I1405" i="1"/>
  <c r="H1405" i="1"/>
  <c r="G1405" i="1"/>
  <c r="F1405" i="1"/>
  <c r="E1405" i="1"/>
  <c r="D1405" i="1"/>
  <c r="C1405" i="1"/>
  <c r="V1404" i="1"/>
  <c r="Q1404" i="1"/>
  <c r="P1404" i="1"/>
  <c r="O1404" i="1"/>
  <c r="N1404" i="1"/>
  <c r="J1404" i="1"/>
  <c r="I1404" i="1"/>
  <c r="H1404" i="1"/>
  <c r="G1404" i="1"/>
  <c r="F1404" i="1"/>
  <c r="E1404" i="1"/>
  <c r="D1404" i="1"/>
  <c r="C1404" i="1"/>
  <c r="V1403" i="1"/>
  <c r="Q1403" i="1"/>
  <c r="P1403" i="1"/>
  <c r="O1403" i="1"/>
  <c r="N1403" i="1"/>
  <c r="J1403" i="1"/>
  <c r="I1403" i="1"/>
  <c r="H1403" i="1"/>
  <c r="G1403" i="1"/>
  <c r="F1403" i="1"/>
  <c r="E1403" i="1"/>
  <c r="D1403" i="1"/>
  <c r="C1403" i="1"/>
  <c r="V1402" i="1"/>
  <c r="Q1402" i="1"/>
  <c r="P1402" i="1"/>
  <c r="O1402" i="1"/>
  <c r="N1402" i="1"/>
  <c r="J1402" i="1"/>
  <c r="I1402" i="1"/>
  <c r="H1402" i="1"/>
  <c r="G1402" i="1"/>
  <c r="F1402" i="1"/>
  <c r="E1402" i="1"/>
  <c r="D1402" i="1"/>
  <c r="C1402" i="1"/>
  <c r="V1401" i="1"/>
  <c r="Q1401" i="1"/>
  <c r="P1401" i="1"/>
  <c r="O1401" i="1"/>
  <c r="N1401" i="1"/>
  <c r="J1401" i="1"/>
  <c r="I1401" i="1"/>
  <c r="H1401" i="1"/>
  <c r="G1401" i="1"/>
  <c r="F1401" i="1"/>
  <c r="E1401" i="1"/>
  <c r="D1401" i="1"/>
  <c r="C1401" i="1"/>
  <c r="V1400" i="1"/>
  <c r="Q1400" i="1"/>
  <c r="P1400" i="1"/>
  <c r="O1400" i="1"/>
  <c r="N1400" i="1"/>
  <c r="J1400" i="1"/>
  <c r="I1400" i="1"/>
  <c r="H1400" i="1"/>
  <c r="G1400" i="1"/>
  <c r="F1400" i="1"/>
  <c r="E1400" i="1"/>
  <c r="D1400" i="1"/>
  <c r="C1400" i="1"/>
  <c r="V1399" i="1"/>
  <c r="Q1399" i="1"/>
  <c r="P1399" i="1"/>
  <c r="O1399" i="1"/>
  <c r="N1399" i="1"/>
  <c r="J1399" i="1"/>
  <c r="I1399" i="1"/>
  <c r="H1399" i="1"/>
  <c r="G1399" i="1"/>
  <c r="F1399" i="1"/>
  <c r="E1399" i="1"/>
  <c r="D1399" i="1"/>
  <c r="C1399" i="1"/>
  <c r="V1398" i="1"/>
  <c r="Q1398" i="1"/>
  <c r="P1398" i="1"/>
  <c r="O1398" i="1"/>
  <c r="N1398" i="1"/>
  <c r="J1398" i="1"/>
  <c r="I1398" i="1"/>
  <c r="H1398" i="1"/>
  <c r="G1398" i="1"/>
  <c r="F1398" i="1"/>
  <c r="E1398" i="1"/>
  <c r="D1398" i="1"/>
  <c r="C1398" i="1"/>
  <c r="V1397" i="1"/>
  <c r="Q1397" i="1"/>
  <c r="P1397" i="1"/>
  <c r="O1397" i="1"/>
  <c r="N1397" i="1"/>
  <c r="J1397" i="1"/>
  <c r="I1397" i="1"/>
  <c r="H1397" i="1"/>
  <c r="G1397" i="1"/>
  <c r="F1397" i="1"/>
  <c r="E1397" i="1"/>
  <c r="D1397" i="1"/>
  <c r="C1397" i="1"/>
  <c r="V1396" i="1"/>
  <c r="Q1396" i="1"/>
  <c r="P1396" i="1"/>
  <c r="O1396" i="1"/>
  <c r="N1396" i="1"/>
  <c r="J1396" i="1"/>
  <c r="I1396" i="1"/>
  <c r="H1396" i="1"/>
  <c r="G1396" i="1"/>
  <c r="F1396" i="1"/>
  <c r="E1396" i="1"/>
  <c r="D1396" i="1"/>
  <c r="C1396" i="1"/>
  <c r="V1395" i="1"/>
  <c r="Q1395" i="1"/>
  <c r="P1395" i="1"/>
  <c r="O1395" i="1"/>
  <c r="N1395" i="1"/>
  <c r="J1395" i="1"/>
  <c r="I1395" i="1"/>
  <c r="H1395" i="1"/>
  <c r="G1395" i="1"/>
  <c r="F1395" i="1"/>
  <c r="E1395" i="1"/>
  <c r="D1395" i="1"/>
  <c r="C1395" i="1"/>
  <c r="V1394" i="1"/>
  <c r="Q1394" i="1"/>
  <c r="P1394" i="1"/>
  <c r="O1394" i="1"/>
  <c r="N1394" i="1"/>
  <c r="J1394" i="1"/>
  <c r="I1394" i="1"/>
  <c r="H1394" i="1"/>
  <c r="G1394" i="1"/>
  <c r="F1394" i="1"/>
  <c r="E1394" i="1"/>
  <c r="D1394" i="1"/>
  <c r="C1394" i="1"/>
  <c r="V1393" i="1"/>
  <c r="Q1393" i="1"/>
  <c r="P1393" i="1"/>
  <c r="O1393" i="1"/>
  <c r="N1393" i="1"/>
  <c r="J1393" i="1"/>
  <c r="I1393" i="1"/>
  <c r="H1393" i="1"/>
  <c r="G1393" i="1"/>
  <c r="F1393" i="1"/>
  <c r="E1393" i="1"/>
  <c r="D1393" i="1"/>
  <c r="C1393" i="1"/>
  <c r="V1392" i="1"/>
  <c r="Q1392" i="1"/>
  <c r="P1392" i="1"/>
  <c r="O1392" i="1"/>
  <c r="N1392" i="1"/>
  <c r="J1392" i="1"/>
  <c r="I1392" i="1"/>
  <c r="H1392" i="1"/>
  <c r="G1392" i="1"/>
  <c r="F1392" i="1"/>
  <c r="E1392" i="1"/>
  <c r="D1392" i="1"/>
  <c r="C1392" i="1"/>
  <c r="V1391" i="1"/>
  <c r="Q1391" i="1"/>
  <c r="P1391" i="1"/>
  <c r="O1391" i="1"/>
  <c r="N1391" i="1"/>
  <c r="J1391" i="1"/>
  <c r="I1391" i="1"/>
  <c r="H1391" i="1"/>
  <c r="G1391" i="1"/>
  <c r="F1391" i="1"/>
  <c r="E1391" i="1"/>
  <c r="D1391" i="1"/>
  <c r="C1391" i="1"/>
  <c r="V1390" i="1"/>
  <c r="Q1390" i="1"/>
  <c r="P1390" i="1"/>
  <c r="O1390" i="1"/>
  <c r="N1390" i="1"/>
  <c r="J1390" i="1"/>
  <c r="I1390" i="1"/>
  <c r="H1390" i="1"/>
  <c r="G1390" i="1"/>
  <c r="F1390" i="1"/>
  <c r="E1390" i="1"/>
  <c r="D1390" i="1"/>
  <c r="C1390" i="1"/>
  <c r="V1389" i="1"/>
  <c r="Q1389" i="1"/>
  <c r="P1389" i="1"/>
  <c r="O1389" i="1"/>
  <c r="N1389" i="1"/>
  <c r="J1389" i="1"/>
  <c r="I1389" i="1"/>
  <c r="H1389" i="1"/>
  <c r="G1389" i="1"/>
  <c r="F1389" i="1"/>
  <c r="E1389" i="1"/>
  <c r="D1389" i="1"/>
  <c r="C1389" i="1"/>
  <c r="V1388" i="1"/>
  <c r="Q1388" i="1"/>
  <c r="P1388" i="1"/>
  <c r="O1388" i="1"/>
  <c r="N1388" i="1"/>
  <c r="J1388" i="1"/>
  <c r="I1388" i="1"/>
  <c r="H1388" i="1"/>
  <c r="G1388" i="1"/>
  <c r="F1388" i="1"/>
  <c r="E1388" i="1"/>
  <c r="D1388" i="1"/>
  <c r="C1388" i="1"/>
  <c r="V1387" i="1"/>
  <c r="Q1387" i="1"/>
  <c r="P1387" i="1"/>
  <c r="O1387" i="1"/>
  <c r="N1387" i="1"/>
  <c r="J1387" i="1"/>
  <c r="I1387" i="1"/>
  <c r="H1387" i="1"/>
  <c r="G1387" i="1"/>
  <c r="F1387" i="1"/>
  <c r="E1387" i="1"/>
  <c r="D1387" i="1"/>
  <c r="C1387" i="1"/>
  <c r="V1386" i="1"/>
  <c r="Q1386" i="1"/>
  <c r="P1386" i="1"/>
  <c r="O1386" i="1"/>
  <c r="N1386" i="1"/>
  <c r="J1386" i="1"/>
  <c r="I1386" i="1"/>
  <c r="H1386" i="1"/>
  <c r="G1386" i="1"/>
  <c r="F1386" i="1"/>
  <c r="E1386" i="1"/>
  <c r="D1386" i="1"/>
  <c r="C1386" i="1"/>
  <c r="V1385" i="1"/>
  <c r="Q1385" i="1"/>
  <c r="P1385" i="1"/>
  <c r="O1385" i="1"/>
  <c r="N1385" i="1"/>
  <c r="J1385" i="1"/>
  <c r="I1385" i="1"/>
  <c r="H1385" i="1"/>
  <c r="G1385" i="1"/>
  <c r="F1385" i="1"/>
  <c r="E1385" i="1"/>
  <c r="D1385" i="1"/>
  <c r="C1385" i="1"/>
  <c r="V1384" i="1"/>
  <c r="Q1384" i="1"/>
  <c r="P1384" i="1"/>
  <c r="O1384" i="1"/>
  <c r="N1384" i="1"/>
  <c r="J1384" i="1"/>
  <c r="I1384" i="1"/>
  <c r="H1384" i="1"/>
  <c r="G1384" i="1"/>
  <c r="F1384" i="1"/>
  <c r="E1384" i="1"/>
  <c r="D1384" i="1"/>
  <c r="C1384" i="1"/>
  <c r="V1383" i="1"/>
  <c r="Q1383" i="1"/>
  <c r="P1383" i="1"/>
  <c r="O1383" i="1"/>
  <c r="N1383" i="1"/>
  <c r="J1383" i="1"/>
  <c r="I1383" i="1"/>
  <c r="H1383" i="1"/>
  <c r="G1383" i="1"/>
  <c r="F1383" i="1"/>
  <c r="E1383" i="1"/>
  <c r="D1383" i="1"/>
  <c r="C1383" i="1"/>
  <c r="V1382" i="1"/>
  <c r="Q1382" i="1"/>
  <c r="P1382" i="1"/>
  <c r="O1382" i="1"/>
  <c r="N1382" i="1"/>
  <c r="J1382" i="1"/>
  <c r="I1382" i="1"/>
  <c r="H1382" i="1"/>
  <c r="G1382" i="1"/>
  <c r="F1382" i="1"/>
  <c r="E1382" i="1"/>
  <c r="D1382" i="1"/>
  <c r="C1382" i="1"/>
  <c r="V1381" i="1"/>
  <c r="Q1381" i="1"/>
  <c r="P1381" i="1"/>
  <c r="O1381" i="1"/>
  <c r="N1381" i="1"/>
  <c r="J1381" i="1"/>
  <c r="I1381" i="1"/>
  <c r="H1381" i="1"/>
  <c r="G1381" i="1"/>
  <c r="F1381" i="1"/>
  <c r="E1381" i="1"/>
  <c r="D1381" i="1"/>
  <c r="C1381" i="1"/>
  <c r="V1380" i="1"/>
  <c r="Q1380" i="1"/>
  <c r="P1380" i="1"/>
  <c r="O1380" i="1"/>
  <c r="N1380" i="1"/>
  <c r="J1380" i="1"/>
  <c r="I1380" i="1"/>
  <c r="H1380" i="1"/>
  <c r="G1380" i="1"/>
  <c r="F1380" i="1"/>
  <c r="E1380" i="1"/>
  <c r="D1380" i="1"/>
  <c r="C1380" i="1"/>
  <c r="V1379" i="1"/>
  <c r="Q1379" i="1"/>
  <c r="P1379" i="1"/>
  <c r="O1379" i="1"/>
  <c r="N1379" i="1"/>
  <c r="J1379" i="1"/>
  <c r="I1379" i="1"/>
  <c r="H1379" i="1"/>
  <c r="G1379" i="1"/>
  <c r="F1379" i="1"/>
  <c r="E1379" i="1"/>
  <c r="D1379" i="1"/>
  <c r="C1379" i="1"/>
  <c r="V1378" i="1"/>
  <c r="Q1378" i="1"/>
  <c r="P1378" i="1"/>
  <c r="O1378" i="1"/>
  <c r="N1378" i="1"/>
  <c r="J1378" i="1"/>
  <c r="I1378" i="1"/>
  <c r="H1378" i="1"/>
  <c r="G1378" i="1"/>
  <c r="F1378" i="1"/>
  <c r="E1378" i="1"/>
  <c r="D1378" i="1"/>
  <c r="C1378" i="1"/>
  <c r="V1377" i="1"/>
  <c r="Q1377" i="1"/>
  <c r="P1377" i="1"/>
  <c r="O1377" i="1"/>
  <c r="N1377" i="1"/>
  <c r="J1377" i="1"/>
  <c r="I1377" i="1"/>
  <c r="H1377" i="1"/>
  <c r="G1377" i="1"/>
  <c r="F1377" i="1"/>
  <c r="E1377" i="1"/>
  <c r="D1377" i="1"/>
  <c r="C1377" i="1"/>
  <c r="V1376" i="1"/>
  <c r="Q1376" i="1"/>
  <c r="P1376" i="1"/>
  <c r="O1376" i="1"/>
  <c r="N1376" i="1"/>
  <c r="J1376" i="1"/>
  <c r="I1376" i="1"/>
  <c r="H1376" i="1"/>
  <c r="G1376" i="1"/>
  <c r="F1376" i="1"/>
  <c r="E1376" i="1"/>
  <c r="D1376" i="1"/>
  <c r="C1376" i="1"/>
  <c r="V1375" i="1"/>
  <c r="Q1375" i="1"/>
  <c r="P1375" i="1"/>
  <c r="O1375" i="1"/>
  <c r="N1375" i="1"/>
  <c r="J1375" i="1"/>
  <c r="I1375" i="1"/>
  <c r="H1375" i="1"/>
  <c r="G1375" i="1"/>
  <c r="F1375" i="1"/>
  <c r="E1375" i="1"/>
  <c r="D1375" i="1"/>
  <c r="C1375" i="1"/>
  <c r="V1374" i="1"/>
  <c r="Q1374" i="1"/>
  <c r="P1374" i="1"/>
  <c r="O1374" i="1"/>
  <c r="N1374" i="1"/>
  <c r="J1374" i="1"/>
  <c r="I1374" i="1"/>
  <c r="H1374" i="1"/>
  <c r="G1374" i="1"/>
  <c r="F1374" i="1"/>
  <c r="E1374" i="1"/>
  <c r="D1374" i="1"/>
  <c r="C1374" i="1"/>
  <c r="V1373" i="1"/>
  <c r="Q1373" i="1"/>
  <c r="P1373" i="1"/>
  <c r="O1373" i="1"/>
  <c r="N1373" i="1"/>
  <c r="J1373" i="1"/>
  <c r="I1373" i="1"/>
  <c r="H1373" i="1"/>
  <c r="G1373" i="1"/>
  <c r="F1373" i="1"/>
  <c r="E1373" i="1"/>
  <c r="D1373" i="1"/>
  <c r="C1373" i="1"/>
  <c r="V1372" i="1"/>
  <c r="Q1372" i="1"/>
  <c r="P1372" i="1"/>
  <c r="O1372" i="1"/>
  <c r="N1372" i="1"/>
  <c r="J1372" i="1"/>
  <c r="I1372" i="1"/>
  <c r="H1372" i="1"/>
  <c r="G1372" i="1"/>
  <c r="F1372" i="1"/>
  <c r="E1372" i="1"/>
  <c r="D1372" i="1"/>
  <c r="C1372" i="1"/>
  <c r="V1371" i="1"/>
  <c r="Q1371" i="1"/>
  <c r="P1371" i="1"/>
  <c r="O1371" i="1"/>
  <c r="N1371" i="1"/>
  <c r="J1371" i="1"/>
  <c r="I1371" i="1"/>
  <c r="H1371" i="1"/>
  <c r="G1371" i="1"/>
  <c r="F1371" i="1"/>
  <c r="E1371" i="1"/>
  <c r="D1371" i="1"/>
  <c r="C1371" i="1"/>
  <c r="V1370" i="1"/>
  <c r="Q1370" i="1"/>
  <c r="P1370" i="1"/>
  <c r="O1370" i="1"/>
  <c r="N1370" i="1"/>
  <c r="J1370" i="1"/>
  <c r="I1370" i="1"/>
  <c r="H1370" i="1"/>
  <c r="G1370" i="1"/>
  <c r="F1370" i="1"/>
  <c r="E1370" i="1"/>
  <c r="D1370" i="1"/>
  <c r="C1370" i="1"/>
  <c r="V1369" i="1"/>
  <c r="Q1369" i="1"/>
  <c r="P1369" i="1"/>
  <c r="O1369" i="1"/>
  <c r="N1369" i="1"/>
  <c r="J1369" i="1"/>
  <c r="I1369" i="1"/>
  <c r="H1369" i="1"/>
  <c r="G1369" i="1"/>
  <c r="F1369" i="1"/>
  <c r="E1369" i="1"/>
  <c r="D1369" i="1"/>
  <c r="C1369" i="1"/>
  <c r="V1368" i="1"/>
  <c r="Q1368" i="1"/>
  <c r="P1368" i="1"/>
  <c r="O1368" i="1"/>
  <c r="N1368" i="1"/>
  <c r="J1368" i="1"/>
  <c r="I1368" i="1"/>
  <c r="H1368" i="1"/>
  <c r="G1368" i="1"/>
  <c r="F1368" i="1"/>
  <c r="E1368" i="1"/>
  <c r="D1368" i="1"/>
  <c r="C1368" i="1"/>
  <c r="V1367" i="1"/>
  <c r="Q1367" i="1"/>
  <c r="P1367" i="1"/>
  <c r="O1367" i="1"/>
  <c r="N1367" i="1"/>
  <c r="J1367" i="1"/>
  <c r="I1367" i="1"/>
  <c r="H1367" i="1"/>
  <c r="G1367" i="1"/>
  <c r="F1367" i="1"/>
  <c r="E1367" i="1"/>
  <c r="D1367" i="1"/>
  <c r="C1367" i="1"/>
  <c r="V1366" i="1"/>
  <c r="Q1366" i="1"/>
  <c r="P1366" i="1"/>
  <c r="O1366" i="1"/>
  <c r="N1366" i="1"/>
  <c r="J1366" i="1"/>
  <c r="I1366" i="1"/>
  <c r="H1366" i="1"/>
  <c r="G1366" i="1"/>
  <c r="F1366" i="1"/>
  <c r="E1366" i="1"/>
  <c r="D1366" i="1"/>
  <c r="C1366" i="1"/>
  <c r="V1365" i="1"/>
  <c r="Q1365" i="1"/>
  <c r="P1365" i="1"/>
  <c r="O1365" i="1"/>
  <c r="N1365" i="1"/>
  <c r="J1365" i="1"/>
  <c r="I1365" i="1"/>
  <c r="H1365" i="1"/>
  <c r="G1365" i="1"/>
  <c r="F1365" i="1"/>
  <c r="E1365" i="1"/>
  <c r="D1365" i="1"/>
  <c r="C1365" i="1"/>
  <c r="V1364" i="1"/>
  <c r="Q1364" i="1"/>
  <c r="P1364" i="1"/>
  <c r="O1364" i="1"/>
  <c r="N1364" i="1"/>
  <c r="J1364" i="1"/>
  <c r="I1364" i="1"/>
  <c r="H1364" i="1"/>
  <c r="G1364" i="1"/>
  <c r="F1364" i="1"/>
  <c r="E1364" i="1"/>
  <c r="D1364" i="1"/>
  <c r="C1364" i="1"/>
  <c r="V1363" i="1"/>
  <c r="Q1363" i="1"/>
  <c r="P1363" i="1"/>
  <c r="O1363" i="1"/>
  <c r="N1363" i="1"/>
  <c r="J1363" i="1"/>
  <c r="I1363" i="1"/>
  <c r="H1363" i="1"/>
  <c r="G1363" i="1"/>
  <c r="F1363" i="1"/>
  <c r="E1363" i="1"/>
  <c r="D1363" i="1"/>
  <c r="C1363" i="1"/>
  <c r="V1362" i="1"/>
  <c r="Q1362" i="1"/>
  <c r="P1362" i="1"/>
  <c r="O1362" i="1"/>
  <c r="N1362" i="1"/>
  <c r="J1362" i="1"/>
  <c r="I1362" i="1"/>
  <c r="H1362" i="1"/>
  <c r="G1362" i="1"/>
  <c r="F1362" i="1"/>
  <c r="E1362" i="1"/>
  <c r="D1362" i="1"/>
  <c r="C1362" i="1"/>
  <c r="V1361" i="1"/>
  <c r="Q1361" i="1"/>
  <c r="P1361" i="1"/>
  <c r="O1361" i="1"/>
  <c r="N1361" i="1"/>
  <c r="J1361" i="1"/>
  <c r="I1361" i="1"/>
  <c r="H1361" i="1"/>
  <c r="G1361" i="1"/>
  <c r="F1361" i="1"/>
  <c r="E1361" i="1"/>
  <c r="D1361" i="1"/>
  <c r="C1361" i="1"/>
  <c r="V1360" i="1"/>
  <c r="Q1360" i="1"/>
  <c r="P1360" i="1"/>
  <c r="O1360" i="1"/>
  <c r="N1360" i="1"/>
  <c r="J1360" i="1"/>
  <c r="I1360" i="1"/>
  <c r="H1360" i="1"/>
  <c r="G1360" i="1"/>
  <c r="F1360" i="1"/>
  <c r="E1360" i="1"/>
  <c r="D1360" i="1"/>
  <c r="C1360" i="1"/>
  <c r="V1359" i="1"/>
  <c r="Q1359" i="1"/>
  <c r="P1359" i="1"/>
  <c r="O1359" i="1"/>
  <c r="N1359" i="1"/>
  <c r="J1359" i="1"/>
  <c r="I1359" i="1"/>
  <c r="H1359" i="1"/>
  <c r="G1359" i="1"/>
  <c r="F1359" i="1"/>
  <c r="E1359" i="1"/>
  <c r="D1359" i="1"/>
  <c r="C1359" i="1"/>
  <c r="V1358" i="1"/>
  <c r="Q1358" i="1"/>
  <c r="P1358" i="1"/>
  <c r="O1358" i="1"/>
  <c r="N1358" i="1"/>
  <c r="J1358" i="1"/>
  <c r="I1358" i="1"/>
  <c r="H1358" i="1"/>
  <c r="G1358" i="1"/>
  <c r="F1358" i="1"/>
  <c r="E1358" i="1"/>
  <c r="D1358" i="1"/>
  <c r="C1358" i="1"/>
  <c r="V1357" i="1"/>
  <c r="Q1357" i="1"/>
  <c r="P1357" i="1"/>
  <c r="O1357" i="1"/>
  <c r="N1357" i="1"/>
  <c r="J1357" i="1"/>
  <c r="I1357" i="1"/>
  <c r="H1357" i="1"/>
  <c r="G1357" i="1"/>
  <c r="F1357" i="1"/>
  <c r="E1357" i="1"/>
  <c r="D1357" i="1"/>
  <c r="C1357" i="1"/>
  <c r="V1356" i="1"/>
  <c r="Q1356" i="1"/>
  <c r="P1356" i="1"/>
  <c r="O1356" i="1"/>
  <c r="N1356" i="1"/>
  <c r="J1356" i="1"/>
  <c r="I1356" i="1"/>
  <c r="H1356" i="1"/>
  <c r="G1356" i="1"/>
  <c r="F1356" i="1"/>
  <c r="E1356" i="1"/>
  <c r="D1356" i="1"/>
  <c r="C1356" i="1"/>
  <c r="V1355" i="1"/>
  <c r="Q1355" i="1"/>
  <c r="P1355" i="1"/>
  <c r="O1355" i="1"/>
  <c r="N1355" i="1"/>
  <c r="J1355" i="1"/>
  <c r="I1355" i="1"/>
  <c r="H1355" i="1"/>
  <c r="G1355" i="1"/>
  <c r="F1355" i="1"/>
  <c r="E1355" i="1"/>
  <c r="D1355" i="1"/>
  <c r="C1355" i="1"/>
  <c r="V1354" i="1"/>
  <c r="Q1354" i="1"/>
  <c r="P1354" i="1"/>
  <c r="O1354" i="1"/>
  <c r="N1354" i="1"/>
  <c r="J1354" i="1"/>
  <c r="I1354" i="1"/>
  <c r="H1354" i="1"/>
  <c r="G1354" i="1"/>
  <c r="F1354" i="1"/>
  <c r="E1354" i="1"/>
  <c r="D1354" i="1"/>
  <c r="C1354" i="1"/>
  <c r="V1353" i="1"/>
  <c r="Q1353" i="1"/>
  <c r="P1353" i="1"/>
  <c r="O1353" i="1"/>
  <c r="N1353" i="1"/>
  <c r="J1353" i="1"/>
  <c r="I1353" i="1"/>
  <c r="H1353" i="1"/>
  <c r="G1353" i="1"/>
  <c r="F1353" i="1"/>
  <c r="E1353" i="1"/>
  <c r="D1353" i="1"/>
  <c r="C1353" i="1"/>
  <c r="V1352" i="1"/>
  <c r="Q1352" i="1"/>
  <c r="P1352" i="1"/>
  <c r="O1352" i="1"/>
  <c r="N1352" i="1"/>
  <c r="J1352" i="1"/>
  <c r="I1352" i="1"/>
  <c r="H1352" i="1"/>
  <c r="G1352" i="1"/>
  <c r="F1352" i="1"/>
  <c r="E1352" i="1"/>
  <c r="D1352" i="1"/>
  <c r="C1352" i="1"/>
  <c r="V1351" i="1"/>
  <c r="Q1351" i="1"/>
  <c r="P1351" i="1"/>
  <c r="O1351" i="1"/>
  <c r="N1351" i="1"/>
  <c r="J1351" i="1"/>
  <c r="I1351" i="1"/>
  <c r="H1351" i="1"/>
  <c r="G1351" i="1"/>
  <c r="F1351" i="1"/>
  <c r="E1351" i="1"/>
  <c r="D1351" i="1"/>
  <c r="C1351" i="1"/>
  <c r="V1350" i="1"/>
  <c r="Q1350" i="1"/>
  <c r="P1350" i="1"/>
  <c r="O1350" i="1"/>
  <c r="N1350" i="1"/>
  <c r="J1350" i="1"/>
  <c r="I1350" i="1"/>
  <c r="H1350" i="1"/>
  <c r="G1350" i="1"/>
  <c r="F1350" i="1"/>
  <c r="E1350" i="1"/>
  <c r="D1350" i="1"/>
  <c r="C1350" i="1"/>
  <c r="V1349" i="1"/>
  <c r="Q1349" i="1"/>
  <c r="P1349" i="1"/>
  <c r="O1349" i="1"/>
  <c r="N1349" i="1"/>
  <c r="J1349" i="1"/>
  <c r="I1349" i="1"/>
  <c r="H1349" i="1"/>
  <c r="G1349" i="1"/>
  <c r="F1349" i="1"/>
  <c r="E1349" i="1"/>
  <c r="D1349" i="1"/>
  <c r="C1349" i="1"/>
  <c r="V1348" i="1"/>
  <c r="Q1348" i="1"/>
  <c r="P1348" i="1"/>
  <c r="O1348" i="1"/>
  <c r="N1348" i="1"/>
  <c r="J1348" i="1"/>
  <c r="I1348" i="1"/>
  <c r="H1348" i="1"/>
  <c r="G1348" i="1"/>
  <c r="F1348" i="1"/>
  <c r="E1348" i="1"/>
  <c r="D1348" i="1"/>
  <c r="C1348" i="1"/>
  <c r="V1347" i="1"/>
  <c r="Q1347" i="1"/>
  <c r="P1347" i="1"/>
  <c r="O1347" i="1"/>
  <c r="N1347" i="1"/>
  <c r="J1347" i="1"/>
  <c r="I1347" i="1"/>
  <c r="H1347" i="1"/>
  <c r="G1347" i="1"/>
  <c r="F1347" i="1"/>
  <c r="E1347" i="1"/>
  <c r="D1347" i="1"/>
  <c r="C1347" i="1"/>
  <c r="V1346" i="1"/>
  <c r="Q1346" i="1"/>
  <c r="P1346" i="1"/>
  <c r="O1346" i="1"/>
  <c r="N1346" i="1"/>
  <c r="J1346" i="1"/>
  <c r="I1346" i="1"/>
  <c r="H1346" i="1"/>
  <c r="G1346" i="1"/>
  <c r="F1346" i="1"/>
  <c r="E1346" i="1"/>
  <c r="D1346" i="1"/>
  <c r="C1346" i="1"/>
  <c r="V1345" i="1"/>
  <c r="Q1345" i="1"/>
  <c r="P1345" i="1"/>
  <c r="O1345" i="1"/>
  <c r="N1345" i="1"/>
  <c r="J1345" i="1"/>
  <c r="I1345" i="1"/>
  <c r="H1345" i="1"/>
  <c r="G1345" i="1"/>
  <c r="F1345" i="1"/>
  <c r="E1345" i="1"/>
  <c r="D1345" i="1"/>
  <c r="C1345" i="1"/>
  <c r="V1344" i="1"/>
  <c r="Q1344" i="1"/>
  <c r="P1344" i="1"/>
  <c r="O1344" i="1"/>
  <c r="N1344" i="1"/>
  <c r="J1344" i="1"/>
  <c r="I1344" i="1"/>
  <c r="H1344" i="1"/>
  <c r="G1344" i="1"/>
  <c r="F1344" i="1"/>
  <c r="E1344" i="1"/>
  <c r="D1344" i="1"/>
  <c r="C1344" i="1"/>
  <c r="V1343" i="1"/>
  <c r="Q1343" i="1"/>
  <c r="P1343" i="1"/>
  <c r="O1343" i="1"/>
  <c r="N1343" i="1"/>
  <c r="J1343" i="1"/>
  <c r="I1343" i="1"/>
  <c r="H1343" i="1"/>
  <c r="G1343" i="1"/>
  <c r="F1343" i="1"/>
  <c r="E1343" i="1"/>
  <c r="D1343" i="1"/>
  <c r="C1343" i="1"/>
  <c r="V1342" i="1"/>
  <c r="Q1342" i="1"/>
  <c r="P1342" i="1"/>
  <c r="O1342" i="1"/>
  <c r="N1342" i="1"/>
  <c r="J1342" i="1"/>
  <c r="I1342" i="1"/>
  <c r="H1342" i="1"/>
  <c r="G1342" i="1"/>
  <c r="F1342" i="1"/>
  <c r="E1342" i="1"/>
  <c r="D1342" i="1"/>
  <c r="C1342" i="1"/>
  <c r="V1341" i="1"/>
  <c r="Q1341" i="1"/>
  <c r="P1341" i="1"/>
  <c r="O1341" i="1"/>
  <c r="N1341" i="1"/>
  <c r="J1341" i="1"/>
  <c r="I1341" i="1"/>
  <c r="H1341" i="1"/>
  <c r="G1341" i="1"/>
  <c r="F1341" i="1"/>
  <c r="E1341" i="1"/>
  <c r="D1341" i="1"/>
  <c r="C1341" i="1"/>
  <c r="V1340" i="1"/>
  <c r="Q1340" i="1"/>
  <c r="P1340" i="1"/>
  <c r="O1340" i="1"/>
  <c r="N1340" i="1"/>
  <c r="J1340" i="1"/>
  <c r="I1340" i="1"/>
  <c r="H1340" i="1"/>
  <c r="G1340" i="1"/>
  <c r="F1340" i="1"/>
  <c r="E1340" i="1"/>
  <c r="D1340" i="1"/>
  <c r="C1340" i="1"/>
  <c r="V1339" i="1"/>
  <c r="Q1339" i="1"/>
  <c r="P1339" i="1"/>
  <c r="O1339" i="1"/>
  <c r="N1339" i="1"/>
  <c r="J1339" i="1"/>
  <c r="I1339" i="1"/>
  <c r="H1339" i="1"/>
  <c r="G1339" i="1"/>
  <c r="F1339" i="1"/>
  <c r="E1339" i="1"/>
  <c r="D1339" i="1"/>
  <c r="C1339" i="1"/>
  <c r="V1338" i="1"/>
  <c r="Q1338" i="1"/>
  <c r="P1338" i="1"/>
  <c r="O1338" i="1"/>
  <c r="N1338" i="1"/>
  <c r="J1338" i="1"/>
  <c r="I1338" i="1"/>
  <c r="H1338" i="1"/>
  <c r="G1338" i="1"/>
  <c r="F1338" i="1"/>
  <c r="E1338" i="1"/>
  <c r="D1338" i="1"/>
  <c r="C1338" i="1"/>
  <c r="V1337" i="1"/>
  <c r="Q1337" i="1"/>
  <c r="P1337" i="1"/>
  <c r="O1337" i="1"/>
  <c r="N1337" i="1"/>
  <c r="J1337" i="1"/>
  <c r="I1337" i="1"/>
  <c r="H1337" i="1"/>
  <c r="G1337" i="1"/>
  <c r="F1337" i="1"/>
  <c r="E1337" i="1"/>
  <c r="D1337" i="1"/>
  <c r="C1337" i="1"/>
  <c r="V1336" i="1"/>
  <c r="Q1336" i="1"/>
  <c r="P1336" i="1"/>
  <c r="O1336" i="1"/>
  <c r="N1336" i="1"/>
  <c r="J1336" i="1"/>
  <c r="I1336" i="1"/>
  <c r="H1336" i="1"/>
  <c r="G1336" i="1"/>
  <c r="F1336" i="1"/>
  <c r="E1336" i="1"/>
  <c r="D1336" i="1"/>
  <c r="C1336" i="1"/>
  <c r="V1335" i="1"/>
  <c r="Q1335" i="1"/>
  <c r="P1335" i="1"/>
  <c r="O1335" i="1"/>
  <c r="N1335" i="1"/>
  <c r="J1335" i="1"/>
  <c r="I1335" i="1"/>
  <c r="H1335" i="1"/>
  <c r="G1335" i="1"/>
  <c r="F1335" i="1"/>
  <c r="E1335" i="1"/>
  <c r="D1335" i="1"/>
  <c r="C1335" i="1"/>
  <c r="V1334" i="1"/>
  <c r="Q1334" i="1"/>
  <c r="P1334" i="1"/>
  <c r="O1334" i="1"/>
  <c r="N1334" i="1"/>
  <c r="J1334" i="1"/>
  <c r="I1334" i="1"/>
  <c r="H1334" i="1"/>
  <c r="G1334" i="1"/>
  <c r="F1334" i="1"/>
  <c r="E1334" i="1"/>
  <c r="D1334" i="1"/>
  <c r="C1334" i="1"/>
  <c r="V1333" i="1"/>
  <c r="Q1333" i="1"/>
  <c r="P1333" i="1"/>
  <c r="O1333" i="1"/>
  <c r="N1333" i="1"/>
  <c r="J1333" i="1"/>
  <c r="I1333" i="1"/>
  <c r="H1333" i="1"/>
  <c r="G1333" i="1"/>
  <c r="F1333" i="1"/>
  <c r="E1333" i="1"/>
  <c r="D1333" i="1"/>
  <c r="C1333" i="1"/>
  <c r="V1332" i="1"/>
  <c r="Q1332" i="1"/>
  <c r="P1332" i="1"/>
  <c r="O1332" i="1"/>
  <c r="N1332" i="1"/>
  <c r="J1332" i="1"/>
  <c r="I1332" i="1"/>
  <c r="H1332" i="1"/>
  <c r="G1332" i="1"/>
  <c r="F1332" i="1"/>
  <c r="E1332" i="1"/>
  <c r="D1332" i="1"/>
  <c r="C1332" i="1"/>
  <c r="V1331" i="1"/>
  <c r="Q1331" i="1"/>
  <c r="P1331" i="1"/>
  <c r="O1331" i="1"/>
  <c r="N1331" i="1"/>
  <c r="J1331" i="1"/>
  <c r="I1331" i="1"/>
  <c r="H1331" i="1"/>
  <c r="G1331" i="1"/>
  <c r="F1331" i="1"/>
  <c r="E1331" i="1"/>
  <c r="D1331" i="1"/>
  <c r="C1331" i="1"/>
  <c r="V1330" i="1"/>
  <c r="Q1330" i="1"/>
  <c r="P1330" i="1"/>
  <c r="O1330" i="1"/>
  <c r="N1330" i="1"/>
  <c r="J1330" i="1"/>
  <c r="I1330" i="1"/>
  <c r="H1330" i="1"/>
  <c r="G1330" i="1"/>
  <c r="F1330" i="1"/>
  <c r="E1330" i="1"/>
  <c r="D1330" i="1"/>
  <c r="C1330" i="1"/>
  <c r="V1329" i="1"/>
  <c r="Q1329" i="1"/>
  <c r="P1329" i="1"/>
  <c r="O1329" i="1"/>
  <c r="N1329" i="1"/>
  <c r="J1329" i="1"/>
  <c r="I1329" i="1"/>
  <c r="H1329" i="1"/>
  <c r="G1329" i="1"/>
  <c r="F1329" i="1"/>
  <c r="E1329" i="1"/>
  <c r="D1329" i="1"/>
  <c r="C1329" i="1"/>
  <c r="V1328" i="1"/>
  <c r="Q1328" i="1"/>
  <c r="P1328" i="1"/>
  <c r="O1328" i="1"/>
  <c r="N1328" i="1"/>
  <c r="J1328" i="1"/>
  <c r="I1328" i="1"/>
  <c r="H1328" i="1"/>
  <c r="G1328" i="1"/>
  <c r="F1328" i="1"/>
  <c r="E1328" i="1"/>
  <c r="D1328" i="1"/>
  <c r="C1328" i="1"/>
  <c r="V1327" i="1"/>
  <c r="Q1327" i="1"/>
  <c r="P1327" i="1"/>
  <c r="O1327" i="1"/>
  <c r="N1327" i="1"/>
  <c r="J1327" i="1"/>
  <c r="I1327" i="1"/>
  <c r="H1327" i="1"/>
  <c r="G1327" i="1"/>
  <c r="F1327" i="1"/>
  <c r="E1327" i="1"/>
  <c r="D1327" i="1"/>
  <c r="C1327" i="1"/>
  <c r="V1326" i="1"/>
  <c r="Q1326" i="1"/>
  <c r="P1326" i="1"/>
  <c r="O1326" i="1"/>
  <c r="N1326" i="1"/>
  <c r="J1326" i="1"/>
  <c r="I1326" i="1"/>
  <c r="H1326" i="1"/>
  <c r="G1326" i="1"/>
  <c r="F1326" i="1"/>
  <c r="E1326" i="1"/>
  <c r="D1326" i="1"/>
  <c r="C1326" i="1"/>
  <c r="V1325" i="1"/>
  <c r="Q1325" i="1"/>
  <c r="P1325" i="1"/>
  <c r="O1325" i="1"/>
  <c r="N1325" i="1"/>
  <c r="J1325" i="1"/>
  <c r="I1325" i="1"/>
  <c r="H1325" i="1"/>
  <c r="G1325" i="1"/>
  <c r="F1325" i="1"/>
  <c r="E1325" i="1"/>
  <c r="D1325" i="1"/>
  <c r="C1325" i="1"/>
  <c r="V1324" i="1"/>
  <c r="Q1324" i="1"/>
  <c r="P1324" i="1"/>
  <c r="O1324" i="1"/>
  <c r="N1324" i="1"/>
  <c r="J1324" i="1"/>
  <c r="I1324" i="1"/>
  <c r="H1324" i="1"/>
  <c r="G1324" i="1"/>
  <c r="F1324" i="1"/>
  <c r="E1324" i="1"/>
  <c r="D1324" i="1"/>
  <c r="C1324" i="1"/>
  <c r="V1323" i="1"/>
  <c r="Q1323" i="1"/>
  <c r="P1323" i="1"/>
  <c r="O1323" i="1"/>
  <c r="N1323" i="1"/>
  <c r="J1323" i="1"/>
  <c r="I1323" i="1"/>
  <c r="H1323" i="1"/>
  <c r="G1323" i="1"/>
  <c r="F1323" i="1"/>
  <c r="E1323" i="1"/>
  <c r="D1323" i="1"/>
  <c r="C1323" i="1"/>
  <c r="V1322" i="1"/>
  <c r="Q1322" i="1"/>
  <c r="P1322" i="1"/>
  <c r="O1322" i="1"/>
  <c r="N1322" i="1"/>
  <c r="J1322" i="1"/>
  <c r="I1322" i="1"/>
  <c r="H1322" i="1"/>
  <c r="G1322" i="1"/>
  <c r="F1322" i="1"/>
  <c r="E1322" i="1"/>
  <c r="D1322" i="1"/>
  <c r="C1322" i="1"/>
  <c r="V1321" i="1"/>
  <c r="Q1321" i="1"/>
  <c r="P1321" i="1"/>
  <c r="O1321" i="1"/>
  <c r="N1321" i="1"/>
  <c r="J1321" i="1"/>
  <c r="I1321" i="1"/>
  <c r="H1321" i="1"/>
  <c r="G1321" i="1"/>
  <c r="F1321" i="1"/>
  <c r="E1321" i="1"/>
  <c r="D1321" i="1"/>
  <c r="C1321" i="1"/>
  <c r="V1320" i="1"/>
  <c r="Q1320" i="1"/>
  <c r="P1320" i="1"/>
  <c r="O1320" i="1"/>
  <c r="N1320" i="1"/>
  <c r="J1320" i="1"/>
  <c r="I1320" i="1"/>
  <c r="H1320" i="1"/>
  <c r="G1320" i="1"/>
  <c r="F1320" i="1"/>
  <c r="E1320" i="1"/>
  <c r="D1320" i="1"/>
  <c r="C1320" i="1"/>
  <c r="V1319" i="1"/>
  <c r="Q1319" i="1"/>
  <c r="P1319" i="1"/>
  <c r="O1319" i="1"/>
  <c r="N1319" i="1"/>
  <c r="J1319" i="1"/>
  <c r="I1319" i="1"/>
  <c r="H1319" i="1"/>
  <c r="G1319" i="1"/>
  <c r="F1319" i="1"/>
  <c r="E1319" i="1"/>
  <c r="D1319" i="1"/>
  <c r="C1319" i="1"/>
  <c r="V1318" i="1"/>
  <c r="Q1318" i="1"/>
  <c r="P1318" i="1"/>
  <c r="O1318" i="1"/>
  <c r="N1318" i="1"/>
  <c r="J1318" i="1"/>
  <c r="I1318" i="1"/>
  <c r="H1318" i="1"/>
  <c r="G1318" i="1"/>
  <c r="F1318" i="1"/>
  <c r="E1318" i="1"/>
  <c r="D1318" i="1"/>
  <c r="C1318" i="1"/>
  <c r="V1317" i="1"/>
  <c r="Q1317" i="1"/>
  <c r="P1317" i="1"/>
  <c r="O1317" i="1"/>
  <c r="N1317" i="1"/>
  <c r="J1317" i="1"/>
  <c r="I1317" i="1"/>
  <c r="H1317" i="1"/>
  <c r="G1317" i="1"/>
  <c r="F1317" i="1"/>
  <c r="E1317" i="1"/>
  <c r="D1317" i="1"/>
  <c r="C1317" i="1"/>
  <c r="V1316" i="1"/>
  <c r="Q1316" i="1"/>
  <c r="P1316" i="1"/>
  <c r="O1316" i="1"/>
  <c r="N1316" i="1"/>
  <c r="J1316" i="1"/>
  <c r="I1316" i="1"/>
  <c r="H1316" i="1"/>
  <c r="G1316" i="1"/>
  <c r="F1316" i="1"/>
  <c r="E1316" i="1"/>
  <c r="D1316" i="1"/>
  <c r="C1316" i="1"/>
  <c r="V1315" i="1"/>
  <c r="Q1315" i="1"/>
  <c r="P1315" i="1"/>
  <c r="O1315" i="1"/>
  <c r="N1315" i="1"/>
  <c r="J1315" i="1"/>
  <c r="I1315" i="1"/>
  <c r="H1315" i="1"/>
  <c r="G1315" i="1"/>
  <c r="F1315" i="1"/>
  <c r="E1315" i="1"/>
  <c r="D1315" i="1"/>
  <c r="C1315" i="1"/>
  <c r="V1314" i="1"/>
  <c r="Q1314" i="1"/>
  <c r="P1314" i="1"/>
  <c r="O1314" i="1"/>
  <c r="N1314" i="1"/>
  <c r="J1314" i="1"/>
  <c r="I1314" i="1"/>
  <c r="H1314" i="1"/>
  <c r="G1314" i="1"/>
  <c r="F1314" i="1"/>
  <c r="E1314" i="1"/>
  <c r="D1314" i="1"/>
  <c r="C1314" i="1"/>
  <c r="V1313" i="1"/>
  <c r="Q1313" i="1"/>
  <c r="P1313" i="1"/>
  <c r="O1313" i="1"/>
  <c r="N1313" i="1"/>
  <c r="J1313" i="1"/>
  <c r="I1313" i="1"/>
  <c r="H1313" i="1"/>
  <c r="G1313" i="1"/>
  <c r="F1313" i="1"/>
  <c r="E1313" i="1"/>
  <c r="D1313" i="1"/>
  <c r="C1313" i="1"/>
  <c r="V1312" i="1"/>
  <c r="Q1312" i="1"/>
  <c r="P1312" i="1"/>
  <c r="O1312" i="1"/>
  <c r="N1312" i="1"/>
  <c r="J1312" i="1"/>
  <c r="I1312" i="1"/>
  <c r="H1312" i="1"/>
  <c r="G1312" i="1"/>
  <c r="F1312" i="1"/>
  <c r="E1312" i="1"/>
  <c r="D1312" i="1"/>
  <c r="C1312" i="1"/>
  <c r="V1311" i="1"/>
  <c r="Q1311" i="1"/>
  <c r="P1311" i="1"/>
  <c r="O1311" i="1"/>
  <c r="N1311" i="1"/>
  <c r="J1311" i="1"/>
  <c r="I1311" i="1"/>
  <c r="H1311" i="1"/>
  <c r="G1311" i="1"/>
  <c r="F1311" i="1"/>
  <c r="E1311" i="1"/>
  <c r="D1311" i="1"/>
  <c r="C1311" i="1"/>
  <c r="V1310" i="1"/>
  <c r="Q1310" i="1"/>
  <c r="P1310" i="1"/>
  <c r="O1310" i="1"/>
  <c r="N1310" i="1"/>
  <c r="J1310" i="1"/>
  <c r="I1310" i="1"/>
  <c r="H1310" i="1"/>
  <c r="G1310" i="1"/>
  <c r="F1310" i="1"/>
  <c r="E1310" i="1"/>
  <c r="D1310" i="1"/>
  <c r="C1310" i="1"/>
  <c r="V1309" i="1"/>
  <c r="Q1309" i="1"/>
  <c r="P1309" i="1"/>
  <c r="O1309" i="1"/>
  <c r="N1309" i="1"/>
  <c r="J1309" i="1"/>
  <c r="I1309" i="1"/>
  <c r="H1309" i="1"/>
  <c r="G1309" i="1"/>
  <c r="F1309" i="1"/>
  <c r="E1309" i="1"/>
  <c r="D1309" i="1"/>
  <c r="C1309" i="1"/>
  <c r="V1308" i="1"/>
  <c r="Q1308" i="1"/>
  <c r="P1308" i="1"/>
  <c r="O1308" i="1"/>
  <c r="N1308" i="1"/>
  <c r="J1308" i="1"/>
  <c r="I1308" i="1"/>
  <c r="H1308" i="1"/>
  <c r="G1308" i="1"/>
  <c r="F1308" i="1"/>
  <c r="E1308" i="1"/>
  <c r="D1308" i="1"/>
  <c r="C1308" i="1"/>
  <c r="V1307" i="1"/>
  <c r="Q1307" i="1"/>
  <c r="P1307" i="1"/>
  <c r="O1307" i="1"/>
  <c r="N1307" i="1"/>
  <c r="J1307" i="1"/>
  <c r="I1307" i="1"/>
  <c r="H1307" i="1"/>
  <c r="G1307" i="1"/>
  <c r="F1307" i="1"/>
  <c r="E1307" i="1"/>
  <c r="D1307" i="1"/>
  <c r="C1307" i="1"/>
  <c r="V1306" i="1"/>
  <c r="Q1306" i="1"/>
  <c r="P1306" i="1"/>
  <c r="O1306" i="1"/>
  <c r="N1306" i="1"/>
  <c r="J1306" i="1"/>
  <c r="I1306" i="1"/>
  <c r="H1306" i="1"/>
  <c r="G1306" i="1"/>
  <c r="F1306" i="1"/>
  <c r="E1306" i="1"/>
  <c r="D1306" i="1"/>
  <c r="C1306" i="1"/>
  <c r="V1305" i="1"/>
  <c r="Q1305" i="1"/>
  <c r="P1305" i="1"/>
  <c r="O1305" i="1"/>
  <c r="N1305" i="1"/>
  <c r="J1305" i="1"/>
  <c r="I1305" i="1"/>
  <c r="H1305" i="1"/>
  <c r="G1305" i="1"/>
  <c r="F1305" i="1"/>
  <c r="E1305" i="1"/>
  <c r="D1305" i="1"/>
  <c r="C1305" i="1"/>
  <c r="V1304" i="1"/>
  <c r="Q1304" i="1"/>
  <c r="P1304" i="1"/>
  <c r="O1304" i="1"/>
  <c r="N1304" i="1"/>
  <c r="J1304" i="1"/>
  <c r="I1304" i="1"/>
  <c r="H1304" i="1"/>
  <c r="G1304" i="1"/>
  <c r="F1304" i="1"/>
  <c r="E1304" i="1"/>
  <c r="D1304" i="1"/>
  <c r="C1304" i="1"/>
  <c r="V1303" i="1"/>
  <c r="Q1303" i="1"/>
  <c r="P1303" i="1"/>
  <c r="O1303" i="1"/>
  <c r="N1303" i="1"/>
  <c r="J1303" i="1"/>
  <c r="I1303" i="1"/>
  <c r="H1303" i="1"/>
  <c r="G1303" i="1"/>
  <c r="F1303" i="1"/>
  <c r="E1303" i="1"/>
  <c r="D1303" i="1"/>
  <c r="C1303" i="1"/>
  <c r="V1302" i="1"/>
  <c r="Q1302" i="1"/>
  <c r="P1302" i="1"/>
  <c r="O1302" i="1"/>
  <c r="N1302" i="1"/>
  <c r="J1302" i="1"/>
  <c r="I1302" i="1"/>
  <c r="H1302" i="1"/>
  <c r="G1302" i="1"/>
  <c r="F1302" i="1"/>
  <c r="E1302" i="1"/>
  <c r="D1302" i="1"/>
  <c r="C1302" i="1"/>
  <c r="V1301" i="1"/>
  <c r="Q1301" i="1"/>
  <c r="P1301" i="1"/>
  <c r="O1301" i="1"/>
  <c r="N1301" i="1"/>
  <c r="J1301" i="1"/>
  <c r="I1301" i="1"/>
  <c r="H1301" i="1"/>
  <c r="G1301" i="1"/>
  <c r="F1301" i="1"/>
  <c r="E1301" i="1"/>
  <c r="D1301" i="1"/>
  <c r="C1301" i="1"/>
  <c r="V1300" i="1"/>
  <c r="Q1300" i="1"/>
  <c r="P1300" i="1"/>
  <c r="O1300" i="1"/>
  <c r="N1300" i="1"/>
  <c r="J1300" i="1"/>
  <c r="I1300" i="1"/>
  <c r="H1300" i="1"/>
  <c r="G1300" i="1"/>
  <c r="F1300" i="1"/>
  <c r="E1300" i="1"/>
  <c r="D1300" i="1"/>
  <c r="C1300" i="1"/>
  <c r="V1299" i="1"/>
  <c r="Q1299" i="1"/>
  <c r="P1299" i="1"/>
  <c r="O1299" i="1"/>
  <c r="N1299" i="1"/>
  <c r="J1299" i="1"/>
  <c r="I1299" i="1"/>
  <c r="H1299" i="1"/>
  <c r="G1299" i="1"/>
  <c r="F1299" i="1"/>
  <c r="E1299" i="1"/>
  <c r="D1299" i="1"/>
  <c r="C1299" i="1"/>
  <c r="V1298" i="1"/>
  <c r="Q1298" i="1"/>
  <c r="P1298" i="1"/>
  <c r="O1298" i="1"/>
  <c r="N1298" i="1"/>
  <c r="J1298" i="1"/>
  <c r="I1298" i="1"/>
  <c r="H1298" i="1"/>
  <c r="G1298" i="1"/>
  <c r="F1298" i="1"/>
  <c r="E1298" i="1"/>
  <c r="D1298" i="1"/>
  <c r="C1298" i="1"/>
  <c r="V1297" i="1"/>
  <c r="Q1297" i="1"/>
  <c r="P1297" i="1"/>
  <c r="O1297" i="1"/>
  <c r="N1297" i="1"/>
  <c r="J1297" i="1"/>
  <c r="I1297" i="1"/>
  <c r="H1297" i="1"/>
  <c r="G1297" i="1"/>
  <c r="F1297" i="1"/>
  <c r="E1297" i="1"/>
  <c r="D1297" i="1"/>
  <c r="C1297" i="1"/>
  <c r="V1296" i="1"/>
  <c r="Q1296" i="1"/>
  <c r="P1296" i="1"/>
  <c r="O1296" i="1"/>
  <c r="N1296" i="1"/>
  <c r="J1296" i="1"/>
  <c r="I1296" i="1"/>
  <c r="H1296" i="1"/>
  <c r="G1296" i="1"/>
  <c r="F1296" i="1"/>
  <c r="E1296" i="1"/>
  <c r="D1296" i="1"/>
  <c r="C1296" i="1"/>
  <c r="V1295" i="1"/>
  <c r="Q1295" i="1"/>
  <c r="P1295" i="1"/>
  <c r="O1295" i="1"/>
  <c r="N1295" i="1"/>
  <c r="J1295" i="1"/>
  <c r="I1295" i="1"/>
  <c r="H1295" i="1"/>
  <c r="G1295" i="1"/>
  <c r="F1295" i="1"/>
  <c r="E1295" i="1"/>
  <c r="D1295" i="1"/>
  <c r="C1295" i="1"/>
  <c r="V1294" i="1"/>
  <c r="Q1294" i="1"/>
  <c r="P1294" i="1"/>
  <c r="O1294" i="1"/>
  <c r="N1294" i="1"/>
  <c r="J1294" i="1"/>
  <c r="I1294" i="1"/>
  <c r="H1294" i="1"/>
  <c r="G1294" i="1"/>
  <c r="F1294" i="1"/>
  <c r="E1294" i="1"/>
  <c r="D1294" i="1"/>
  <c r="C1294" i="1"/>
  <c r="V1293" i="1"/>
  <c r="Q1293" i="1"/>
  <c r="P1293" i="1"/>
  <c r="O1293" i="1"/>
  <c r="N1293" i="1"/>
  <c r="J1293" i="1"/>
  <c r="I1293" i="1"/>
  <c r="H1293" i="1"/>
  <c r="G1293" i="1"/>
  <c r="F1293" i="1"/>
  <c r="E1293" i="1"/>
  <c r="D1293" i="1"/>
  <c r="C1293" i="1"/>
  <c r="V1292" i="1"/>
  <c r="Q1292" i="1"/>
  <c r="P1292" i="1"/>
  <c r="O1292" i="1"/>
  <c r="N1292" i="1"/>
  <c r="J1292" i="1"/>
  <c r="I1292" i="1"/>
  <c r="H1292" i="1"/>
  <c r="G1292" i="1"/>
  <c r="F1292" i="1"/>
  <c r="E1292" i="1"/>
  <c r="D1292" i="1"/>
  <c r="C1292" i="1"/>
  <c r="V1291" i="1"/>
  <c r="Q1291" i="1"/>
  <c r="P1291" i="1"/>
  <c r="O1291" i="1"/>
  <c r="N1291" i="1"/>
  <c r="J1291" i="1"/>
  <c r="I1291" i="1"/>
  <c r="H1291" i="1"/>
  <c r="G1291" i="1"/>
  <c r="F1291" i="1"/>
  <c r="E1291" i="1"/>
  <c r="D1291" i="1"/>
  <c r="C1291" i="1"/>
  <c r="V1290" i="1"/>
  <c r="Q1290" i="1"/>
  <c r="P1290" i="1"/>
  <c r="O1290" i="1"/>
  <c r="N1290" i="1"/>
  <c r="J1290" i="1"/>
  <c r="I1290" i="1"/>
  <c r="H1290" i="1"/>
  <c r="G1290" i="1"/>
  <c r="F1290" i="1"/>
  <c r="E1290" i="1"/>
  <c r="D1290" i="1"/>
  <c r="C1290" i="1"/>
  <c r="V1289" i="1"/>
  <c r="Q1289" i="1"/>
  <c r="P1289" i="1"/>
  <c r="O1289" i="1"/>
  <c r="N1289" i="1"/>
  <c r="J1289" i="1"/>
  <c r="I1289" i="1"/>
  <c r="H1289" i="1"/>
  <c r="G1289" i="1"/>
  <c r="F1289" i="1"/>
  <c r="E1289" i="1"/>
  <c r="D1289" i="1"/>
  <c r="C1289" i="1"/>
  <c r="V1288" i="1"/>
  <c r="Q1288" i="1"/>
  <c r="P1288" i="1"/>
  <c r="O1288" i="1"/>
  <c r="N1288" i="1"/>
  <c r="J1288" i="1"/>
  <c r="I1288" i="1"/>
  <c r="H1288" i="1"/>
  <c r="G1288" i="1"/>
  <c r="F1288" i="1"/>
  <c r="E1288" i="1"/>
  <c r="D1288" i="1"/>
  <c r="C1288" i="1"/>
  <c r="V1287" i="1"/>
  <c r="Q1287" i="1"/>
  <c r="P1287" i="1"/>
  <c r="O1287" i="1"/>
  <c r="N1287" i="1"/>
  <c r="J1287" i="1"/>
  <c r="I1287" i="1"/>
  <c r="H1287" i="1"/>
  <c r="G1287" i="1"/>
  <c r="F1287" i="1"/>
  <c r="E1287" i="1"/>
  <c r="D1287" i="1"/>
  <c r="C1287" i="1"/>
  <c r="V1286" i="1"/>
  <c r="Q1286" i="1"/>
  <c r="P1286" i="1"/>
  <c r="O1286" i="1"/>
  <c r="N1286" i="1"/>
  <c r="J1286" i="1"/>
  <c r="I1286" i="1"/>
  <c r="H1286" i="1"/>
  <c r="G1286" i="1"/>
  <c r="F1286" i="1"/>
  <c r="E1286" i="1"/>
  <c r="D1286" i="1"/>
  <c r="C1286" i="1"/>
  <c r="V1285" i="1"/>
  <c r="Q1285" i="1"/>
  <c r="P1285" i="1"/>
  <c r="O1285" i="1"/>
  <c r="N1285" i="1"/>
  <c r="J1285" i="1"/>
  <c r="I1285" i="1"/>
  <c r="H1285" i="1"/>
  <c r="G1285" i="1"/>
  <c r="F1285" i="1"/>
  <c r="E1285" i="1"/>
  <c r="D1285" i="1"/>
  <c r="C1285" i="1"/>
  <c r="V1284" i="1"/>
  <c r="Q1284" i="1"/>
  <c r="P1284" i="1"/>
  <c r="O1284" i="1"/>
  <c r="N1284" i="1"/>
  <c r="J1284" i="1"/>
  <c r="I1284" i="1"/>
  <c r="H1284" i="1"/>
  <c r="G1284" i="1"/>
  <c r="F1284" i="1"/>
  <c r="E1284" i="1"/>
  <c r="D1284" i="1"/>
  <c r="C1284" i="1"/>
  <c r="V1283" i="1"/>
  <c r="Q1283" i="1"/>
  <c r="P1283" i="1"/>
  <c r="O1283" i="1"/>
  <c r="N1283" i="1"/>
  <c r="J1283" i="1"/>
  <c r="I1283" i="1"/>
  <c r="H1283" i="1"/>
  <c r="G1283" i="1"/>
  <c r="F1283" i="1"/>
  <c r="E1283" i="1"/>
  <c r="D1283" i="1"/>
  <c r="C1283" i="1"/>
  <c r="V1282" i="1"/>
  <c r="Q1282" i="1"/>
  <c r="P1282" i="1"/>
  <c r="O1282" i="1"/>
  <c r="N1282" i="1"/>
  <c r="J1282" i="1"/>
  <c r="I1282" i="1"/>
  <c r="H1282" i="1"/>
  <c r="G1282" i="1"/>
  <c r="F1282" i="1"/>
  <c r="E1282" i="1"/>
  <c r="D1282" i="1"/>
  <c r="C1282" i="1"/>
  <c r="V1281" i="1"/>
  <c r="Q1281" i="1"/>
  <c r="P1281" i="1"/>
  <c r="O1281" i="1"/>
  <c r="N1281" i="1"/>
  <c r="J1281" i="1"/>
  <c r="I1281" i="1"/>
  <c r="H1281" i="1"/>
  <c r="G1281" i="1"/>
  <c r="F1281" i="1"/>
  <c r="E1281" i="1"/>
  <c r="D1281" i="1"/>
  <c r="C1281" i="1"/>
  <c r="V1280" i="1"/>
  <c r="Q1280" i="1"/>
  <c r="P1280" i="1"/>
  <c r="O1280" i="1"/>
  <c r="N1280" i="1"/>
  <c r="J1280" i="1"/>
  <c r="I1280" i="1"/>
  <c r="H1280" i="1"/>
  <c r="G1280" i="1"/>
  <c r="F1280" i="1"/>
  <c r="E1280" i="1"/>
  <c r="D1280" i="1"/>
  <c r="C1280" i="1"/>
  <c r="V1279" i="1"/>
  <c r="Q1279" i="1"/>
  <c r="P1279" i="1"/>
  <c r="O1279" i="1"/>
  <c r="N1279" i="1"/>
  <c r="J1279" i="1"/>
  <c r="I1279" i="1"/>
  <c r="H1279" i="1"/>
  <c r="G1279" i="1"/>
  <c r="F1279" i="1"/>
  <c r="E1279" i="1"/>
  <c r="D1279" i="1"/>
  <c r="C1279" i="1"/>
  <c r="V1278" i="1"/>
  <c r="Q1278" i="1"/>
  <c r="P1278" i="1"/>
  <c r="O1278" i="1"/>
  <c r="N1278" i="1"/>
  <c r="J1278" i="1"/>
  <c r="I1278" i="1"/>
  <c r="H1278" i="1"/>
  <c r="G1278" i="1"/>
  <c r="F1278" i="1"/>
  <c r="E1278" i="1"/>
  <c r="D1278" i="1"/>
  <c r="C1278" i="1"/>
  <c r="V1277" i="1"/>
  <c r="Q1277" i="1"/>
  <c r="P1277" i="1"/>
  <c r="O1277" i="1"/>
  <c r="N1277" i="1"/>
  <c r="J1277" i="1"/>
  <c r="I1277" i="1"/>
  <c r="H1277" i="1"/>
  <c r="G1277" i="1"/>
  <c r="F1277" i="1"/>
  <c r="E1277" i="1"/>
  <c r="D1277" i="1"/>
  <c r="C1277" i="1"/>
  <c r="V1276" i="1"/>
  <c r="Q1276" i="1"/>
  <c r="P1276" i="1"/>
  <c r="O1276" i="1"/>
  <c r="N1276" i="1"/>
  <c r="J1276" i="1"/>
  <c r="I1276" i="1"/>
  <c r="H1276" i="1"/>
  <c r="G1276" i="1"/>
  <c r="F1276" i="1"/>
  <c r="E1276" i="1"/>
  <c r="D1276" i="1"/>
  <c r="C1276" i="1"/>
  <c r="V1275" i="1"/>
  <c r="Q1275" i="1"/>
  <c r="P1275" i="1"/>
  <c r="O1275" i="1"/>
  <c r="N1275" i="1"/>
  <c r="J1275" i="1"/>
  <c r="I1275" i="1"/>
  <c r="H1275" i="1"/>
  <c r="G1275" i="1"/>
  <c r="F1275" i="1"/>
  <c r="E1275" i="1"/>
  <c r="D1275" i="1"/>
  <c r="C1275" i="1"/>
  <c r="V1274" i="1"/>
  <c r="Q1274" i="1"/>
  <c r="P1274" i="1"/>
  <c r="O1274" i="1"/>
  <c r="N1274" i="1"/>
  <c r="J1274" i="1"/>
  <c r="I1274" i="1"/>
  <c r="H1274" i="1"/>
  <c r="G1274" i="1"/>
  <c r="F1274" i="1"/>
  <c r="E1274" i="1"/>
  <c r="D1274" i="1"/>
  <c r="C1274" i="1"/>
  <c r="V1273" i="1"/>
  <c r="Q1273" i="1"/>
  <c r="P1273" i="1"/>
  <c r="O1273" i="1"/>
  <c r="N1273" i="1"/>
  <c r="J1273" i="1"/>
  <c r="I1273" i="1"/>
  <c r="H1273" i="1"/>
  <c r="G1273" i="1"/>
  <c r="F1273" i="1"/>
  <c r="E1273" i="1"/>
  <c r="D1273" i="1"/>
  <c r="C1273" i="1"/>
  <c r="V1272" i="1"/>
  <c r="Q1272" i="1"/>
  <c r="P1272" i="1"/>
  <c r="O1272" i="1"/>
  <c r="N1272" i="1"/>
  <c r="J1272" i="1"/>
  <c r="I1272" i="1"/>
  <c r="H1272" i="1"/>
  <c r="G1272" i="1"/>
  <c r="F1272" i="1"/>
  <c r="E1272" i="1"/>
  <c r="D1272" i="1"/>
  <c r="C1272" i="1"/>
  <c r="V1271" i="1"/>
  <c r="Q1271" i="1"/>
  <c r="P1271" i="1"/>
  <c r="O1271" i="1"/>
  <c r="N1271" i="1"/>
  <c r="J1271" i="1"/>
  <c r="I1271" i="1"/>
  <c r="H1271" i="1"/>
  <c r="G1271" i="1"/>
  <c r="F1271" i="1"/>
  <c r="E1271" i="1"/>
  <c r="D1271" i="1"/>
  <c r="C1271" i="1"/>
  <c r="V1270" i="1"/>
  <c r="Q1270" i="1"/>
  <c r="P1270" i="1"/>
  <c r="O1270" i="1"/>
  <c r="N1270" i="1"/>
  <c r="J1270" i="1"/>
  <c r="I1270" i="1"/>
  <c r="H1270" i="1"/>
  <c r="G1270" i="1"/>
  <c r="F1270" i="1"/>
  <c r="E1270" i="1"/>
  <c r="D1270" i="1"/>
  <c r="C1270" i="1"/>
  <c r="V1269" i="1"/>
  <c r="Q1269" i="1"/>
  <c r="P1269" i="1"/>
  <c r="O1269" i="1"/>
  <c r="N1269" i="1"/>
  <c r="J1269" i="1"/>
  <c r="I1269" i="1"/>
  <c r="H1269" i="1"/>
  <c r="G1269" i="1"/>
  <c r="F1269" i="1"/>
  <c r="E1269" i="1"/>
  <c r="D1269" i="1"/>
  <c r="C1269" i="1"/>
  <c r="V1268" i="1"/>
  <c r="Q1268" i="1"/>
  <c r="P1268" i="1"/>
  <c r="O1268" i="1"/>
  <c r="N1268" i="1"/>
  <c r="J1268" i="1"/>
  <c r="I1268" i="1"/>
  <c r="H1268" i="1"/>
  <c r="G1268" i="1"/>
  <c r="F1268" i="1"/>
  <c r="E1268" i="1"/>
  <c r="D1268" i="1"/>
  <c r="C1268" i="1"/>
  <c r="V1267" i="1"/>
  <c r="Q1267" i="1"/>
  <c r="P1267" i="1"/>
  <c r="O1267" i="1"/>
  <c r="N1267" i="1"/>
  <c r="J1267" i="1"/>
  <c r="I1267" i="1"/>
  <c r="H1267" i="1"/>
  <c r="G1267" i="1"/>
  <c r="F1267" i="1"/>
  <c r="E1267" i="1"/>
  <c r="D1267" i="1"/>
  <c r="C1267" i="1"/>
  <c r="V1266" i="1"/>
  <c r="Q1266" i="1"/>
  <c r="P1266" i="1"/>
  <c r="O1266" i="1"/>
  <c r="N1266" i="1"/>
  <c r="J1266" i="1"/>
  <c r="I1266" i="1"/>
  <c r="H1266" i="1"/>
  <c r="G1266" i="1"/>
  <c r="F1266" i="1"/>
  <c r="E1266" i="1"/>
  <c r="D1266" i="1"/>
  <c r="C1266" i="1"/>
  <c r="V1265" i="1"/>
  <c r="Q1265" i="1"/>
  <c r="P1265" i="1"/>
  <c r="O1265" i="1"/>
  <c r="N1265" i="1"/>
  <c r="J1265" i="1"/>
  <c r="I1265" i="1"/>
  <c r="H1265" i="1"/>
  <c r="G1265" i="1"/>
  <c r="F1265" i="1"/>
  <c r="E1265" i="1"/>
  <c r="D1265" i="1"/>
  <c r="C1265" i="1"/>
  <c r="V1264" i="1"/>
  <c r="Q1264" i="1"/>
  <c r="P1264" i="1"/>
  <c r="O1264" i="1"/>
  <c r="N1264" i="1"/>
  <c r="J1264" i="1"/>
  <c r="I1264" i="1"/>
  <c r="H1264" i="1"/>
  <c r="G1264" i="1"/>
  <c r="F1264" i="1"/>
  <c r="E1264" i="1"/>
  <c r="D1264" i="1"/>
  <c r="C1264" i="1"/>
  <c r="V1263" i="1"/>
  <c r="Q1263" i="1"/>
  <c r="P1263" i="1"/>
  <c r="O1263" i="1"/>
  <c r="N1263" i="1"/>
  <c r="J1263" i="1"/>
  <c r="I1263" i="1"/>
  <c r="H1263" i="1"/>
  <c r="G1263" i="1"/>
  <c r="F1263" i="1"/>
  <c r="E1263" i="1"/>
  <c r="D1263" i="1"/>
  <c r="C1263" i="1"/>
  <c r="V1262" i="1"/>
  <c r="Q1262" i="1"/>
  <c r="P1262" i="1"/>
  <c r="O1262" i="1"/>
  <c r="N1262" i="1"/>
  <c r="J1262" i="1"/>
  <c r="I1262" i="1"/>
  <c r="H1262" i="1"/>
  <c r="G1262" i="1"/>
  <c r="F1262" i="1"/>
  <c r="E1262" i="1"/>
  <c r="D1262" i="1"/>
  <c r="C1262" i="1"/>
  <c r="V1261" i="1"/>
  <c r="Q1261" i="1"/>
  <c r="P1261" i="1"/>
  <c r="O1261" i="1"/>
  <c r="N1261" i="1"/>
  <c r="J1261" i="1"/>
  <c r="I1261" i="1"/>
  <c r="H1261" i="1"/>
  <c r="G1261" i="1"/>
  <c r="F1261" i="1"/>
  <c r="E1261" i="1"/>
  <c r="D1261" i="1"/>
  <c r="C1261" i="1"/>
  <c r="V1260" i="1"/>
  <c r="Q1260" i="1"/>
  <c r="P1260" i="1"/>
  <c r="O1260" i="1"/>
  <c r="N1260" i="1"/>
  <c r="J1260" i="1"/>
  <c r="I1260" i="1"/>
  <c r="H1260" i="1"/>
  <c r="G1260" i="1"/>
  <c r="F1260" i="1"/>
  <c r="E1260" i="1"/>
  <c r="D1260" i="1"/>
  <c r="C1260" i="1"/>
  <c r="V1259" i="1"/>
  <c r="R1259" i="1"/>
  <c r="Q1259" i="1"/>
  <c r="P1259" i="1"/>
  <c r="O1259" i="1"/>
  <c r="N1259" i="1"/>
  <c r="J1259" i="1"/>
  <c r="I1259" i="1"/>
  <c r="H1259" i="1"/>
  <c r="G1259" i="1"/>
  <c r="F1259" i="1"/>
  <c r="E1259" i="1"/>
  <c r="D1259" i="1"/>
  <c r="C1259" i="1"/>
  <c r="V1258" i="1"/>
  <c r="R1258" i="1"/>
  <c r="Q1258" i="1"/>
  <c r="P1258" i="1"/>
  <c r="O1258" i="1"/>
  <c r="N1258" i="1"/>
  <c r="J1258" i="1"/>
  <c r="I1258" i="1"/>
  <c r="H1258" i="1"/>
  <c r="G1258" i="1"/>
  <c r="F1258" i="1"/>
  <c r="E1258" i="1"/>
  <c r="D1258" i="1"/>
  <c r="C1258" i="1"/>
  <c r="V1257" i="1"/>
  <c r="R1257" i="1"/>
  <c r="Q1257" i="1"/>
  <c r="P1257" i="1"/>
  <c r="O1257" i="1"/>
  <c r="N1257" i="1"/>
  <c r="J1257" i="1"/>
  <c r="I1257" i="1"/>
  <c r="H1257" i="1"/>
  <c r="G1257" i="1"/>
  <c r="F1257" i="1"/>
  <c r="E1257" i="1"/>
  <c r="D1257" i="1"/>
  <c r="C1257" i="1"/>
  <c r="V1256" i="1"/>
  <c r="R1256" i="1"/>
  <c r="Q1256" i="1"/>
  <c r="P1256" i="1"/>
  <c r="O1256" i="1"/>
  <c r="N1256" i="1"/>
  <c r="J1256" i="1"/>
  <c r="I1256" i="1"/>
  <c r="H1256" i="1"/>
  <c r="G1256" i="1"/>
  <c r="F1256" i="1"/>
  <c r="E1256" i="1"/>
  <c r="D1256" i="1"/>
  <c r="C1256" i="1"/>
  <c r="V1255" i="1"/>
  <c r="R1255" i="1"/>
  <c r="Q1255" i="1"/>
  <c r="P1255" i="1"/>
  <c r="O1255" i="1"/>
  <c r="N1255" i="1"/>
  <c r="J1255" i="1"/>
  <c r="I1255" i="1"/>
  <c r="H1255" i="1"/>
  <c r="G1255" i="1"/>
  <c r="F1255" i="1"/>
  <c r="E1255" i="1"/>
  <c r="D1255" i="1"/>
  <c r="C1255" i="1"/>
  <c r="V1254" i="1"/>
  <c r="R1254" i="1"/>
  <c r="Q1254" i="1"/>
  <c r="P1254" i="1"/>
  <c r="O1254" i="1"/>
  <c r="N1254" i="1"/>
  <c r="J1254" i="1"/>
  <c r="I1254" i="1"/>
  <c r="H1254" i="1"/>
  <c r="G1254" i="1"/>
  <c r="F1254" i="1"/>
  <c r="E1254" i="1"/>
  <c r="D1254" i="1"/>
  <c r="C1254" i="1"/>
  <c r="V1253" i="1"/>
  <c r="R1253" i="1"/>
  <c r="Q1253" i="1"/>
  <c r="P1253" i="1"/>
  <c r="O1253" i="1"/>
  <c r="N1253" i="1"/>
  <c r="J1253" i="1"/>
  <c r="I1253" i="1"/>
  <c r="H1253" i="1"/>
  <c r="G1253" i="1"/>
  <c r="F1253" i="1"/>
  <c r="E1253" i="1"/>
  <c r="D1253" i="1"/>
  <c r="C1253" i="1"/>
  <c r="V1252" i="1"/>
  <c r="R1252" i="1"/>
  <c r="Q1252" i="1"/>
  <c r="P1252" i="1"/>
  <c r="O1252" i="1"/>
  <c r="N1252" i="1"/>
  <c r="J1252" i="1"/>
  <c r="I1252" i="1"/>
  <c r="H1252" i="1"/>
  <c r="G1252" i="1"/>
  <c r="F1252" i="1"/>
  <c r="E1252" i="1"/>
  <c r="D1252" i="1"/>
  <c r="C1252" i="1"/>
  <c r="V1251" i="1"/>
  <c r="R1251" i="1"/>
  <c r="Q1251" i="1"/>
  <c r="P1251" i="1"/>
  <c r="O1251" i="1"/>
  <c r="N1251" i="1"/>
  <c r="J1251" i="1"/>
  <c r="I1251" i="1"/>
  <c r="H1251" i="1"/>
  <c r="G1251" i="1"/>
  <c r="F1251" i="1"/>
  <c r="E1251" i="1"/>
  <c r="D1251" i="1"/>
  <c r="C1251" i="1"/>
  <c r="V1250" i="1"/>
  <c r="R1250" i="1"/>
  <c r="Q1250" i="1"/>
  <c r="P1250" i="1"/>
  <c r="O1250" i="1"/>
  <c r="N1250" i="1"/>
  <c r="J1250" i="1"/>
  <c r="I1250" i="1"/>
  <c r="H1250" i="1"/>
  <c r="G1250" i="1"/>
  <c r="F1250" i="1"/>
  <c r="E1250" i="1"/>
  <c r="D1250" i="1"/>
  <c r="C1250" i="1"/>
  <c r="V1249" i="1"/>
  <c r="R1249" i="1"/>
  <c r="Q1249" i="1"/>
  <c r="P1249" i="1"/>
  <c r="O1249" i="1"/>
  <c r="N1249" i="1"/>
  <c r="J1249" i="1"/>
  <c r="I1249" i="1"/>
  <c r="H1249" i="1"/>
  <c r="G1249" i="1"/>
  <c r="F1249" i="1"/>
  <c r="E1249" i="1"/>
  <c r="D1249" i="1"/>
  <c r="C1249" i="1"/>
  <c r="V1248" i="1"/>
  <c r="R1248" i="1"/>
  <c r="Q1248" i="1"/>
  <c r="P1248" i="1"/>
  <c r="O1248" i="1"/>
  <c r="N1248" i="1"/>
  <c r="J1248" i="1"/>
  <c r="I1248" i="1"/>
  <c r="H1248" i="1"/>
  <c r="G1248" i="1"/>
  <c r="F1248" i="1"/>
  <c r="E1248" i="1"/>
  <c r="D1248" i="1"/>
  <c r="C1248" i="1"/>
  <c r="V1247" i="1"/>
  <c r="R1247" i="1"/>
  <c r="Q1247" i="1"/>
  <c r="P1247" i="1"/>
  <c r="O1247" i="1"/>
  <c r="N1247" i="1"/>
  <c r="J1247" i="1"/>
  <c r="I1247" i="1"/>
  <c r="H1247" i="1"/>
  <c r="G1247" i="1"/>
  <c r="F1247" i="1"/>
  <c r="E1247" i="1"/>
  <c r="D1247" i="1"/>
  <c r="C1247" i="1"/>
  <c r="V1246" i="1"/>
  <c r="R1246" i="1"/>
  <c r="Q1246" i="1"/>
  <c r="P1246" i="1"/>
  <c r="O1246" i="1"/>
  <c r="N1246" i="1"/>
  <c r="J1246" i="1"/>
  <c r="I1246" i="1"/>
  <c r="H1246" i="1"/>
  <c r="G1246" i="1"/>
  <c r="F1246" i="1"/>
  <c r="E1246" i="1"/>
  <c r="D1246" i="1"/>
  <c r="C1246" i="1"/>
  <c r="V1245" i="1"/>
  <c r="R1245" i="1"/>
  <c r="Q1245" i="1"/>
  <c r="P1245" i="1"/>
  <c r="O1245" i="1"/>
  <c r="N1245" i="1"/>
  <c r="J1245" i="1"/>
  <c r="I1245" i="1"/>
  <c r="H1245" i="1"/>
  <c r="G1245" i="1"/>
  <c r="F1245" i="1"/>
  <c r="E1245" i="1"/>
  <c r="D1245" i="1"/>
  <c r="C1245" i="1"/>
  <c r="V1244" i="1"/>
  <c r="R1244" i="1"/>
  <c r="Q1244" i="1"/>
  <c r="P1244" i="1"/>
  <c r="O1244" i="1"/>
  <c r="N1244" i="1"/>
  <c r="J1244" i="1"/>
  <c r="I1244" i="1"/>
  <c r="H1244" i="1"/>
  <c r="G1244" i="1"/>
  <c r="F1244" i="1"/>
  <c r="E1244" i="1"/>
  <c r="D1244" i="1"/>
  <c r="C1244" i="1"/>
  <c r="V1243" i="1"/>
  <c r="R1243" i="1"/>
  <c r="Q1243" i="1"/>
  <c r="P1243" i="1"/>
  <c r="O1243" i="1"/>
  <c r="N1243" i="1"/>
  <c r="J1243" i="1"/>
  <c r="I1243" i="1"/>
  <c r="H1243" i="1"/>
  <c r="G1243" i="1"/>
  <c r="F1243" i="1"/>
  <c r="E1243" i="1"/>
  <c r="D1243" i="1"/>
  <c r="C1243" i="1"/>
  <c r="V1242" i="1"/>
  <c r="R1242" i="1"/>
  <c r="Q1242" i="1"/>
  <c r="P1242" i="1"/>
  <c r="O1242" i="1"/>
  <c r="N1242" i="1"/>
  <c r="J1242" i="1"/>
  <c r="I1242" i="1"/>
  <c r="H1242" i="1"/>
  <c r="G1242" i="1"/>
  <c r="F1242" i="1"/>
  <c r="E1242" i="1"/>
  <c r="D1242" i="1"/>
  <c r="C1242" i="1"/>
  <c r="V1241" i="1"/>
  <c r="R1241" i="1"/>
  <c r="Q1241" i="1"/>
  <c r="P1241" i="1"/>
  <c r="O1241" i="1"/>
  <c r="N1241" i="1"/>
  <c r="J1241" i="1"/>
  <c r="I1241" i="1"/>
  <c r="H1241" i="1"/>
  <c r="G1241" i="1"/>
  <c r="F1241" i="1"/>
  <c r="E1241" i="1"/>
  <c r="D1241" i="1"/>
  <c r="C1241" i="1"/>
  <c r="V1240" i="1"/>
  <c r="R1240" i="1"/>
  <c r="Q1240" i="1"/>
  <c r="P1240" i="1"/>
  <c r="O1240" i="1"/>
  <c r="N1240" i="1"/>
  <c r="J1240" i="1"/>
  <c r="I1240" i="1"/>
  <c r="H1240" i="1"/>
  <c r="G1240" i="1"/>
  <c r="F1240" i="1"/>
  <c r="E1240" i="1"/>
  <c r="D1240" i="1"/>
  <c r="C1240" i="1"/>
  <c r="V1239" i="1"/>
  <c r="R1239" i="1"/>
  <c r="Q1239" i="1"/>
  <c r="P1239" i="1"/>
  <c r="O1239" i="1"/>
  <c r="N1239" i="1"/>
  <c r="J1239" i="1"/>
  <c r="I1239" i="1"/>
  <c r="H1239" i="1"/>
  <c r="G1239" i="1"/>
  <c r="F1239" i="1"/>
  <c r="E1239" i="1"/>
  <c r="D1239" i="1"/>
  <c r="C1239" i="1"/>
  <c r="V1238" i="1"/>
  <c r="R1238" i="1"/>
  <c r="Q1238" i="1"/>
  <c r="P1238" i="1"/>
  <c r="O1238" i="1"/>
  <c r="N1238" i="1"/>
  <c r="J1238" i="1"/>
  <c r="I1238" i="1"/>
  <c r="H1238" i="1"/>
  <c r="G1238" i="1"/>
  <c r="F1238" i="1"/>
  <c r="E1238" i="1"/>
  <c r="D1238" i="1"/>
  <c r="C1238" i="1"/>
  <c r="V1237" i="1"/>
  <c r="R1237" i="1"/>
  <c r="Q1237" i="1"/>
  <c r="P1237" i="1"/>
  <c r="O1237" i="1"/>
  <c r="N1237" i="1"/>
  <c r="J1237" i="1"/>
  <c r="I1237" i="1"/>
  <c r="H1237" i="1"/>
  <c r="G1237" i="1"/>
  <c r="F1237" i="1"/>
  <c r="E1237" i="1"/>
  <c r="D1237" i="1"/>
  <c r="C1237" i="1"/>
  <c r="V1236" i="1"/>
  <c r="R1236" i="1"/>
  <c r="Q1236" i="1"/>
  <c r="P1236" i="1"/>
  <c r="O1236" i="1"/>
  <c r="N1236" i="1"/>
  <c r="J1236" i="1"/>
  <c r="I1236" i="1"/>
  <c r="H1236" i="1"/>
  <c r="G1236" i="1"/>
  <c r="F1236" i="1"/>
  <c r="E1236" i="1"/>
  <c r="D1236" i="1"/>
  <c r="C1236" i="1"/>
  <c r="V1235" i="1"/>
  <c r="R1235" i="1"/>
  <c r="Q1235" i="1"/>
  <c r="P1235" i="1"/>
  <c r="O1235" i="1"/>
  <c r="N1235" i="1"/>
  <c r="J1235" i="1"/>
  <c r="I1235" i="1"/>
  <c r="H1235" i="1"/>
  <c r="G1235" i="1"/>
  <c r="F1235" i="1"/>
  <c r="E1235" i="1"/>
  <c r="D1235" i="1"/>
  <c r="C1235" i="1"/>
  <c r="V1234" i="1"/>
  <c r="R1234" i="1"/>
  <c r="Q1234" i="1"/>
  <c r="P1234" i="1"/>
  <c r="O1234" i="1"/>
  <c r="N1234" i="1"/>
  <c r="J1234" i="1"/>
  <c r="I1234" i="1"/>
  <c r="H1234" i="1"/>
  <c r="G1234" i="1"/>
  <c r="F1234" i="1"/>
  <c r="E1234" i="1"/>
  <c r="D1234" i="1"/>
  <c r="C1234" i="1"/>
  <c r="V1233" i="1"/>
  <c r="R1233" i="1"/>
  <c r="Q1233" i="1"/>
  <c r="P1233" i="1"/>
  <c r="O1233" i="1"/>
  <c r="N1233" i="1"/>
  <c r="J1233" i="1"/>
  <c r="I1233" i="1"/>
  <c r="H1233" i="1"/>
  <c r="G1233" i="1"/>
  <c r="F1233" i="1"/>
  <c r="E1233" i="1"/>
  <c r="D1233" i="1"/>
  <c r="C1233" i="1"/>
  <c r="V1232" i="1"/>
  <c r="R1232" i="1"/>
  <c r="Q1232" i="1"/>
  <c r="P1232" i="1"/>
  <c r="O1232" i="1"/>
  <c r="N1232" i="1"/>
  <c r="J1232" i="1"/>
  <c r="I1232" i="1"/>
  <c r="H1232" i="1"/>
  <c r="G1232" i="1"/>
  <c r="F1232" i="1"/>
  <c r="E1232" i="1"/>
  <c r="D1232" i="1"/>
  <c r="C1232" i="1"/>
  <c r="V1231" i="1"/>
  <c r="R1231" i="1"/>
  <c r="Q1231" i="1"/>
  <c r="P1231" i="1"/>
  <c r="O1231" i="1"/>
  <c r="N1231" i="1"/>
  <c r="J1231" i="1"/>
  <c r="I1231" i="1"/>
  <c r="H1231" i="1"/>
  <c r="G1231" i="1"/>
  <c r="F1231" i="1"/>
  <c r="E1231" i="1"/>
  <c r="D1231" i="1"/>
  <c r="C1231" i="1"/>
  <c r="V1230" i="1"/>
  <c r="R1230" i="1"/>
  <c r="Q1230" i="1"/>
  <c r="P1230" i="1"/>
  <c r="O1230" i="1"/>
  <c r="N1230" i="1"/>
  <c r="J1230" i="1"/>
  <c r="I1230" i="1"/>
  <c r="H1230" i="1"/>
  <c r="G1230" i="1"/>
  <c r="F1230" i="1"/>
  <c r="E1230" i="1"/>
  <c r="D1230" i="1"/>
  <c r="C1230" i="1"/>
  <c r="V1229" i="1"/>
  <c r="R1229" i="1"/>
  <c r="Q1229" i="1"/>
  <c r="P1229" i="1"/>
  <c r="O1229" i="1"/>
  <c r="N1229" i="1"/>
  <c r="J1229" i="1"/>
  <c r="I1229" i="1"/>
  <c r="H1229" i="1"/>
  <c r="G1229" i="1"/>
  <c r="F1229" i="1"/>
  <c r="E1229" i="1"/>
  <c r="D1229" i="1"/>
  <c r="C1229" i="1"/>
  <c r="V1228" i="1"/>
  <c r="R1228" i="1"/>
  <c r="Q1228" i="1"/>
  <c r="P1228" i="1"/>
  <c r="O1228" i="1"/>
  <c r="N1228" i="1"/>
  <c r="J1228" i="1"/>
  <c r="I1228" i="1"/>
  <c r="H1228" i="1"/>
  <c r="G1228" i="1"/>
  <c r="F1228" i="1"/>
  <c r="E1228" i="1"/>
  <c r="D1228" i="1"/>
  <c r="C1228" i="1"/>
  <c r="V1227" i="1"/>
  <c r="R1227" i="1"/>
  <c r="Q1227" i="1"/>
  <c r="P1227" i="1"/>
  <c r="O1227" i="1"/>
  <c r="N1227" i="1"/>
  <c r="J1227" i="1"/>
  <c r="I1227" i="1"/>
  <c r="H1227" i="1"/>
  <c r="G1227" i="1"/>
  <c r="F1227" i="1"/>
  <c r="E1227" i="1"/>
  <c r="D1227" i="1"/>
  <c r="C1227" i="1"/>
  <c r="V1226" i="1"/>
  <c r="R1226" i="1"/>
  <c r="Q1226" i="1"/>
  <c r="P1226" i="1"/>
  <c r="O1226" i="1"/>
  <c r="N1226" i="1"/>
  <c r="J1226" i="1"/>
  <c r="I1226" i="1"/>
  <c r="H1226" i="1"/>
  <c r="G1226" i="1"/>
  <c r="F1226" i="1"/>
  <c r="E1226" i="1"/>
  <c r="D1226" i="1"/>
  <c r="C1226" i="1"/>
  <c r="V1225" i="1"/>
  <c r="R1225" i="1"/>
  <c r="Q1225" i="1"/>
  <c r="P1225" i="1"/>
  <c r="O1225" i="1"/>
  <c r="N1225" i="1"/>
  <c r="J1225" i="1"/>
  <c r="I1225" i="1"/>
  <c r="H1225" i="1"/>
  <c r="G1225" i="1"/>
  <c r="F1225" i="1"/>
  <c r="E1225" i="1"/>
  <c r="D1225" i="1"/>
  <c r="C1225" i="1"/>
  <c r="V1224" i="1"/>
  <c r="R1224" i="1"/>
  <c r="Q1224" i="1"/>
  <c r="P1224" i="1"/>
  <c r="O1224" i="1"/>
  <c r="N1224" i="1"/>
  <c r="J1224" i="1"/>
  <c r="I1224" i="1"/>
  <c r="H1224" i="1"/>
  <c r="G1224" i="1"/>
  <c r="F1224" i="1"/>
  <c r="E1224" i="1"/>
  <c r="D1224" i="1"/>
  <c r="C1224" i="1"/>
  <c r="V1223" i="1"/>
  <c r="R1223" i="1"/>
  <c r="Q1223" i="1"/>
  <c r="P1223" i="1"/>
  <c r="O1223" i="1"/>
  <c r="N1223" i="1"/>
  <c r="J1223" i="1"/>
  <c r="I1223" i="1"/>
  <c r="H1223" i="1"/>
  <c r="G1223" i="1"/>
  <c r="F1223" i="1"/>
  <c r="E1223" i="1"/>
  <c r="D1223" i="1"/>
  <c r="C1223" i="1"/>
  <c r="V1222" i="1"/>
  <c r="R1222" i="1"/>
  <c r="Q1222" i="1"/>
  <c r="P1222" i="1"/>
  <c r="O1222" i="1"/>
  <c r="N1222" i="1"/>
  <c r="J1222" i="1"/>
  <c r="I1222" i="1"/>
  <c r="H1222" i="1"/>
  <c r="G1222" i="1"/>
  <c r="F1222" i="1"/>
  <c r="E1222" i="1"/>
  <c r="D1222" i="1"/>
  <c r="C1222" i="1"/>
  <c r="V1221" i="1"/>
  <c r="R1221" i="1"/>
  <c r="Q1221" i="1"/>
  <c r="P1221" i="1"/>
  <c r="O1221" i="1"/>
  <c r="N1221" i="1"/>
  <c r="J1221" i="1"/>
  <c r="I1221" i="1"/>
  <c r="H1221" i="1"/>
  <c r="G1221" i="1"/>
  <c r="F1221" i="1"/>
  <c r="E1221" i="1"/>
  <c r="D1221" i="1"/>
  <c r="C1221" i="1"/>
  <c r="V1220" i="1"/>
  <c r="R1220" i="1"/>
  <c r="Q1220" i="1"/>
  <c r="P1220" i="1"/>
  <c r="O1220" i="1"/>
  <c r="N1220" i="1"/>
  <c r="J1220" i="1"/>
  <c r="I1220" i="1"/>
  <c r="H1220" i="1"/>
  <c r="G1220" i="1"/>
  <c r="F1220" i="1"/>
  <c r="E1220" i="1"/>
  <c r="D1220" i="1"/>
  <c r="C1220" i="1"/>
  <c r="V1219" i="1"/>
  <c r="R1219" i="1"/>
  <c r="Q1219" i="1"/>
  <c r="P1219" i="1"/>
  <c r="O1219" i="1"/>
  <c r="N1219" i="1"/>
  <c r="J1219" i="1"/>
  <c r="I1219" i="1"/>
  <c r="H1219" i="1"/>
  <c r="G1219" i="1"/>
  <c r="F1219" i="1"/>
  <c r="E1219" i="1"/>
  <c r="D1219" i="1"/>
  <c r="C1219" i="1"/>
  <c r="V1218" i="1"/>
  <c r="R1218" i="1"/>
  <c r="Q1218" i="1"/>
  <c r="P1218" i="1"/>
  <c r="O1218" i="1"/>
  <c r="N1218" i="1"/>
  <c r="J1218" i="1"/>
  <c r="I1218" i="1"/>
  <c r="H1218" i="1"/>
  <c r="G1218" i="1"/>
  <c r="F1218" i="1"/>
  <c r="E1218" i="1"/>
  <c r="D1218" i="1"/>
  <c r="C1218" i="1"/>
  <c r="V1217" i="1"/>
  <c r="R1217" i="1"/>
  <c r="Q1217" i="1"/>
  <c r="P1217" i="1"/>
  <c r="O1217" i="1"/>
  <c r="N1217" i="1"/>
  <c r="J1217" i="1"/>
  <c r="I1217" i="1"/>
  <c r="H1217" i="1"/>
  <c r="G1217" i="1"/>
  <c r="F1217" i="1"/>
  <c r="E1217" i="1"/>
  <c r="D1217" i="1"/>
  <c r="C1217" i="1"/>
  <c r="V1216" i="1"/>
  <c r="R1216" i="1"/>
  <c r="Q1216" i="1"/>
  <c r="P1216" i="1"/>
  <c r="O1216" i="1"/>
  <c r="N1216" i="1"/>
  <c r="J1216" i="1"/>
  <c r="I1216" i="1"/>
  <c r="H1216" i="1"/>
  <c r="G1216" i="1"/>
  <c r="F1216" i="1"/>
  <c r="E1216" i="1"/>
  <c r="D1216" i="1"/>
  <c r="C1216" i="1"/>
  <c r="V1215" i="1"/>
  <c r="R1215" i="1"/>
  <c r="Q1215" i="1"/>
  <c r="P1215" i="1"/>
  <c r="O1215" i="1"/>
  <c r="N1215" i="1"/>
  <c r="J1215" i="1"/>
  <c r="I1215" i="1"/>
  <c r="H1215" i="1"/>
  <c r="G1215" i="1"/>
  <c r="F1215" i="1"/>
  <c r="E1215" i="1"/>
  <c r="D1215" i="1"/>
  <c r="C1215" i="1"/>
  <c r="V1214" i="1"/>
  <c r="R1214" i="1"/>
  <c r="Q1214" i="1"/>
  <c r="P1214" i="1"/>
  <c r="O1214" i="1"/>
  <c r="N1214" i="1"/>
  <c r="J1214" i="1"/>
  <c r="I1214" i="1"/>
  <c r="H1214" i="1"/>
  <c r="G1214" i="1"/>
  <c r="F1214" i="1"/>
  <c r="E1214" i="1"/>
  <c r="D1214" i="1"/>
  <c r="C1214" i="1"/>
  <c r="V1213" i="1"/>
  <c r="R1213" i="1"/>
  <c r="Q1213" i="1"/>
  <c r="P1213" i="1"/>
  <c r="O1213" i="1"/>
  <c r="N1213" i="1"/>
  <c r="J1213" i="1"/>
  <c r="I1213" i="1"/>
  <c r="H1213" i="1"/>
  <c r="G1213" i="1"/>
  <c r="F1213" i="1"/>
  <c r="E1213" i="1"/>
  <c r="D1213" i="1"/>
  <c r="C1213" i="1"/>
  <c r="V1212" i="1"/>
  <c r="R1212" i="1"/>
  <c r="Q1212" i="1"/>
  <c r="P1212" i="1"/>
  <c r="O1212" i="1"/>
  <c r="N1212" i="1"/>
  <c r="J1212" i="1"/>
  <c r="I1212" i="1"/>
  <c r="H1212" i="1"/>
  <c r="G1212" i="1"/>
  <c r="F1212" i="1"/>
  <c r="E1212" i="1"/>
  <c r="D1212" i="1"/>
  <c r="C1212" i="1"/>
  <c r="V1211" i="1"/>
  <c r="R1211" i="1"/>
  <c r="Q1211" i="1"/>
  <c r="P1211" i="1"/>
  <c r="O1211" i="1"/>
  <c r="N1211" i="1"/>
  <c r="J1211" i="1"/>
  <c r="I1211" i="1"/>
  <c r="H1211" i="1"/>
  <c r="G1211" i="1"/>
  <c r="F1211" i="1"/>
  <c r="E1211" i="1"/>
  <c r="D1211" i="1"/>
  <c r="C1211" i="1"/>
  <c r="V1210" i="1"/>
  <c r="R1210" i="1"/>
  <c r="Q1210" i="1"/>
  <c r="P1210" i="1"/>
  <c r="O1210" i="1"/>
  <c r="N1210" i="1"/>
  <c r="J1210" i="1"/>
  <c r="I1210" i="1"/>
  <c r="H1210" i="1"/>
  <c r="G1210" i="1"/>
  <c r="F1210" i="1"/>
  <c r="E1210" i="1"/>
  <c r="D1210" i="1"/>
  <c r="C1210" i="1"/>
  <c r="V1209" i="1"/>
  <c r="R1209" i="1"/>
  <c r="Q1209" i="1"/>
  <c r="P1209" i="1"/>
  <c r="O1209" i="1"/>
  <c r="N1209" i="1"/>
  <c r="J1209" i="1"/>
  <c r="I1209" i="1"/>
  <c r="H1209" i="1"/>
  <c r="G1209" i="1"/>
  <c r="F1209" i="1"/>
  <c r="E1209" i="1"/>
  <c r="D1209" i="1"/>
  <c r="C1209" i="1"/>
  <c r="V1208" i="1"/>
  <c r="R1208" i="1"/>
  <c r="Q1208" i="1"/>
  <c r="P1208" i="1"/>
  <c r="O1208" i="1"/>
  <c r="N1208" i="1"/>
  <c r="J1208" i="1"/>
  <c r="I1208" i="1"/>
  <c r="H1208" i="1"/>
  <c r="G1208" i="1"/>
  <c r="F1208" i="1"/>
  <c r="E1208" i="1"/>
  <c r="D1208" i="1"/>
  <c r="C1208" i="1"/>
  <c r="V1207" i="1"/>
  <c r="R1207" i="1"/>
  <c r="Q1207" i="1"/>
  <c r="P1207" i="1"/>
  <c r="O1207" i="1"/>
  <c r="N1207" i="1"/>
  <c r="J1207" i="1"/>
  <c r="I1207" i="1"/>
  <c r="H1207" i="1"/>
  <c r="G1207" i="1"/>
  <c r="F1207" i="1"/>
  <c r="E1207" i="1"/>
  <c r="D1207" i="1"/>
  <c r="C1207" i="1"/>
  <c r="V1206" i="1"/>
  <c r="R1206" i="1"/>
  <c r="Q1206" i="1"/>
  <c r="P1206" i="1"/>
  <c r="O1206" i="1"/>
  <c r="N1206" i="1"/>
  <c r="J1206" i="1"/>
  <c r="I1206" i="1"/>
  <c r="H1206" i="1"/>
  <c r="G1206" i="1"/>
  <c r="F1206" i="1"/>
  <c r="E1206" i="1"/>
  <c r="D1206" i="1"/>
  <c r="C1206" i="1"/>
  <c r="V1205" i="1"/>
  <c r="R1205" i="1"/>
  <c r="Q1205" i="1"/>
  <c r="P1205" i="1"/>
  <c r="O1205" i="1"/>
  <c r="N1205" i="1"/>
  <c r="J1205" i="1"/>
  <c r="I1205" i="1"/>
  <c r="H1205" i="1"/>
  <c r="G1205" i="1"/>
  <c r="F1205" i="1"/>
  <c r="E1205" i="1"/>
  <c r="D1205" i="1"/>
  <c r="C1205" i="1"/>
  <c r="V1204" i="1"/>
  <c r="R1204" i="1"/>
  <c r="Q1204" i="1"/>
  <c r="P1204" i="1"/>
  <c r="O1204" i="1"/>
  <c r="N1204" i="1"/>
  <c r="J1204" i="1"/>
  <c r="I1204" i="1"/>
  <c r="H1204" i="1"/>
  <c r="G1204" i="1"/>
  <c r="F1204" i="1"/>
  <c r="E1204" i="1"/>
  <c r="D1204" i="1"/>
  <c r="C1204" i="1"/>
  <c r="V1203" i="1"/>
  <c r="R1203" i="1"/>
  <c r="Q1203" i="1"/>
  <c r="P1203" i="1"/>
  <c r="O1203" i="1"/>
  <c r="N1203" i="1"/>
  <c r="J1203" i="1"/>
  <c r="I1203" i="1"/>
  <c r="H1203" i="1"/>
  <c r="G1203" i="1"/>
  <c r="F1203" i="1"/>
  <c r="E1203" i="1"/>
  <c r="D1203" i="1"/>
  <c r="C1203" i="1"/>
  <c r="V1202" i="1"/>
  <c r="Q1202" i="1"/>
  <c r="P1202" i="1"/>
  <c r="O1202" i="1"/>
  <c r="N1202" i="1"/>
  <c r="J1202" i="1"/>
  <c r="I1202" i="1"/>
  <c r="H1202" i="1"/>
  <c r="G1202" i="1"/>
  <c r="F1202" i="1"/>
  <c r="E1202" i="1"/>
  <c r="D1202" i="1"/>
  <c r="C1202" i="1"/>
  <c r="V1201" i="1"/>
  <c r="Q1201" i="1"/>
  <c r="P1201" i="1"/>
  <c r="O1201" i="1"/>
  <c r="N1201" i="1"/>
  <c r="J1201" i="1"/>
  <c r="I1201" i="1"/>
  <c r="H1201" i="1"/>
  <c r="G1201" i="1"/>
  <c r="F1201" i="1"/>
  <c r="E1201" i="1"/>
  <c r="D1201" i="1"/>
  <c r="C1201" i="1"/>
  <c r="V1200" i="1"/>
  <c r="Q1200" i="1"/>
  <c r="P1200" i="1"/>
  <c r="O1200" i="1"/>
  <c r="N1200" i="1"/>
  <c r="J1200" i="1"/>
  <c r="I1200" i="1"/>
  <c r="H1200" i="1"/>
  <c r="G1200" i="1"/>
  <c r="F1200" i="1"/>
  <c r="E1200" i="1"/>
  <c r="D1200" i="1"/>
  <c r="C1200" i="1"/>
  <c r="V1199" i="1"/>
  <c r="Q1199" i="1"/>
  <c r="P1199" i="1"/>
  <c r="O1199" i="1"/>
  <c r="N1199" i="1"/>
  <c r="J1199" i="1"/>
  <c r="I1199" i="1"/>
  <c r="H1199" i="1"/>
  <c r="G1199" i="1"/>
  <c r="F1199" i="1"/>
  <c r="E1199" i="1"/>
  <c r="D1199" i="1"/>
  <c r="C1199" i="1"/>
  <c r="V1198" i="1"/>
  <c r="Q1198" i="1"/>
  <c r="P1198" i="1"/>
  <c r="O1198" i="1"/>
  <c r="N1198" i="1"/>
  <c r="J1198" i="1"/>
  <c r="I1198" i="1"/>
  <c r="H1198" i="1"/>
  <c r="G1198" i="1"/>
  <c r="F1198" i="1"/>
  <c r="E1198" i="1"/>
  <c r="D1198" i="1"/>
  <c r="C1198" i="1"/>
  <c r="V1197" i="1"/>
  <c r="Q1197" i="1"/>
  <c r="P1197" i="1"/>
  <c r="O1197" i="1"/>
  <c r="N1197" i="1"/>
  <c r="J1197" i="1"/>
  <c r="I1197" i="1"/>
  <c r="H1197" i="1"/>
  <c r="G1197" i="1"/>
  <c r="F1197" i="1"/>
  <c r="E1197" i="1"/>
  <c r="D1197" i="1"/>
  <c r="C1197" i="1"/>
  <c r="V1196" i="1"/>
  <c r="Q1196" i="1"/>
  <c r="P1196" i="1"/>
  <c r="O1196" i="1"/>
  <c r="N1196" i="1"/>
  <c r="J1196" i="1"/>
  <c r="I1196" i="1"/>
  <c r="H1196" i="1"/>
  <c r="G1196" i="1"/>
  <c r="F1196" i="1"/>
  <c r="E1196" i="1"/>
  <c r="D1196" i="1"/>
  <c r="C1196" i="1"/>
  <c r="V1195" i="1"/>
  <c r="Q1195" i="1"/>
  <c r="P1195" i="1"/>
  <c r="O1195" i="1"/>
  <c r="N1195" i="1"/>
  <c r="J1195" i="1"/>
  <c r="I1195" i="1"/>
  <c r="H1195" i="1"/>
  <c r="G1195" i="1"/>
  <c r="F1195" i="1"/>
  <c r="E1195" i="1"/>
  <c r="D1195" i="1"/>
  <c r="C1195" i="1"/>
  <c r="V1194" i="1"/>
  <c r="Q1194" i="1"/>
  <c r="P1194" i="1"/>
  <c r="O1194" i="1"/>
  <c r="N1194" i="1"/>
  <c r="J1194" i="1"/>
  <c r="I1194" i="1"/>
  <c r="H1194" i="1"/>
  <c r="G1194" i="1"/>
  <c r="F1194" i="1"/>
  <c r="E1194" i="1"/>
  <c r="D1194" i="1"/>
  <c r="C1194" i="1"/>
  <c r="V1193" i="1"/>
  <c r="Q1193" i="1"/>
  <c r="P1193" i="1"/>
  <c r="O1193" i="1"/>
  <c r="N1193" i="1"/>
  <c r="J1193" i="1"/>
  <c r="I1193" i="1"/>
  <c r="H1193" i="1"/>
  <c r="G1193" i="1"/>
  <c r="F1193" i="1"/>
  <c r="E1193" i="1"/>
  <c r="D1193" i="1"/>
  <c r="C1193" i="1"/>
  <c r="V1192" i="1"/>
  <c r="Q1192" i="1"/>
  <c r="P1192" i="1"/>
  <c r="O1192" i="1"/>
  <c r="N1192" i="1"/>
  <c r="J1192" i="1"/>
  <c r="I1192" i="1"/>
  <c r="H1192" i="1"/>
  <c r="G1192" i="1"/>
  <c r="F1192" i="1"/>
  <c r="E1192" i="1"/>
  <c r="D1192" i="1"/>
  <c r="C1192" i="1"/>
  <c r="V1191" i="1"/>
  <c r="Q1191" i="1"/>
  <c r="P1191" i="1"/>
  <c r="O1191" i="1"/>
  <c r="N1191" i="1"/>
  <c r="J1191" i="1"/>
  <c r="I1191" i="1"/>
  <c r="H1191" i="1"/>
  <c r="G1191" i="1"/>
  <c r="F1191" i="1"/>
  <c r="E1191" i="1"/>
  <c r="D1191" i="1"/>
  <c r="C1191" i="1"/>
  <c r="V1190" i="1"/>
  <c r="Q1190" i="1"/>
  <c r="P1190" i="1"/>
  <c r="O1190" i="1"/>
  <c r="N1190" i="1"/>
  <c r="J1190" i="1"/>
  <c r="I1190" i="1"/>
  <c r="H1190" i="1"/>
  <c r="G1190" i="1"/>
  <c r="F1190" i="1"/>
  <c r="E1190" i="1"/>
  <c r="D1190" i="1"/>
  <c r="C1190" i="1"/>
  <c r="V1189" i="1"/>
  <c r="Q1189" i="1"/>
  <c r="P1189" i="1"/>
  <c r="O1189" i="1"/>
  <c r="N1189" i="1"/>
  <c r="J1189" i="1"/>
  <c r="I1189" i="1"/>
  <c r="H1189" i="1"/>
  <c r="G1189" i="1"/>
  <c r="F1189" i="1"/>
  <c r="E1189" i="1"/>
  <c r="D1189" i="1"/>
  <c r="C1189" i="1"/>
  <c r="V1188" i="1"/>
  <c r="Q1188" i="1"/>
  <c r="P1188" i="1"/>
  <c r="O1188" i="1"/>
  <c r="N1188" i="1"/>
  <c r="J1188" i="1"/>
  <c r="I1188" i="1"/>
  <c r="H1188" i="1"/>
  <c r="G1188" i="1"/>
  <c r="F1188" i="1"/>
  <c r="E1188" i="1"/>
  <c r="D1188" i="1"/>
  <c r="C1188" i="1"/>
  <c r="V1187" i="1"/>
  <c r="Q1187" i="1"/>
  <c r="P1187" i="1"/>
  <c r="O1187" i="1"/>
  <c r="N1187" i="1"/>
  <c r="J1187" i="1"/>
  <c r="I1187" i="1"/>
  <c r="H1187" i="1"/>
  <c r="G1187" i="1"/>
  <c r="F1187" i="1"/>
  <c r="E1187" i="1"/>
  <c r="D1187" i="1"/>
  <c r="C1187" i="1"/>
  <c r="V1186" i="1"/>
  <c r="Q1186" i="1"/>
  <c r="P1186" i="1"/>
  <c r="O1186" i="1"/>
  <c r="N1186" i="1"/>
  <c r="J1186" i="1"/>
  <c r="I1186" i="1"/>
  <c r="H1186" i="1"/>
  <c r="G1186" i="1"/>
  <c r="F1186" i="1"/>
  <c r="E1186" i="1"/>
  <c r="D1186" i="1"/>
  <c r="C1186" i="1"/>
  <c r="V1185" i="1"/>
  <c r="Q1185" i="1"/>
  <c r="P1185" i="1"/>
  <c r="O1185" i="1"/>
  <c r="N1185" i="1"/>
  <c r="J1185" i="1"/>
  <c r="I1185" i="1"/>
  <c r="H1185" i="1"/>
  <c r="G1185" i="1"/>
  <c r="F1185" i="1"/>
  <c r="E1185" i="1"/>
  <c r="D1185" i="1"/>
  <c r="C1185" i="1"/>
  <c r="V1184" i="1"/>
  <c r="Q1184" i="1"/>
  <c r="P1184" i="1"/>
  <c r="O1184" i="1"/>
  <c r="N1184" i="1"/>
  <c r="J1184" i="1"/>
  <c r="I1184" i="1"/>
  <c r="H1184" i="1"/>
  <c r="G1184" i="1"/>
  <c r="F1184" i="1"/>
  <c r="E1184" i="1"/>
  <c r="D1184" i="1"/>
  <c r="C1184" i="1"/>
  <c r="V1183" i="1"/>
  <c r="Q1183" i="1"/>
  <c r="P1183" i="1"/>
  <c r="O1183" i="1"/>
  <c r="N1183" i="1"/>
  <c r="J1183" i="1"/>
  <c r="I1183" i="1"/>
  <c r="H1183" i="1"/>
  <c r="G1183" i="1"/>
  <c r="F1183" i="1"/>
  <c r="E1183" i="1"/>
  <c r="D1183" i="1"/>
  <c r="C1183" i="1"/>
  <c r="V1182" i="1"/>
  <c r="Q1182" i="1"/>
  <c r="P1182" i="1"/>
  <c r="O1182" i="1"/>
  <c r="N1182" i="1"/>
  <c r="J1182" i="1"/>
  <c r="I1182" i="1"/>
  <c r="H1182" i="1"/>
  <c r="G1182" i="1"/>
  <c r="F1182" i="1"/>
  <c r="E1182" i="1"/>
  <c r="D1182" i="1"/>
  <c r="C1182" i="1"/>
  <c r="V1181" i="1"/>
  <c r="Q1181" i="1"/>
  <c r="P1181" i="1"/>
  <c r="O1181" i="1"/>
  <c r="N1181" i="1"/>
  <c r="J1181" i="1"/>
  <c r="I1181" i="1"/>
  <c r="H1181" i="1"/>
  <c r="G1181" i="1"/>
  <c r="F1181" i="1"/>
  <c r="E1181" i="1"/>
  <c r="D1181" i="1"/>
  <c r="C1181" i="1"/>
  <c r="V1180" i="1"/>
  <c r="Q1180" i="1"/>
  <c r="P1180" i="1"/>
  <c r="O1180" i="1"/>
  <c r="N1180" i="1"/>
  <c r="J1180" i="1"/>
  <c r="I1180" i="1"/>
  <c r="H1180" i="1"/>
  <c r="G1180" i="1"/>
  <c r="F1180" i="1"/>
  <c r="E1180" i="1"/>
  <c r="D1180" i="1"/>
  <c r="C1180" i="1"/>
  <c r="V1179" i="1"/>
  <c r="Q1179" i="1"/>
  <c r="P1179" i="1"/>
  <c r="O1179" i="1"/>
  <c r="N1179" i="1"/>
  <c r="J1179" i="1"/>
  <c r="I1179" i="1"/>
  <c r="H1179" i="1"/>
  <c r="G1179" i="1"/>
  <c r="F1179" i="1"/>
  <c r="E1179" i="1"/>
  <c r="D1179" i="1"/>
  <c r="C1179" i="1"/>
  <c r="V1178" i="1"/>
  <c r="Q1178" i="1"/>
  <c r="P1178" i="1"/>
  <c r="O1178" i="1"/>
  <c r="N1178" i="1"/>
  <c r="J1178" i="1"/>
  <c r="I1178" i="1"/>
  <c r="H1178" i="1"/>
  <c r="G1178" i="1"/>
  <c r="F1178" i="1"/>
  <c r="E1178" i="1"/>
  <c r="D1178" i="1"/>
  <c r="C1178" i="1"/>
  <c r="V1177" i="1"/>
  <c r="Q1177" i="1"/>
  <c r="P1177" i="1"/>
  <c r="O1177" i="1"/>
  <c r="N1177" i="1"/>
  <c r="J1177" i="1"/>
  <c r="I1177" i="1"/>
  <c r="H1177" i="1"/>
  <c r="G1177" i="1"/>
  <c r="F1177" i="1"/>
  <c r="E1177" i="1"/>
  <c r="D1177" i="1"/>
  <c r="C1177" i="1"/>
  <c r="V1176" i="1"/>
  <c r="Q1176" i="1"/>
  <c r="P1176" i="1"/>
  <c r="O1176" i="1"/>
  <c r="N1176" i="1"/>
  <c r="J1176" i="1"/>
  <c r="I1176" i="1"/>
  <c r="H1176" i="1"/>
  <c r="G1176" i="1"/>
  <c r="F1176" i="1"/>
  <c r="E1176" i="1"/>
  <c r="D1176" i="1"/>
  <c r="C1176" i="1"/>
  <c r="V1175" i="1"/>
  <c r="Q1175" i="1"/>
  <c r="P1175" i="1"/>
  <c r="O1175" i="1"/>
  <c r="N1175" i="1"/>
  <c r="J1175" i="1"/>
  <c r="I1175" i="1"/>
  <c r="H1175" i="1"/>
  <c r="G1175" i="1"/>
  <c r="F1175" i="1"/>
  <c r="E1175" i="1"/>
  <c r="D1175" i="1"/>
  <c r="C1175" i="1"/>
  <c r="V1174" i="1"/>
  <c r="Q1174" i="1"/>
  <c r="P1174" i="1"/>
  <c r="O1174" i="1"/>
  <c r="N1174" i="1"/>
  <c r="J1174" i="1"/>
  <c r="I1174" i="1"/>
  <c r="H1174" i="1"/>
  <c r="G1174" i="1"/>
  <c r="F1174" i="1"/>
  <c r="E1174" i="1"/>
  <c r="D1174" i="1"/>
  <c r="C1174" i="1"/>
  <c r="V1173" i="1"/>
  <c r="Q1173" i="1"/>
  <c r="P1173" i="1"/>
  <c r="O1173" i="1"/>
  <c r="N1173" i="1"/>
  <c r="J1173" i="1"/>
  <c r="I1173" i="1"/>
  <c r="H1173" i="1"/>
  <c r="G1173" i="1"/>
  <c r="F1173" i="1"/>
  <c r="E1173" i="1"/>
  <c r="D1173" i="1"/>
  <c r="C1173" i="1"/>
  <c r="V1172" i="1"/>
  <c r="Q1172" i="1"/>
  <c r="P1172" i="1"/>
  <c r="O1172" i="1"/>
  <c r="N1172" i="1"/>
  <c r="J1172" i="1"/>
  <c r="I1172" i="1"/>
  <c r="H1172" i="1"/>
  <c r="G1172" i="1"/>
  <c r="F1172" i="1"/>
  <c r="E1172" i="1"/>
  <c r="D1172" i="1"/>
  <c r="C1172" i="1"/>
  <c r="V1171" i="1"/>
  <c r="Q1171" i="1"/>
  <c r="P1171" i="1"/>
  <c r="O1171" i="1"/>
  <c r="N1171" i="1"/>
  <c r="J1171" i="1"/>
  <c r="I1171" i="1"/>
  <c r="H1171" i="1"/>
  <c r="G1171" i="1"/>
  <c r="F1171" i="1"/>
  <c r="E1171" i="1"/>
  <c r="D1171" i="1"/>
  <c r="C1171" i="1"/>
  <c r="V1170" i="1"/>
  <c r="Q1170" i="1"/>
  <c r="P1170" i="1"/>
  <c r="O1170" i="1"/>
  <c r="N1170" i="1"/>
  <c r="J1170" i="1"/>
  <c r="I1170" i="1"/>
  <c r="H1170" i="1"/>
  <c r="G1170" i="1"/>
  <c r="F1170" i="1"/>
  <c r="E1170" i="1"/>
  <c r="D1170" i="1"/>
  <c r="C1170" i="1"/>
  <c r="V1169" i="1"/>
  <c r="Q1169" i="1"/>
  <c r="P1169" i="1"/>
  <c r="O1169" i="1"/>
  <c r="N1169" i="1"/>
  <c r="J1169" i="1"/>
  <c r="I1169" i="1"/>
  <c r="H1169" i="1"/>
  <c r="G1169" i="1"/>
  <c r="F1169" i="1"/>
  <c r="E1169" i="1"/>
  <c r="D1169" i="1"/>
  <c r="C1169" i="1"/>
  <c r="V1168" i="1"/>
  <c r="Q1168" i="1"/>
  <c r="P1168" i="1"/>
  <c r="O1168" i="1"/>
  <c r="N1168" i="1"/>
  <c r="J1168" i="1"/>
  <c r="I1168" i="1"/>
  <c r="H1168" i="1"/>
  <c r="G1168" i="1"/>
  <c r="F1168" i="1"/>
  <c r="E1168" i="1"/>
  <c r="D1168" i="1"/>
  <c r="C1168" i="1"/>
  <c r="V1167" i="1"/>
  <c r="Q1167" i="1"/>
  <c r="P1167" i="1"/>
  <c r="O1167" i="1"/>
  <c r="N1167" i="1"/>
  <c r="J1167" i="1"/>
  <c r="I1167" i="1"/>
  <c r="H1167" i="1"/>
  <c r="G1167" i="1"/>
  <c r="F1167" i="1"/>
  <c r="E1167" i="1"/>
  <c r="D1167" i="1"/>
  <c r="C1167" i="1"/>
  <c r="V1166" i="1"/>
  <c r="Q1166" i="1"/>
  <c r="P1166" i="1"/>
  <c r="O1166" i="1"/>
  <c r="N1166" i="1"/>
  <c r="J1166" i="1"/>
  <c r="I1166" i="1"/>
  <c r="H1166" i="1"/>
  <c r="G1166" i="1"/>
  <c r="F1166" i="1"/>
  <c r="E1166" i="1"/>
  <c r="D1166" i="1"/>
  <c r="C1166" i="1"/>
  <c r="V1165" i="1"/>
  <c r="Q1165" i="1"/>
  <c r="P1165" i="1"/>
  <c r="O1165" i="1"/>
  <c r="N1165" i="1"/>
  <c r="J1165" i="1"/>
  <c r="I1165" i="1"/>
  <c r="H1165" i="1"/>
  <c r="G1165" i="1"/>
  <c r="F1165" i="1"/>
  <c r="E1165" i="1"/>
  <c r="D1165" i="1"/>
  <c r="C1165" i="1"/>
  <c r="V1164" i="1"/>
  <c r="Q1164" i="1"/>
  <c r="P1164" i="1"/>
  <c r="O1164" i="1"/>
  <c r="N1164" i="1"/>
  <c r="J1164" i="1"/>
  <c r="I1164" i="1"/>
  <c r="H1164" i="1"/>
  <c r="G1164" i="1"/>
  <c r="F1164" i="1"/>
  <c r="E1164" i="1"/>
  <c r="D1164" i="1"/>
  <c r="C1164" i="1"/>
  <c r="V1163" i="1"/>
  <c r="Q1163" i="1"/>
  <c r="P1163" i="1"/>
  <c r="O1163" i="1"/>
  <c r="N1163" i="1"/>
  <c r="J1163" i="1"/>
  <c r="I1163" i="1"/>
  <c r="H1163" i="1"/>
  <c r="G1163" i="1"/>
  <c r="F1163" i="1"/>
  <c r="E1163" i="1"/>
  <c r="D1163" i="1"/>
  <c r="C1163" i="1"/>
  <c r="V1162" i="1"/>
  <c r="Q1162" i="1"/>
  <c r="P1162" i="1"/>
  <c r="O1162" i="1"/>
  <c r="N1162" i="1"/>
  <c r="J1162" i="1"/>
  <c r="I1162" i="1"/>
  <c r="H1162" i="1"/>
  <c r="G1162" i="1"/>
  <c r="F1162" i="1"/>
  <c r="E1162" i="1"/>
  <c r="D1162" i="1"/>
  <c r="C1162" i="1"/>
  <c r="V1161" i="1"/>
  <c r="Q1161" i="1"/>
  <c r="P1161" i="1"/>
  <c r="O1161" i="1"/>
  <c r="N1161" i="1"/>
  <c r="J1161" i="1"/>
  <c r="I1161" i="1"/>
  <c r="H1161" i="1"/>
  <c r="G1161" i="1"/>
  <c r="F1161" i="1"/>
  <c r="E1161" i="1"/>
  <c r="D1161" i="1"/>
  <c r="C1161" i="1"/>
  <c r="V1160" i="1"/>
  <c r="Q1160" i="1"/>
  <c r="P1160" i="1"/>
  <c r="O1160" i="1"/>
  <c r="N1160" i="1"/>
  <c r="J1160" i="1"/>
  <c r="I1160" i="1"/>
  <c r="H1160" i="1"/>
  <c r="G1160" i="1"/>
  <c r="F1160" i="1"/>
  <c r="E1160" i="1"/>
  <c r="D1160" i="1"/>
  <c r="C1160" i="1"/>
  <c r="V1159" i="1"/>
  <c r="Q1159" i="1"/>
  <c r="P1159" i="1"/>
  <c r="O1159" i="1"/>
  <c r="N1159" i="1"/>
  <c r="J1159" i="1"/>
  <c r="I1159" i="1"/>
  <c r="H1159" i="1"/>
  <c r="G1159" i="1"/>
  <c r="F1159" i="1"/>
  <c r="E1159" i="1"/>
  <c r="D1159" i="1"/>
  <c r="C1159" i="1"/>
  <c r="V1158" i="1"/>
  <c r="Q1158" i="1"/>
  <c r="P1158" i="1"/>
  <c r="O1158" i="1"/>
  <c r="N1158" i="1"/>
  <c r="J1158" i="1"/>
  <c r="I1158" i="1"/>
  <c r="H1158" i="1"/>
  <c r="G1158" i="1"/>
  <c r="F1158" i="1"/>
  <c r="E1158" i="1"/>
  <c r="D1158" i="1"/>
  <c r="C1158" i="1"/>
  <c r="V1157" i="1"/>
  <c r="Q1157" i="1"/>
  <c r="P1157" i="1"/>
  <c r="O1157" i="1"/>
  <c r="N1157" i="1"/>
  <c r="J1157" i="1"/>
  <c r="I1157" i="1"/>
  <c r="H1157" i="1"/>
  <c r="G1157" i="1"/>
  <c r="F1157" i="1"/>
  <c r="E1157" i="1"/>
  <c r="D1157" i="1"/>
  <c r="C1157" i="1"/>
  <c r="V1156" i="1"/>
  <c r="Q1156" i="1"/>
  <c r="P1156" i="1"/>
  <c r="O1156" i="1"/>
  <c r="N1156" i="1"/>
  <c r="J1156" i="1"/>
  <c r="I1156" i="1"/>
  <c r="H1156" i="1"/>
  <c r="G1156" i="1"/>
  <c r="F1156" i="1"/>
  <c r="E1156" i="1"/>
  <c r="D1156" i="1"/>
  <c r="C1156" i="1"/>
  <c r="V1155" i="1"/>
  <c r="Q1155" i="1"/>
  <c r="P1155" i="1"/>
  <c r="O1155" i="1"/>
  <c r="N1155" i="1"/>
  <c r="J1155" i="1"/>
  <c r="I1155" i="1"/>
  <c r="H1155" i="1"/>
  <c r="G1155" i="1"/>
  <c r="F1155" i="1"/>
  <c r="E1155" i="1"/>
  <c r="D1155" i="1"/>
  <c r="C1155" i="1"/>
  <c r="V1154" i="1"/>
  <c r="Q1154" i="1"/>
  <c r="P1154" i="1"/>
  <c r="O1154" i="1"/>
  <c r="N1154" i="1"/>
  <c r="J1154" i="1"/>
  <c r="I1154" i="1"/>
  <c r="H1154" i="1"/>
  <c r="G1154" i="1"/>
  <c r="F1154" i="1"/>
  <c r="E1154" i="1"/>
  <c r="D1154" i="1"/>
  <c r="C1154" i="1"/>
  <c r="V1153" i="1"/>
  <c r="Q1153" i="1"/>
  <c r="P1153" i="1"/>
  <c r="O1153" i="1"/>
  <c r="N1153" i="1"/>
  <c r="J1153" i="1"/>
  <c r="I1153" i="1"/>
  <c r="H1153" i="1"/>
  <c r="G1153" i="1"/>
  <c r="F1153" i="1"/>
  <c r="E1153" i="1"/>
  <c r="D1153" i="1"/>
  <c r="C1153" i="1"/>
  <c r="V1152" i="1"/>
  <c r="Q1152" i="1"/>
  <c r="P1152" i="1"/>
  <c r="O1152" i="1"/>
  <c r="N1152" i="1"/>
  <c r="J1152" i="1"/>
  <c r="I1152" i="1"/>
  <c r="H1152" i="1"/>
  <c r="G1152" i="1"/>
  <c r="F1152" i="1"/>
  <c r="E1152" i="1"/>
  <c r="D1152" i="1"/>
  <c r="C1152" i="1"/>
  <c r="V1151" i="1"/>
  <c r="Q1151" i="1"/>
  <c r="P1151" i="1"/>
  <c r="O1151" i="1"/>
  <c r="N1151" i="1"/>
  <c r="J1151" i="1"/>
  <c r="I1151" i="1"/>
  <c r="H1151" i="1"/>
  <c r="G1151" i="1"/>
  <c r="F1151" i="1"/>
  <c r="E1151" i="1"/>
  <c r="D1151" i="1"/>
  <c r="C1151" i="1"/>
  <c r="V1150" i="1"/>
  <c r="Q1150" i="1"/>
  <c r="P1150" i="1"/>
  <c r="O1150" i="1"/>
  <c r="N1150" i="1"/>
  <c r="J1150" i="1"/>
  <c r="I1150" i="1"/>
  <c r="H1150" i="1"/>
  <c r="G1150" i="1"/>
  <c r="F1150" i="1"/>
  <c r="E1150" i="1"/>
  <c r="D1150" i="1"/>
  <c r="C1150" i="1"/>
  <c r="V1149" i="1"/>
  <c r="Q1149" i="1"/>
  <c r="P1149" i="1"/>
  <c r="O1149" i="1"/>
  <c r="N1149" i="1"/>
  <c r="J1149" i="1"/>
  <c r="I1149" i="1"/>
  <c r="H1149" i="1"/>
  <c r="G1149" i="1"/>
  <c r="F1149" i="1"/>
  <c r="E1149" i="1"/>
  <c r="D1149" i="1"/>
  <c r="C1149" i="1"/>
  <c r="V1148" i="1"/>
  <c r="Q1148" i="1"/>
  <c r="P1148" i="1"/>
  <c r="O1148" i="1"/>
  <c r="N1148" i="1"/>
  <c r="J1148" i="1"/>
  <c r="I1148" i="1"/>
  <c r="H1148" i="1"/>
  <c r="G1148" i="1"/>
  <c r="F1148" i="1"/>
  <c r="E1148" i="1"/>
  <c r="D1148" i="1"/>
  <c r="C1148" i="1"/>
  <c r="V1147" i="1"/>
  <c r="Q1147" i="1"/>
  <c r="P1147" i="1"/>
  <c r="O1147" i="1"/>
  <c r="N1147" i="1"/>
  <c r="J1147" i="1"/>
  <c r="I1147" i="1"/>
  <c r="H1147" i="1"/>
  <c r="G1147" i="1"/>
  <c r="F1147" i="1"/>
  <c r="E1147" i="1"/>
  <c r="D1147" i="1"/>
  <c r="C1147" i="1"/>
  <c r="V1146" i="1"/>
  <c r="Q1146" i="1"/>
  <c r="P1146" i="1"/>
  <c r="O1146" i="1"/>
  <c r="N1146" i="1"/>
  <c r="J1146" i="1"/>
  <c r="I1146" i="1"/>
  <c r="H1146" i="1"/>
  <c r="G1146" i="1"/>
  <c r="F1146" i="1"/>
  <c r="E1146" i="1"/>
  <c r="D1146" i="1"/>
  <c r="C1146" i="1"/>
  <c r="V1145" i="1"/>
  <c r="Q1145" i="1"/>
  <c r="P1145" i="1"/>
  <c r="O1145" i="1"/>
  <c r="N1145" i="1"/>
  <c r="J1145" i="1"/>
  <c r="I1145" i="1"/>
  <c r="H1145" i="1"/>
  <c r="G1145" i="1"/>
  <c r="F1145" i="1"/>
  <c r="E1145" i="1"/>
  <c r="D1145" i="1"/>
  <c r="C1145" i="1"/>
  <c r="V1144" i="1"/>
  <c r="Q1144" i="1"/>
  <c r="P1144" i="1"/>
  <c r="O1144" i="1"/>
  <c r="N1144" i="1"/>
  <c r="J1144" i="1"/>
  <c r="I1144" i="1"/>
  <c r="H1144" i="1"/>
  <c r="G1144" i="1"/>
  <c r="F1144" i="1"/>
  <c r="E1144" i="1"/>
  <c r="D1144" i="1"/>
  <c r="C1144" i="1"/>
  <c r="V1143" i="1"/>
  <c r="Q1143" i="1"/>
  <c r="P1143" i="1"/>
  <c r="O1143" i="1"/>
  <c r="N1143" i="1"/>
  <c r="J1143" i="1"/>
  <c r="I1143" i="1"/>
  <c r="H1143" i="1"/>
  <c r="G1143" i="1"/>
  <c r="F1143" i="1"/>
  <c r="E1143" i="1"/>
  <c r="D1143" i="1"/>
  <c r="C1143" i="1"/>
  <c r="V1142" i="1"/>
  <c r="Q1142" i="1"/>
  <c r="P1142" i="1"/>
  <c r="O1142" i="1"/>
  <c r="N1142" i="1"/>
  <c r="J1142" i="1"/>
  <c r="I1142" i="1"/>
  <c r="H1142" i="1"/>
  <c r="G1142" i="1"/>
  <c r="F1142" i="1"/>
  <c r="E1142" i="1"/>
  <c r="D1142" i="1"/>
  <c r="C1142" i="1"/>
  <c r="V1141" i="1"/>
  <c r="Q1141" i="1"/>
  <c r="P1141" i="1"/>
  <c r="O1141" i="1"/>
  <c r="N1141" i="1"/>
  <c r="J1141" i="1"/>
  <c r="I1141" i="1"/>
  <c r="H1141" i="1"/>
  <c r="G1141" i="1"/>
  <c r="F1141" i="1"/>
  <c r="E1141" i="1"/>
  <c r="D1141" i="1"/>
  <c r="C1141" i="1"/>
  <c r="V1140" i="1"/>
  <c r="Q1140" i="1"/>
  <c r="P1140" i="1"/>
  <c r="O1140" i="1"/>
  <c r="N1140" i="1"/>
  <c r="J1140" i="1"/>
  <c r="I1140" i="1"/>
  <c r="H1140" i="1"/>
  <c r="G1140" i="1"/>
  <c r="F1140" i="1"/>
  <c r="E1140" i="1"/>
  <c r="D1140" i="1"/>
  <c r="C1140" i="1"/>
  <c r="V1139" i="1"/>
  <c r="Q1139" i="1"/>
  <c r="P1139" i="1"/>
  <c r="O1139" i="1"/>
  <c r="N1139" i="1"/>
  <c r="J1139" i="1"/>
  <c r="I1139" i="1"/>
  <c r="H1139" i="1"/>
  <c r="G1139" i="1"/>
  <c r="F1139" i="1"/>
  <c r="E1139" i="1"/>
  <c r="D1139" i="1"/>
  <c r="C1139" i="1"/>
  <c r="V1138" i="1"/>
  <c r="Q1138" i="1"/>
  <c r="P1138" i="1"/>
  <c r="O1138" i="1"/>
  <c r="N1138" i="1"/>
  <c r="J1138" i="1"/>
  <c r="I1138" i="1"/>
  <c r="H1138" i="1"/>
  <c r="G1138" i="1"/>
  <c r="F1138" i="1"/>
  <c r="E1138" i="1"/>
  <c r="D1138" i="1"/>
  <c r="C1138" i="1"/>
  <c r="V1137" i="1"/>
  <c r="Q1137" i="1"/>
  <c r="P1137" i="1"/>
  <c r="O1137" i="1"/>
  <c r="N1137" i="1"/>
  <c r="J1137" i="1"/>
  <c r="I1137" i="1"/>
  <c r="H1137" i="1"/>
  <c r="G1137" i="1"/>
  <c r="F1137" i="1"/>
  <c r="E1137" i="1"/>
  <c r="D1137" i="1"/>
  <c r="C1137" i="1"/>
  <c r="V1136" i="1"/>
  <c r="Q1136" i="1"/>
  <c r="P1136" i="1"/>
  <c r="O1136" i="1"/>
  <c r="N1136" i="1"/>
  <c r="J1136" i="1"/>
  <c r="I1136" i="1"/>
  <c r="H1136" i="1"/>
  <c r="G1136" i="1"/>
  <c r="F1136" i="1"/>
  <c r="E1136" i="1"/>
  <c r="D1136" i="1"/>
  <c r="C1136" i="1"/>
  <c r="V1135" i="1"/>
  <c r="Q1135" i="1"/>
  <c r="P1135" i="1"/>
  <c r="O1135" i="1"/>
  <c r="N1135" i="1"/>
  <c r="J1135" i="1"/>
  <c r="I1135" i="1"/>
  <c r="H1135" i="1"/>
  <c r="G1135" i="1"/>
  <c r="F1135" i="1"/>
  <c r="E1135" i="1"/>
  <c r="D1135" i="1"/>
  <c r="C1135" i="1"/>
  <c r="V1134" i="1"/>
  <c r="Q1134" i="1"/>
  <c r="P1134" i="1"/>
  <c r="O1134" i="1"/>
  <c r="N1134" i="1"/>
  <c r="J1134" i="1"/>
  <c r="I1134" i="1"/>
  <c r="H1134" i="1"/>
  <c r="G1134" i="1"/>
  <c r="F1134" i="1"/>
  <c r="E1134" i="1"/>
  <c r="D1134" i="1"/>
  <c r="C1134" i="1"/>
  <c r="V1133" i="1"/>
  <c r="Q1133" i="1"/>
  <c r="P1133" i="1"/>
  <c r="O1133" i="1"/>
  <c r="N1133" i="1"/>
  <c r="J1133" i="1"/>
  <c r="I1133" i="1"/>
  <c r="H1133" i="1"/>
  <c r="G1133" i="1"/>
  <c r="F1133" i="1"/>
  <c r="E1133" i="1"/>
  <c r="D1133" i="1"/>
  <c r="C1133" i="1"/>
  <c r="V1132" i="1"/>
  <c r="Q1132" i="1"/>
  <c r="P1132" i="1"/>
  <c r="O1132" i="1"/>
  <c r="N1132" i="1"/>
  <c r="J1132" i="1"/>
  <c r="I1132" i="1"/>
  <c r="H1132" i="1"/>
  <c r="G1132" i="1"/>
  <c r="F1132" i="1"/>
  <c r="E1132" i="1"/>
  <c r="D1132" i="1"/>
  <c r="C1132" i="1"/>
  <c r="V1131" i="1"/>
  <c r="Q1131" i="1"/>
  <c r="P1131" i="1"/>
  <c r="O1131" i="1"/>
  <c r="N1131" i="1"/>
  <c r="J1131" i="1"/>
  <c r="I1131" i="1"/>
  <c r="H1131" i="1"/>
  <c r="G1131" i="1"/>
  <c r="F1131" i="1"/>
  <c r="E1131" i="1"/>
  <c r="D1131" i="1"/>
  <c r="C1131" i="1"/>
  <c r="V1130" i="1"/>
  <c r="Q1130" i="1"/>
  <c r="P1130" i="1"/>
  <c r="O1130" i="1"/>
  <c r="N1130" i="1"/>
  <c r="J1130" i="1"/>
  <c r="I1130" i="1"/>
  <c r="H1130" i="1"/>
  <c r="G1130" i="1"/>
  <c r="F1130" i="1"/>
  <c r="E1130" i="1"/>
  <c r="D1130" i="1"/>
  <c r="C1130" i="1"/>
  <c r="V1129" i="1"/>
  <c r="Q1129" i="1"/>
  <c r="P1129" i="1"/>
  <c r="O1129" i="1"/>
  <c r="N1129" i="1"/>
  <c r="J1129" i="1"/>
  <c r="I1129" i="1"/>
  <c r="H1129" i="1"/>
  <c r="G1129" i="1"/>
  <c r="F1129" i="1"/>
  <c r="E1129" i="1"/>
  <c r="D1129" i="1"/>
  <c r="C1129" i="1"/>
  <c r="V1128" i="1"/>
  <c r="Q1128" i="1"/>
  <c r="P1128" i="1"/>
  <c r="O1128" i="1"/>
  <c r="N1128" i="1"/>
  <c r="J1128" i="1"/>
  <c r="I1128" i="1"/>
  <c r="H1128" i="1"/>
  <c r="G1128" i="1"/>
  <c r="F1128" i="1"/>
  <c r="E1128" i="1"/>
  <c r="D1128" i="1"/>
  <c r="C1128" i="1"/>
  <c r="V1127" i="1"/>
  <c r="Q1127" i="1"/>
  <c r="P1127" i="1"/>
  <c r="O1127" i="1"/>
  <c r="N1127" i="1"/>
  <c r="J1127" i="1"/>
  <c r="I1127" i="1"/>
  <c r="H1127" i="1"/>
  <c r="G1127" i="1"/>
  <c r="F1127" i="1"/>
  <c r="E1127" i="1"/>
  <c r="D1127" i="1"/>
  <c r="C1127" i="1"/>
  <c r="V1126" i="1"/>
  <c r="Q1126" i="1"/>
  <c r="P1126" i="1"/>
  <c r="O1126" i="1"/>
  <c r="N1126" i="1"/>
  <c r="J1126" i="1"/>
  <c r="I1126" i="1"/>
  <c r="H1126" i="1"/>
  <c r="G1126" i="1"/>
  <c r="F1126" i="1"/>
  <c r="E1126" i="1"/>
  <c r="D1126" i="1"/>
  <c r="C1126" i="1"/>
  <c r="V1125" i="1"/>
  <c r="Q1125" i="1"/>
  <c r="P1125" i="1"/>
  <c r="O1125" i="1"/>
  <c r="N1125" i="1"/>
  <c r="J1125" i="1"/>
  <c r="I1125" i="1"/>
  <c r="H1125" i="1"/>
  <c r="G1125" i="1"/>
  <c r="F1125" i="1"/>
  <c r="E1125" i="1"/>
  <c r="D1125" i="1"/>
  <c r="C1125" i="1"/>
  <c r="V1124" i="1"/>
  <c r="Q1124" i="1"/>
  <c r="P1124" i="1"/>
  <c r="O1124" i="1"/>
  <c r="N1124" i="1"/>
  <c r="J1124" i="1"/>
  <c r="I1124" i="1"/>
  <c r="H1124" i="1"/>
  <c r="G1124" i="1"/>
  <c r="F1124" i="1"/>
  <c r="E1124" i="1"/>
  <c r="D1124" i="1"/>
  <c r="C1124" i="1"/>
  <c r="V1123" i="1"/>
  <c r="Q1123" i="1"/>
  <c r="P1123" i="1"/>
  <c r="O1123" i="1"/>
  <c r="N1123" i="1"/>
  <c r="J1123" i="1"/>
  <c r="I1123" i="1"/>
  <c r="H1123" i="1"/>
  <c r="G1123" i="1"/>
  <c r="F1123" i="1"/>
  <c r="E1123" i="1"/>
  <c r="D1123" i="1"/>
  <c r="C1123" i="1"/>
  <c r="V1122" i="1"/>
  <c r="Q1122" i="1"/>
  <c r="P1122" i="1"/>
  <c r="O1122" i="1"/>
  <c r="N1122" i="1"/>
  <c r="J1122" i="1"/>
  <c r="I1122" i="1"/>
  <c r="H1122" i="1"/>
  <c r="G1122" i="1"/>
  <c r="F1122" i="1"/>
  <c r="E1122" i="1"/>
  <c r="D1122" i="1"/>
  <c r="C1122" i="1"/>
  <c r="V1121" i="1"/>
  <c r="Q1121" i="1"/>
  <c r="P1121" i="1"/>
  <c r="O1121" i="1"/>
  <c r="N1121" i="1"/>
  <c r="J1121" i="1"/>
  <c r="I1121" i="1"/>
  <c r="H1121" i="1"/>
  <c r="G1121" i="1"/>
  <c r="F1121" i="1"/>
  <c r="E1121" i="1"/>
  <c r="D1121" i="1"/>
  <c r="C1121" i="1"/>
  <c r="V1120" i="1"/>
  <c r="Q1120" i="1"/>
  <c r="P1120" i="1"/>
  <c r="O1120" i="1"/>
  <c r="N1120" i="1"/>
  <c r="J1120" i="1"/>
  <c r="I1120" i="1"/>
  <c r="H1120" i="1"/>
  <c r="G1120" i="1"/>
  <c r="F1120" i="1"/>
  <c r="E1120" i="1"/>
  <c r="D1120" i="1"/>
  <c r="C1120" i="1"/>
  <c r="V1119" i="1"/>
  <c r="Q1119" i="1"/>
  <c r="P1119" i="1"/>
  <c r="O1119" i="1"/>
  <c r="N1119" i="1"/>
  <c r="J1119" i="1"/>
  <c r="I1119" i="1"/>
  <c r="H1119" i="1"/>
  <c r="G1119" i="1"/>
  <c r="F1119" i="1"/>
  <c r="E1119" i="1"/>
  <c r="D1119" i="1"/>
  <c r="C1119" i="1"/>
  <c r="V1118" i="1"/>
  <c r="Q1118" i="1"/>
  <c r="P1118" i="1"/>
  <c r="O1118" i="1"/>
  <c r="N1118" i="1"/>
  <c r="J1118" i="1"/>
  <c r="I1118" i="1"/>
  <c r="H1118" i="1"/>
  <c r="G1118" i="1"/>
  <c r="F1118" i="1"/>
  <c r="E1118" i="1"/>
  <c r="D1118" i="1"/>
  <c r="C1118" i="1"/>
  <c r="V1117" i="1"/>
  <c r="Q1117" i="1"/>
  <c r="P1117" i="1"/>
  <c r="O1117" i="1"/>
  <c r="N1117" i="1"/>
  <c r="J1117" i="1"/>
  <c r="I1117" i="1"/>
  <c r="H1117" i="1"/>
  <c r="G1117" i="1"/>
  <c r="F1117" i="1"/>
  <c r="E1117" i="1"/>
  <c r="D1117" i="1"/>
  <c r="C1117" i="1"/>
  <c r="V1116" i="1"/>
  <c r="Q1116" i="1"/>
  <c r="P1116" i="1"/>
  <c r="O1116" i="1"/>
  <c r="N1116" i="1"/>
  <c r="J1116" i="1"/>
  <c r="I1116" i="1"/>
  <c r="H1116" i="1"/>
  <c r="G1116" i="1"/>
  <c r="F1116" i="1"/>
  <c r="E1116" i="1"/>
  <c r="D1116" i="1"/>
  <c r="C1116" i="1"/>
  <c r="V1115" i="1"/>
  <c r="Q1115" i="1"/>
  <c r="P1115" i="1"/>
  <c r="O1115" i="1"/>
  <c r="N1115" i="1"/>
  <c r="J1115" i="1"/>
  <c r="I1115" i="1"/>
  <c r="H1115" i="1"/>
  <c r="G1115" i="1"/>
  <c r="F1115" i="1"/>
  <c r="E1115" i="1"/>
  <c r="D1115" i="1"/>
  <c r="C1115" i="1"/>
  <c r="V1114" i="1"/>
  <c r="Q1114" i="1"/>
  <c r="P1114" i="1"/>
  <c r="O1114" i="1"/>
  <c r="N1114" i="1"/>
  <c r="J1114" i="1"/>
  <c r="I1114" i="1"/>
  <c r="H1114" i="1"/>
  <c r="G1114" i="1"/>
  <c r="F1114" i="1"/>
  <c r="E1114" i="1"/>
  <c r="D1114" i="1"/>
  <c r="C1114" i="1"/>
  <c r="V1113" i="1"/>
  <c r="Q1113" i="1"/>
  <c r="P1113" i="1"/>
  <c r="O1113" i="1"/>
  <c r="N1113" i="1"/>
  <c r="J1113" i="1"/>
  <c r="I1113" i="1"/>
  <c r="H1113" i="1"/>
  <c r="G1113" i="1"/>
  <c r="F1113" i="1"/>
  <c r="E1113" i="1"/>
  <c r="D1113" i="1"/>
  <c r="C1113" i="1"/>
  <c r="V1112" i="1"/>
  <c r="Q1112" i="1"/>
  <c r="P1112" i="1"/>
  <c r="O1112" i="1"/>
  <c r="N1112" i="1"/>
  <c r="J1112" i="1"/>
  <c r="I1112" i="1"/>
  <c r="H1112" i="1"/>
  <c r="G1112" i="1"/>
  <c r="F1112" i="1"/>
  <c r="E1112" i="1"/>
  <c r="D1112" i="1"/>
  <c r="C1112" i="1"/>
  <c r="V1111" i="1"/>
  <c r="Q1111" i="1"/>
  <c r="P1111" i="1"/>
  <c r="O1111" i="1"/>
  <c r="N1111" i="1"/>
  <c r="J1111" i="1"/>
  <c r="I1111" i="1"/>
  <c r="H1111" i="1"/>
  <c r="G1111" i="1"/>
  <c r="F1111" i="1"/>
  <c r="E1111" i="1"/>
  <c r="D1111" i="1"/>
  <c r="C1111" i="1"/>
  <c r="V1110" i="1"/>
  <c r="Q1110" i="1"/>
  <c r="P1110" i="1"/>
  <c r="O1110" i="1"/>
  <c r="N1110" i="1"/>
  <c r="J1110" i="1"/>
  <c r="I1110" i="1"/>
  <c r="H1110" i="1"/>
  <c r="G1110" i="1"/>
  <c r="F1110" i="1"/>
  <c r="E1110" i="1"/>
  <c r="D1110" i="1"/>
  <c r="C1110" i="1"/>
  <c r="V1109" i="1"/>
  <c r="Q1109" i="1"/>
  <c r="P1109" i="1"/>
  <c r="O1109" i="1"/>
  <c r="N1109" i="1"/>
  <c r="J1109" i="1"/>
  <c r="I1109" i="1"/>
  <c r="H1109" i="1"/>
  <c r="G1109" i="1"/>
  <c r="F1109" i="1"/>
  <c r="E1109" i="1"/>
  <c r="D1109" i="1"/>
  <c r="C1109" i="1"/>
  <c r="V1108" i="1"/>
  <c r="Q1108" i="1"/>
  <c r="P1108" i="1"/>
  <c r="O1108" i="1"/>
  <c r="N1108" i="1"/>
  <c r="J1108" i="1"/>
  <c r="I1108" i="1"/>
  <c r="H1108" i="1"/>
  <c r="G1108" i="1"/>
  <c r="F1108" i="1"/>
  <c r="E1108" i="1"/>
  <c r="D1108" i="1"/>
  <c r="C1108" i="1"/>
  <c r="V1107" i="1"/>
  <c r="Q1107" i="1"/>
  <c r="P1107" i="1"/>
  <c r="O1107" i="1"/>
  <c r="N1107" i="1"/>
  <c r="J1107" i="1"/>
  <c r="I1107" i="1"/>
  <c r="H1107" i="1"/>
  <c r="G1107" i="1"/>
  <c r="F1107" i="1"/>
  <c r="E1107" i="1"/>
  <c r="D1107" i="1"/>
  <c r="C1107" i="1"/>
  <c r="V1106" i="1"/>
  <c r="Q1106" i="1"/>
  <c r="P1106" i="1"/>
  <c r="O1106" i="1"/>
  <c r="N1106" i="1"/>
  <c r="J1106" i="1"/>
  <c r="I1106" i="1"/>
  <c r="H1106" i="1"/>
  <c r="G1106" i="1"/>
  <c r="F1106" i="1"/>
  <c r="E1106" i="1"/>
  <c r="D1106" i="1"/>
  <c r="C1106" i="1"/>
  <c r="V1105" i="1"/>
  <c r="Q1105" i="1"/>
  <c r="P1105" i="1"/>
  <c r="O1105" i="1"/>
  <c r="N1105" i="1"/>
  <c r="J1105" i="1"/>
  <c r="I1105" i="1"/>
  <c r="H1105" i="1"/>
  <c r="G1105" i="1"/>
  <c r="F1105" i="1"/>
  <c r="E1105" i="1"/>
  <c r="D1105" i="1"/>
  <c r="C1105" i="1"/>
  <c r="V1104" i="1"/>
  <c r="Q1104" i="1"/>
  <c r="P1104" i="1"/>
  <c r="O1104" i="1"/>
  <c r="N1104" i="1"/>
  <c r="J1104" i="1"/>
  <c r="I1104" i="1"/>
  <c r="H1104" i="1"/>
  <c r="G1104" i="1"/>
  <c r="F1104" i="1"/>
  <c r="E1104" i="1"/>
  <c r="D1104" i="1"/>
  <c r="C1104" i="1"/>
  <c r="V1103" i="1"/>
  <c r="Q1103" i="1"/>
  <c r="P1103" i="1"/>
  <c r="O1103" i="1"/>
  <c r="N1103" i="1"/>
  <c r="J1103" i="1"/>
  <c r="I1103" i="1"/>
  <c r="H1103" i="1"/>
  <c r="G1103" i="1"/>
  <c r="F1103" i="1"/>
  <c r="E1103" i="1"/>
  <c r="D1103" i="1"/>
  <c r="C1103" i="1"/>
  <c r="V1102" i="1"/>
  <c r="Q1102" i="1"/>
  <c r="P1102" i="1"/>
  <c r="O1102" i="1"/>
  <c r="N1102" i="1"/>
  <c r="J1102" i="1"/>
  <c r="I1102" i="1"/>
  <c r="H1102" i="1"/>
  <c r="G1102" i="1"/>
  <c r="F1102" i="1"/>
  <c r="E1102" i="1"/>
  <c r="D1102" i="1"/>
  <c r="C1102" i="1"/>
  <c r="V1101" i="1"/>
  <c r="Q1101" i="1"/>
  <c r="P1101" i="1"/>
  <c r="O1101" i="1"/>
  <c r="N1101" i="1"/>
  <c r="J1101" i="1"/>
  <c r="I1101" i="1"/>
  <c r="H1101" i="1"/>
  <c r="G1101" i="1"/>
  <c r="F1101" i="1"/>
  <c r="E1101" i="1"/>
  <c r="D1101" i="1"/>
  <c r="C1101" i="1"/>
  <c r="V1100" i="1"/>
  <c r="Q1100" i="1"/>
  <c r="P1100" i="1"/>
  <c r="O1100" i="1"/>
  <c r="N1100" i="1"/>
  <c r="J1100" i="1"/>
  <c r="I1100" i="1"/>
  <c r="H1100" i="1"/>
  <c r="G1100" i="1"/>
  <c r="F1100" i="1"/>
  <c r="E1100" i="1"/>
  <c r="D1100" i="1"/>
  <c r="C1100" i="1"/>
  <c r="V1099" i="1"/>
  <c r="Q1099" i="1"/>
  <c r="P1099" i="1"/>
  <c r="O1099" i="1"/>
  <c r="N1099" i="1"/>
  <c r="J1099" i="1"/>
  <c r="I1099" i="1"/>
  <c r="H1099" i="1"/>
  <c r="G1099" i="1"/>
  <c r="F1099" i="1"/>
  <c r="E1099" i="1"/>
  <c r="D1099" i="1"/>
  <c r="C1099" i="1"/>
  <c r="V1098" i="1"/>
  <c r="Q1098" i="1"/>
  <c r="P1098" i="1"/>
  <c r="O1098" i="1"/>
  <c r="N1098" i="1"/>
  <c r="J1098" i="1"/>
  <c r="I1098" i="1"/>
  <c r="H1098" i="1"/>
  <c r="G1098" i="1"/>
  <c r="F1098" i="1"/>
  <c r="E1098" i="1"/>
  <c r="D1098" i="1"/>
  <c r="C1098" i="1"/>
  <c r="V1097" i="1"/>
  <c r="Q1097" i="1"/>
  <c r="P1097" i="1"/>
  <c r="O1097" i="1"/>
  <c r="N1097" i="1"/>
  <c r="J1097" i="1"/>
  <c r="I1097" i="1"/>
  <c r="H1097" i="1"/>
  <c r="G1097" i="1"/>
  <c r="F1097" i="1"/>
  <c r="E1097" i="1"/>
  <c r="D1097" i="1"/>
  <c r="C1097" i="1"/>
  <c r="V1096" i="1"/>
  <c r="Q1096" i="1"/>
  <c r="P1096" i="1"/>
  <c r="O1096" i="1"/>
  <c r="N1096" i="1"/>
  <c r="J1096" i="1"/>
  <c r="I1096" i="1"/>
  <c r="H1096" i="1"/>
  <c r="G1096" i="1"/>
  <c r="F1096" i="1"/>
  <c r="E1096" i="1"/>
  <c r="D1096" i="1"/>
  <c r="C1096" i="1"/>
  <c r="V1095" i="1"/>
  <c r="Q1095" i="1"/>
  <c r="P1095" i="1"/>
  <c r="O1095" i="1"/>
  <c r="N1095" i="1"/>
  <c r="J1095" i="1"/>
  <c r="I1095" i="1"/>
  <c r="H1095" i="1"/>
  <c r="G1095" i="1"/>
  <c r="F1095" i="1"/>
  <c r="E1095" i="1"/>
  <c r="D1095" i="1"/>
  <c r="C1095" i="1"/>
  <c r="V1094" i="1"/>
  <c r="Q1094" i="1"/>
  <c r="P1094" i="1"/>
  <c r="O1094" i="1"/>
  <c r="N1094" i="1"/>
  <c r="J1094" i="1"/>
  <c r="I1094" i="1"/>
  <c r="H1094" i="1"/>
  <c r="G1094" i="1"/>
  <c r="F1094" i="1"/>
  <c r="E1094" i="1"/>
  <c r="D1094" i="1"/>
  <c r="C1094" i="1"/>
  <c r="V1093" i="1"/>
  <c r="Q1093" i="1"/>
  <c r="P1093" i="1"/>
  <c r="O1093" i="1"/>
  <c r="N1093" i="1"/>
  <c r="J1093" i="1"/>
  <c r="I1093" i="1"/>
  <c r="H1093" i="1"/>
  <c r="G1093" i="1"/>
  <c r="F1093" i="1"/>
  <c r="E1093" i="1"/>
  <c r="D1093" i="1"/>
  <c r="C1093" i="1"/>
  <c r="V1092" i="1"/>
  <c r="Q1092" i="1"/>
  <c r="P1092" i="1"/>
  <c r="O1092" i="1"/>
  <c r="N1092" i="1"/>
  <c r="J1092" i="1"/>
  <c r="I1092" i="1"/>
  <c r="H1092" i="1"/>
  <c r="G1092" i="1"/>
  <c r="F1092" i="1"/>
  <c r="E1092" i="1"/>
  <c r="D1092" i="1"/>
  <c r="C1092" i="1"/>
  <c r="V1091" i="1"/>
  <c r="Q1091" i="1"/>
  <c r="P1091" i="1"/>
  <c r="O1091" i="1"/>
  <c r="N1091" i="1"/>
  <c r="J1091" i="1"/>
  <c r="I1091" i="1"/>
  <c r="H1091" i="1"/>
  <c r="G1091" i="1"/>
  <c r="F1091" i="1"/>
  <c r="E1091" i="1"/>
  <c r="D1091" i="1"/>
  <c r="C1091" i="1"/>
  <c r="V1090" i="1"/>
  <c r="Q1090" i="1"/>
  <c r="P1090" i="1"/>
  <c r="O1090" i="1"/>
  <c r="N1090" i="1"/>
  <c r="J1090" i="1"/>
  <c r="I1090" i="1"/>
  <c r="H1090" i="1"/>
  <c r="G1090" i="1"/>
  <c r="F1090" i="1"/>
  <c r="E1090" i="1"/>
  <c r="D1090" i="1"/>
  <c r="C1090" i="1"/>
  <c r="V1089" i="1"/>
  <c r="Q1089" i="1"/>
  <c r="P1089" i="1"/>
  <c r="O1089" i="1"/>
  <c r="N1089" i="1"/>
  <c r="J1089" i="1"/>
  <c r="I1089" i="1"/>
  <c r="H1089" i="1"/>
  <c r="G1089" i="1"/>
  <c r="F1089" i="1"/>
  <c r="E1089" i="1"/>
  <c r="D1089" i="1"/>
  <c r="C1089" i="1"/>
  <c r="V1088" i="1"/>
  <c r="Q1088" i="1"/>
  <c r="P1088" i="1"/>
  <c r="O1088" i="1"/>
  <c r="N1088" i="1"/>
  <c r="J1088" i="1"/>
  <c r="I1088" i="1"/>
  <c r="H1088" i="1"/>
  <c r="G1088" i="1"/>
  <c r="F1088" i="1"/>
  <c r="E1088" i="1"/>
  <c r="D1088" i="1"/>
  <c r="C1088" i="1"/>
  <c r="V1087" i="1"/>
  <c r="Q1087" i="1"/>
  <c r="P1087" i="1"/>
  <c r="O1087" i="1"/>
  <c r="N1087" i="1"/>
  <c r="J1087" i="1"/>
  <c r="I1087" i="1"/>
  <c r="H1087" i="1"/>
  <c r="G1087" i="1"/>
  <c r="F1087" i="1"/>
  <c r="E1087" i="1"/>
  <c r="D1087" i="1"/>
  <c r="C1087" i="1"/>
  <c r="V1086" i="1"/>
  <c r="Q1086" i="1"/>
  <c r="P1086" i="1"/>
  <c r="O1086" i="1"/>
  <c r="N1086" i="1"/>
  <c r="J1086" i="1"/>
  <c r="I1086" i="1"/>
  <c r="H1086" i="1"/>
  <c r="G1086" i="1"/>
  <c r="F1086" i="1"/>
  <c r="E1086" i="1"/>
  <c r="D1086" i="1"/>
  <c r="C1086" i="1"/>
  <c r="V1085" i="1"/>
  <c r="Q1085" i="1"/>
  <c r="P1085" i="1"/>
  <c r="O1085" i="1"/>
  <c r="N1085" i="1"/>
  <c r="J1085" i="1"/>
  <c r="I1085" i="1"/>
  <c r="H1085" i="1"/>
  <c r="G1085" i="1"/>
  <c r="F1085" i="1"/>
  <c r="E1085" i="1"/>
  <c r="D1085" i="1"/>
  <c r="C1085" i="1"/>
  <c r="V1084" i="1"/>
  <c r="Q1084" i="1"/>
  <c r="P1084" i="1"/>
  <c r="O1084" i="1"/>
  <c r="N1084" i="1"/>
  <c r="J1084" i="1"/>
  <c r="I1084" i="1"/>
  <c r="H1084" i="1"/>
  <c r="G1084" i="1"/>
  <c r="F1084" i="1"/>
  <c r="E1084" i="1"/>
  <c r="D1084" i="1"/>
  <c r="C1084" i="1"/>
  <c r="V1083" i="1"/>
  <c r="Q1083" i="1"/>
  <c r="P1083" i="1"/>
  <c r="O1083" i="1"/>
  <c r="N1083" i="1"/>
  <c r="J1083" i="1"/>
  <c r="I1083" i="1"/>
  <c r="H1083" i="1"/>
  <c r="G1083" i="1"/>
  <c r="F1083" i="1"/>
  <c r="E1083" i="1"/>
  <c r="D1083" i="1"/>
  <c r="C1083" i="1"/>
  <c r="V1082" i="1"/>
  <c r="Q1082" i="1"/>
  <c r="P1082" i="1"/>
  <c r="O1082" i="1"/>
  <c r="N1082" i="1"/>
  <c r="J1082" i="1"/>
  <c r="I1082" i="1"/>
  <c r="H1082" i="1"/>
  <c r="G1082" i="1"/>
  <c r="F1082" i="1"/>
  <c r="E1082" i="1"/>
  <c r="D1082" i="1"/>
  <c r="C1082" i="1"/>
  <c r="V1081" i="1"/>
  <c r="Q1081" i="1"/>
  <c r="P1081" i="1"/>
  <c r="O1081" i="1"/>
  <c r="N1081" i="1"/>
  <c r="J1081" i="1"/>
  <c r="I1081" i="1"/>
  <c r="H1081" i="1"/>
  <c r="G1081" i="1"/>
  <c r="F1081" i="1"/>
  <c r="E1081" i="1"/>
  <c r="D1081" i="1"/>
  <c r="C1081" i="1"/>
  <c r="V1080" i="1"/>
  <c r="Q1080" i="1"/>
  <c r="P1080" i="1"/>
  <c r="O1080" i="1"/>
  <c r="N1080" i="1"/>
  <c r="J1080" i="1"/>
  <c r="I1080" i="1"/>
  <c r="H1080" i="1"/>
  <c r="G1080" i="1"/>
  <c r="F1080" i="1"/>
  <c r="E1080" i="1"/>
  <c r="D1080" i="1"/>
  <c r="C1080" i="1"/>
  <c r="V1079" i="1"/>
  <c r="Q1079" i="1"/>
  <c r="P1079" i="1"/>
  <c r="O1079" i="1"/>
  <c r="N1079" i="1"/>
  <c r="J1079" i="1"/>
  <c r="I1079" i="1"/>
  <c r="H1079" i="1"/>
  <c r="G1079" i="1"/>
  <c r="F1079" i="1"/>
  <c r="E1079" i="1"/>
  <c r="D1079" i="1"/>
  <c r="C1079" i="1"/>
  <c r="V1078" i="1"/>
  <c r="Q1078" i="1"/>
  <c r="P1078" i="1"/>
  <c r="O1078" i="1"/>
  <c r="N1078" i="1"/>
  <c r="J1078" i="1"/>
  <c r="I1078" i="1"/>
  <c r="H1078" i="1"/>
  <c r="G1078" i="1"/>
  <c r="F1078" i="1"/>
  <c r="E1078" i="1"/>
  <c r="D1078" i="1"/>
  <c r="C1078" i="1"/>
  <c r="V1077" i="1"/>
  <c r="Q1077" i="1"/>
  <c r="P1077" i="1"/>
  <c r="O1077" i="1"/>
  <c r="N1077" i="1"/>
  <c r="J1077" i="1"/>
  <c r="I1077" i="1"/>
  <c r="H1077" i="1"/>
  <c r="G1077" i="1"/>
  <c r="F1077" i="1"/>
  <c r="E1077" i="1"/>
  <c r="D1077" i="1"/>
  <c r="C1077" i="1"/>
  <c r="V1076" i="1"/>
  <c r="Q1076" i="1"/>
  <c r="P1076" i="1"/>
  <c r="O1076" i="1"/>
  <c r="N1076" i="1"/>
  <c r="J1076" i="1"/>
  <c r="I1076" i="1"/>
  <c r="H1076" i="1"/>
  <c r="G1076" i="1"/>
  <c r="F1076" i="1"/>
  <c r="E1076" i="1"/>
  <c r="D1076" i="1"/>
  <c r="C1076" i="1"/>
  <c r="V1075" i="1"/>
  <c r="Q1075" i="1"/>
  <c r="P1075" i="1"/>
  <c r="O1075" i="1"/>
  <c r="N1075" i="1"/>
  <c r="J1075" i="1"/>
  <c r="I1075" i="1"/>
  <c r="H1075" i="1"/>
  <c r="G1075" i="1"/>
  <c r="F1075" i="1"/>
  <c r="E1075" i="1"/>
  <c r="D1075" i="1"/>
  <c r="C1075" i="1"/>
  <c r="V1074" i="1"/>
  <c r="Q1074" i="1"/>
  <c r="P1074" i="1"/>
  <c r="O1074" i="1"/>
  <c r="N1074" i="1"/>
  <c r="J1074" i="1"/>
  <c r="I1074" i="1"/>
  <c r="H1074" i="1"/>
  <c r="G1074" i="1"/>
  <c r="F1074" i="1"/>
  <c r="E1074" i="1"/>
  <c r="D1074" i="1"/>
  <c r="C1074" i="1"/>
  <c r="V1073" i="1"/>
  <c r="Q1073" i="1"/>
  <c r="P1073" i="1"/>
  <c r="O1073" i="1"/>
  <c r="N1073" i="1"/>
  <c r="J1073" i="1"/>
  <c r="I1073" i="1"/>
  <c r="H1073" i="1"/>
  <c r="G1073" i="1"/>
  <c r="F1073" i="1"/>
  <c r="E1073" i="1"/>
  <c r="D1073" i="1"/>
  <c r="C1073" i="1"/>
  <c r="V1072" i="1"/>
  <c r="Q1072" i="1"/>
  <c r="P1072" i="1"/>
  <c r="O1072" i="1"/>
  <c r="N1072" i="1"/>
  <c r="J1072" i="1"/>
  <c r="I1072" i="1"/>
  <c r="H1072" i="1"/>
  <c r="G1072" i="1"/>
  <c r="F1072" i="1"/>
  <c r="E1072" i="1"/>
  <c r="D1072" i="1"/>
  <c r="C1072" i="1"/>
  <c r="V1071" i="1"/>
  <c r="Q1071" i="1"/>
  <c r="P1071" i="1"/>
  <c r="O1071" i="1"/>
  <c r="N1071" i="1"/>
  <c r="J1071" i="1"/>
  <c r="I1071" i="1"/>
  <c r="H1071" i="1"/>
  <c r="G1071" i="1"/>
  <c r="F1071" i="1"/>
  <c r="E1071" i="1"/>
  <c r="D1071" i="1"/>
  <c r="C1071" i="1"/>
  <c r="V1070" i="1"/>
  <c r="Q1070" i="1"/>
  <c r="P1070" i="1"/>
  <c r="O1070" i="1"/>
  <c r="N1070" i="1"/>
  <c r="J1070" i="1"/>
  <c r="I1070" i="1"/>
  <c r="H1070" i="1"/>
  <c r="G1070" i="1"/>
  <c r="F1070" i="1"/>
  <c r="E1070" i="1"/>
  <c r="D1070" i="1"/>
  <c r="C1070" i="1"/>
  <c r="V1069" i="1"/>
  <c r="Q1069" i="1"/>
  <c r="P1069" i="1"/>
  <c r="O1069" i="1"/>
  <c r="N1069" i="1"/>
  <c r="J1069" i="1"/>
  <c r="I1069" i="1"/>
  <c r="H1069" i="1"/>
  <c r="G1069" i="1"/>
  <c r="F1069" i="1"/>
  <c r="E1069" i="1"/>
  <c r="D1069" i="1"/>
  <c r="C1069" i="1"/>
  <c r="V1068" i="1"/>
  <c r="Q1068" i="1"/>
  <c r="P1068" i="1"/>
  <c r="O1068" i="1"/>
  <c r="N1068" i="1"/>
  <c r="J1068" i="1"/>
  <c r="I1068" i="1"/>
  <c r="H1068" i="1"/>
  <c r="G1068" i="1"/>
  <c r="F1068" i="1"/>
  <c r="E1068" i="1"/>
  <c r="D1068" i="1"/>
  <c r="C1068" i="1"/>
  <c r="V1067" i="1"/>
  <c r="Q1067" i="1"/>
  <c r="P1067" i="1"/>
  <c r="O1067" i="1"/>
  <c r="N1067" i="1"/>
  <c r="J1067" i="1"/>
  <c r="I1067" i="1"/>
  <c r="H1067" i="1"/>
  <c r="G1067" i="1"/>
  <c r="F1067" i="1"/>
  <c r="E1067" i="1"/>
  <c r="D1067" i="1"/>
  <c r="C1067" i="1"/>
  <c r="V1066" i="1"/>
  <c r="Q1066" i="1"/>
  <c r="P1066" i="1"/>
  <c r="O1066" i="1"/>
  <c r="N1066" i="1"/>
  <c r="J1066" i="1"/>
  <c r="I1066" i="1"/>
  <c r="H1066" i="1"/>
  <c r="G1066" i="1"/>
  <c r="F1066" i="1"/>
  <c r="E1066" i="1"/>
  <c r="D1066" i="1"/>
  <c r="C1066" i="1"/>
  <c r="V1065" i="1"/>
  <c r="Q1065" i="1"/>
  <c r="P1065" i="1"/>
  <c r="O1065" i="1"/>
  <c r="N1065" i="1"/>
  <c r="J1065" i="1"/>
  <c r="I1065" i="1"/>
  <c r="H1065" i="1"/>
  <c r="G1065" i="1"/>
  <c r="F1065" i="1"/>
  <c r="E1065" i="1"/>
  <c r="D1065" i="1"/>
  <c r="C1065" i="1"/>
  <c r="V1064" i="1"/>
  <c r="Q1064" i="1"/>
  <c r="P1064" i="1"/>
  <c r="O1064" i="1"/>
  <c r="N1064" i="1"/>
  <c r="J1064" i="1"/>
  <c r="I1064" i="1"/>
  <c r="H1064" i="1"/>
  <c r="G1064" i="1"/>
  <c r="F1064" i="1"/>
  <c r="E1064" i="1"/>
  <c r="D1064" i="1"/>
  <c r="C1064" i="1"/>
  <c r="V1063" i="1"/>
  <c r="Q1063" i="1"/>
  <c r="P1063" i="1"/>
  <c r="O1063" i="1"/>
  <c r="N1063" i="1"/>
  <c r="J1063" i="1"/>
  <c r="I1063" i="1"/>
  <c r="H1063" i="1"/>
  <c r="G1063" i="1"/>
  <c r="F1063" i="1"/>
  <c r="E1063" i="1"/>
  <c r="D1063" i="1"/>
  <c r="C1063" i="1"/>
  <c r="V1062" i="1"/>
  <c r="Q1062" i="1"/>
  <c r="P1062" i="1"/>
  <c r="O1062" i="1"/>
  <c r="N1062" i="1"/>
  <c r="J1062" i="1"/>
  <c r="I1062" i="1"/>
  <c r="H1062" i="1"/>
  <c r="G1062" i="1"/>
  <c r="F1062" i="1"/>
  <c r="E1062" i="1"/>
  <c r="D1062" i="1"/>
  <c r="C1062" i="1"/>
  <c r="V1061" i="1"/>
  <c r="Q1061" i="1"/>
  <c r="P1061" i="1"/>
  <c r="O1061" i="1"/>
  <c r="N1061" i="1"/>
  <c r="J1061" i="1"/>
  <c r="I1061" i="1"/>
  <c r="H1061" i="1"/>
  <c r="G1061" i="1"/>
  <c r="F1061" i="1"/>
  <c r="E1061" i="1"/>
  <c r="D1061" i="1"/>
  <c r="C1061" i="1"/>
  <c r="V1060" i="1"/>
  <c r="Q1060" i="1"/>
  <c r="P1060" i="1"/>
  <c r="O1060" i="1"/>
  <c r="N1060" i="1"/>
  <c r="J1060" i="1"/>
  <c r="I1060" i="1"/>
  <c r="H1060" i="1"/>
  <c r="G1060" i="1"/>
  <c r="F1060" i="1"/>
  <c r="E1060" i="1"/>
  <c r="D1060" i="1"/>
  <c r="C1060" i="1"/>
  <c r="V1059" i="1"/>
  <c r="Q1059" i="1"/>
  <c r="P1059" i="1"/>
  <c r="O1059" i="1"/>
  <c r="N1059" i="1"/>
  <c r="J1059" i="1"/>
  <c r="I1059" i="1"/>
  <c r="H1059" i="1"/>
  <c r="G1059" i="1"/>
  <c r="F1059" i="1"/>
  <c r="E1059" i="1"/>
  <c r="D1059" i="1"/>
  <c r="C1059" i="1"/>
  <c r="V1058" i="1"/>
  <c r="Q1058" i="1"/>
  <c r="P1058" i="1"/>
  <c r="O1058" i="1"/>
  <c r="N1058" i="1"/>
  <c r="J1058" i="1"/>
  <c r="I1058" i="1"/>
  <c r="H1058" i="1"/>
  <c r="G1058" i="1"/>
  <c r="F1058" i="1"/>
  <c r="E1058" i="1"/>
  <c r="D1058" i="1"/>
  <c r="C1058" i="1"/>
  <c r="V1057" i="1"/>
  <c r="Q1057" i="1"/>
  <c r="P1057" i="1"/>
  <c r="O1057" i="1"/>
  <c r="N1057" i="1"/>
  <c r="J1057" i="1"/>
  <c r="I1057" i="1"/>
  <c r="H1057" i="1"/>
  <c r="G1057" i="1"/>
  <c r="F1057" i="1"/>
  <c r="E1057" i="1"/>
  <c r="D1057" i="1"/>
  <c r="C1057" i="1"/>
  <c r="V1056" i="1"/>
  <c r="Q1056" i="1"/>
  <c r="P1056" i="1"/>
  <c r="O1056" i="1"/>
  <c r="N1056" i="1"/>
  <c r="J1056" i="1"/>
  <c r="I1056" i="1"/>
  <c r="H1056" i="1"/>
  <c r="G1056" i="1"/>
  <c r="F1056" i="1"/>
  <c r="E1056" i="1"/>
  <c r="D1056" i="1"/>
  <c r="C1056" i="1"/>
  <c r="V1055" i="1"/>
  <c r="Q1055" i="1"/>
  <c r="P1055" i="1"/>
  <c r="O1055" i="1"/>
  <c r="N1055" i="1"/>
  <c r="J1055" i="1"/>
  <c r="I1055" i="1"/>
  <c r="H1055" i="1"/>
  <c r="G1055" i="1"/>
  <c r="F1055" i="1"/>
  <c r="E1055" i="1"/>
  <c r="D1055" i="1"/>
  <c r="C1055" i="1"/>
  <c r="V1054" i="1"/>
  <c r="Q1054" i="1"/>
  <c r="P1054" i="1"/>
  <c r="O1054" i="1"/>
  <c r="N1054" i="1"/>
  <c r="J1054" i="1"/>
  <c r="I1054" i="1"/>
  <c r="H1054" i="1"/>
  <c r="G1054" i="1"/>
  <c r="F1054" i="1"/>
  <c r="E1054" i="1"/>
  <c r="D1054" i="1"/>
  <c r="C1054" i="1"/>
  <c r="V1053" i="1"/>
  <c r="Q1053" i="1"/>
  <c r="P1053" i="1"/>
  <c r="O1053" i="1"/>
  <c r="N1053" i="1"/>
  <c r="J1053" i="1"/>
  <c r="I1053" i="1"/>
  <c r="H1053" i="1"/>
  <c r="G1053" i="1"/>
  <c r="F1053" i="1"/>
  <c r="E1053" i="1"/>
  <c r="D1053" i="1"/>
  <c r="C1053" i="1"/>
  <c r="V1052" i="1"/>
  <c r="Q1052" i="1"/>
  <c r="P1052" i="1"/>
  <c r="O1052" i="1"/>
  <c r="N1052" i="1"/>
  <c r="J1052" i="1"/>
  <c r="I1052" i="1"/>
  <c r="H1052" i="1"/>
  <c r="G1052" i="1"/>
  <c r="F1052" i="1"/>
  <c r="E1052" i="1"/>
  <c r="D1052" i="1"/>
  <c r="C1052" i="1"/>
  <c r="V1051" i="1"/>
  <c r="Q1051" i="1"/>
  <c r="P1051" i="1"/>
  <c r="O1051" i="1"/>
  <c r="N1051" i="1"/>
  <c r="J1051" i="1"/>
  <c r="I1051" i="1"/>
  <c r="H1051" i="1"/>
  <c r="G1051" i="1"/>
  <c r="F1051" i="1"/>
  <c r="E1051" i="1"/>
  <c r="D1051" i="1"/>
  <c r="C1051" i="1"/>
  <c r="V1050" i="1"/>
  <c r="Q1050" i="1"/>
  <c r="P1050" i="1"/>
  <c r="O1050" i="1"/>
  <c r="N1050" i="1"/>
  <c r="J1050" i="1"/>
  <c r="I1050" i="1"/>
  <c r="H1050" i="1"/>
  <c r="G1050" i="1"/>
  <c r="F1050" i="1"/>
  <c r="E1050" i="1"/>
  <c r="D1050" i="1"/>
  <c r="C1050" i="1"/>
  <c r="V1049" i="1"/>
  <c r="Q1049" i="1"/>
  <c r="P1049" i="1"/>
  <c r="O1049" i="1"/>
  <c r="N1049" i="1"/>
  <c r="J1049" i="1"/>
  <c r="I1049" i="1"/>
  <c r="H1049" i="1"/>
  <c r="G1049" i="1"/>
  <c r="F1049" i="1"/>
  <c r="E1049" i="1"/>
  <c r="D1049" i="1"/>
  <c r="C1049" i="1"/>
  <c r="V1048" i="1"/>
  <c r="Q1048" i="1"/>
  <c r="P1048" i="1"/>
  <c r="O1048" i="1"/>
  <c r="N1048" i="1"/>
  <c r="J1048" i="1"/>
  <c r="I1048" i="1"/>
  <c r="H1048" i="1"/>
  <c r="G1048" i="1"/>
  <c r="F1048" i="1"/>
  <c r="E1048" i="1"/>
  <c r="D1048" i="1"/>
  <c r="C1048" i="1"/>
  <c r="V1047" i="1"/>
  <c r="Q1047" i="1"/>
  <c r="P1047" i="1"/>
  <c r="O1047" i="1"/>
  <c r="N1047" i="1"/>
  <c r="J1047" i="1"/>
  <c r="I1047" i="1"/>
  <c r="H1047" i="1"/>
  <c r="G1047" i="1"/>
  <c r="F1047" i="1"/>
  <c r="E1047" i="1"/>
  <c r="D1047" i="1"/>
  <c r="C1047" i="1"/>
  <c r="V1046" i="1"/>
  <c r="Q1046" i="1"/>
  <c r="P1046" i="1"/>
  <c r="O1046" i="1"/>
  <c r="N1046" i="1"/>
  <c r="J1046" i="1"/>
  <c r="I1046" i="1"/>
  <c r="H1046" i="1"/>
  <c r="G1046" i="1"/>
  <c r="F1046" i="1"/>
  <c r="E1046" i="1"/>
  <c r="D1046" i="1"/>
  <c r="C1046" i="1"/>
  <c r="V1045" i="1"/>
  <c r="Q1045" i="1"/>
  <c r="P1045" i="1"/>
  <c r="O1045" i="1"/>
  <c r="N1045" i="1"/>
  <c r="J1045" i="1"/>
  <c r="I1045" i="1"/>
  <c r="H1045" i="1"/>
  <c r="G1045" i="1"/>
  <c r="F1045" i="1"/>
  <c r="E1045" i="1"/>
  <c r="D1045" i="1"/>
  <c r="C1045" i="1"/>
  <c r="V1044" i="1"/>
  <c r="Q1044" i="1"/>
  <c r="P1044" i="1"/>
  <c r="O1044" i="1"/>
  <c r="N1044" i="1"/>
  <c r="J1044" i="1"/>
  <c r="I1044" i="1"/>
  <c r="H1044" i="1"/>
  <c r="G1044" i="1"/>
  <c r="F1044" i="1"/>
  <c r="E1044" i="1"/>
  <c r="D1044" i="1"/>
  <c r="C1044" i="1"/>
  <c r="V1043" i="1"/>
  <c r="Q1043" i="1"/>
  <c r="P1043" i="1"/>
  <c r="O1043" i="1"/>
  <c r="N1043" i="1"/>
  <c r="J1043" i="1"/>
  <c r="I1043" i="1"/>
  <c r="H1043" i="1"/>
  <c r="G1043" i="1"/>
  <c r="F1043" i="1"/>
  <c r="E1043" i="1"/>
  <c r="D1043" i="1"/>
  <c r="C1043" i="1"/>
  <c r="V1042" i="1"/>
  <c r="Q1042" i="1"/>
  <c r="P1042" i="1"/>
  <c r="O1042" i="1"/>
  <c r="N1042" i="1"/>
  <c r="J1042" i="1"/>
  <c r="I1042" i="1"/>
  <c r="H1042" i="1"/>
  <c r="G1042" i="1"/>
  <c r="F1042" i="1"/>
  <c r="E1042" i="1"/>
  <c r="D1042" i="1"/>
  <c r="C1042" i="1"/>
  <c r="V1041" i="1"/>
  <c r="Q1041" i="1"/>
  <c r="P1041" i="1"/>
  <c r="O1041" i="1"/>
  <c r="N1041" i="1"/>
  <c r="J1041" i="1"/>
  <c r="I1041" i="1"/>
  <c r="H1041" i="1"/>
  <c r="G1041" i="1"/>
  <c r="F1041" i="1"/>
  <c r="E1041" i="1"/>
  <c r="D1041" i="1"/>
  <c r="C1041" i="1"/>
  <c r="V1040" i="1"/>
  <c r="Q1040" i="1"/>
  <c r="P1040" i="1"/>
  <c r="O1040" i="1"/>
  <c r="N1040" i="1"/>
  <c r="J1040" i="1"/>
  <c r="I1040" i="1"/>
  <c r="H1040" i="1"/>
  <c r="G1040" i="1"/>
  <c r="F1040" i="1"/>
  <c r="E1040" i="1"/>
  <c r="D1040" i="1"/>
  <c r="C1040" i="1"/>
  <c r="V1039" i="1"/>
  <c r="Q1039" i="1"/>
  <c r="P1039" i="1"/>
  <c r="O1039" i="1"/>
  <c r="N1039" i="1"/>
  <c r="J1039" i="1"/>
  <c r="I1039" i="1"/>
  <c r="H1039" i="1"/>
  <c r="G1039" i="1"/>
  <c r="F1039" i="1"/>
  <c r="E1039" i="1"/>
  <c r="D1039" i="1"/>
  <c r="C1039" i="1"/>
  <c r="V1038" i="1"/>
  <c r="Q1038" i="1"/>
  <c r="P1038" i="1"/>
  <c r="O1038" i="1"/>
  <c r="N1038" i="1"/>
  <c r="J1038" i="1"/>
  <c r="I1038" i="1"/>
  <c r="H1038" i="1"/>
  <c r="G1038" i="1"/>
  <c r="F1038" i="1"/>
  <c r="E1038" i="1"/>
  <c r="D1038" i="1"/>
  <c r="C1038" i="1"/>
  <c r="V1037" i="1"/>
  <c r="Q1037" i="1"/>
  <c r="P1037" i="1"/>
  <c r="O1037" i="1"/>
  <c r="N1037" i="1"/>
  <c r="J1037" i="1"/>
  <c r="I1037" i="1"/>
  <c r="H1037" i="1"/>
  <c r="G1037" i="1"/>
  <c r="F1037" i="1"/>
  <c r="E1037" i="1"/>
  <c r="D1037" i="1"/>
  <c r="C1037" i="1"/>
  <c r="V1036" i="1"/>
  <c r="Q1036" i="1"/>
  <c r="P1036" i="1"/>
  <c r="O1036" i="1"/>
  <c r="N1036" i="1"/>
  <c r="J1036" i="1"/>
  <c r="I1036" i="1"/>
  <c r="H1036" i="1"/>
  <c r="G1036" i="1"/>
  <c r="F1036" i="1"/>
  <c r="E1036" i="1"/>
  <c r="D1036" i="1"/>
  <c r="C1036" i="1"/>
  <c r="V1035" i="1"/>
  <c r="Q1035" i="1"/>
  <c r="P1035" i="1"/>
  <c r="O1035" i="1"/>
  <c r="N1035" i="1"/>
  <c r="J1035" i="1"/>
  <c r="I1035" i="1"/>
  <c r="H1035" i="1"/>
  <c r="G1035" i="1"/>
  <c r="F1035" i="1"/>
  <c r="E1035" i="1"/>
  <c r="D1035" i="1"/>
  <c r="C1035" i="1"/>
  <c r="V1034" i="1"/>
  <c r="Q1034" i="1"/>
  <c r="P1034" i="1"/>
  <c r="O1034" i="1"/>
  <c r="N1034" i="1"/>
  <c r="J1034" i="1"/>
  <c r="I1034" i="1"/>
  <c r="H1034" i="1"/>
  <c r="G1034" i="1"/>
  <c r="F1034" i="1"/>
  <c r="E1034" i="1"/>
  <c r="D1034" i="1"/>
  <c r="C1034" i="1"/>
  <c r="V1033" i="1"/>
  <c r="Q1033" i="1"/>
  <c r="P1033" i="1"/>
  <c r="O1033" i="1"/>
  <c r="N1033" i="1"/>
  <c r="J1033" i="1"/>
  <c r="I1033" i="1"/>
  <c r="H1033" i="1"/>
  <c r="G1033" i="1"/>
  <c r="F1033" i="1"/>
  <c r="E1033" i="1"/>
  <c r="D1033" i="1"/>
  <c r="C1033" i="1"/>
  <c r="V1032" i="1"/>
  <c r="Q1032" i="1"/>
  <c r="P1032" i="1"/>
  <c r="O1032" i="1"/>
  <c r="N1032" i="1"/>
  <c r="J1032" i="1"/>
  <c r="I1032" i="1"/>
  <c r="H1032" i="1"/>
  <c r="G1032" i="1"/>
  <c r="F1032" i="1"/>
  <c r="E1032" i="1"/>
  <c r="D1032" i="1"/>
  <c r="C1032" i="1"/>
  <c r="V1031" i="1"/>
  <c r="Q1031" i="1"/>
  <c r="P1031" i="1"/>
  <c r="O1031" i="1"/>
  <c r="N1031" i="1"/>
  <c r="J1031" i="1"/>
  <c r="I1031" i="1"/>
  <c r="H1031" i="1"/>
  <c r="G1031" i="1"/>
  <c r="F1031" i="1"/>
  <c r="E1031" i="1"/>
  <c r="D1031" i="1"/>
  <c r="C1031" i="1"/>
  <c r="V1030" i="1"/>
  <c r="Q1030" i="1"/>
  <c r="P1030" i="1"/>
  <c r="O1030" i="1"/>
  <c r="N1030" i="1"/>
  <c r="J1030" i="1"/>
  <c r="I1030" i="1"/>
  <c r="H1030" i="1"/>
  <c r="G1030" i="1"/>
  <c r="F1030" i="1"/>
  <c r="E1030" i="1"/>
  <c r="D1030" i="1"/>
  <c r="C1030" i="1"/>
  <c r="V1029" i="1"/>
  <c r="Q1029" i="1"/>
  <c r="P1029" i="1"/>
  <c r="O1029" i="1"/>
  <c r="N1029" i="1"/>
  <c r="J1029" i="1"/>
  <c r="I1029" i="1"/>
  <c r="H1029" i="1"/>
  <c r="G1029" i="1"/>
  <c r="F1029" i="1"/>
  <c r="E1029" i="1"/>
  <c r="D1029" i="1"/>
  <c r="C1029" i="1"/>
  <c r="V1028" i="1"/>
  <c r="Q1028" i="1"/>
  <c r="P1028" i="1"/>
  <c r="O1028" i="1"/>
  <c r="N1028" i="1"/>
  <c r="J1028" i="1"/>
  <c r="I1028" i="1"/>
  <c r="H1028" i="1"/>
  <c r="G1028" i="1"/>
  <c r="F1028" i="1"/>
  <c r="E1028" i="1"/>
  <c r="D1028" i="1"/>
  <c r="C1028" i="1"/>
  <c r="V1027" i="1"/>
  <c r="Q1027" i="1"/>
  <c r="P1027" i="1"/>
  <c r="O1027" i="1"/>
  <c r="N1027" i="1"/>
  <c r="J1027" i="1"/>
  <c r="I1027" i="1"/>
  <c r="H1027" i="1"/>
  <c r="G1027" i="1"/>
  <c r="F1027" i="1"/>
  <c r="E1027" i="1"/>
  <c r="D1027" i="1"/>
  <c r="C1027" i="1"/>
  <c r="V1026" i="1"/>
  <c r="Q1026" i="1"/>
  <c r="P1026" i="1"/>
  <c r="O1026" i="1"/>
  <c r="N1026" i="1"/>
  <c r="J1026" i="1"/>
  <c r="I1026" i="1"/>
  <c r="H1026" i="1"/>
  <c r="G1026" i="1"/>
  <c r="F1026" i="1"/>
  <c r="E1026" i="1"/>
  <c r="D1026" i="1"/>
  <c r="C1026" i="1"/>
  <c r="V1025" i="1"/>
  <c r="Q1025" i="1"/>
  <c r="P1025" i="1"/>
  <c r="O1025" i="1"/>
  <c r="N1025" i="1"/>
  <c r="J1025" i="1"/>
  <c r="I1025" i="1"/>
  <c r="H1025" i="1"/>
  <c r="G1025" i="1"/>
  <c r="F1025" i="1"/>
  <c r="E1025" i="1"/>
  <c r="D1025" i="1"/>
  <c r="C1025" i="1"/>
  <c r="V1024" i="1"/>
  <c r="Q1024" i="1"/>
  <c r="P1024" i="1"/>
  <c r="O1024" i="1"/>
  <c r="N1024" i="1"/>
  <c r="J1024" i="1"/>
  <c r="I1024" i="1"/>
  <c r="H1024" i="1"/>
  <c r="G1024" i="1"/>
  <c r="F1024" i="1"/>
  <c r="E1024" i="1"/>
  <c r="D1024" i="1"/>
  <c r="C1024" i="1"/>
  <c r="V1023" i="1"/>
  <c r="Q1023" i="1"/>
  <c r="P1023" i="1"/>
  <c r="O1023" i="1"/>
  <c r="N1023" i="1"/>
  <c r="J1023" i="1"/>
  <c r="I1023" i="1"/>
  <c r="H1023" i="1"/>
  <c r="G1023" i="1"/>
  <c r="F1023" i="1"/>
  <c r="E1023" i="1"/>
  <c r="D1023" i="1"/>
  <c r="C1023" i="1"/>
  <c r="V1022" i="1"/>
  <c r="Q1022" i="1"/>
  <c r="P1022" i="1"/>
  <c r="O1022" i="1"/>
  <c r="N1022" i="1"/>
  <c r="J1022" i="1"/>
  <c r="I1022" i="1"/>
  <c r="H1022" i="1"/>
  <c r="G1022" i="1"/>
  <c r="F1022" i="1"/>
  <c r="E1022" i="1"/>
  <c r="D1022" i="1"/>
  <c r="C1022" i="1"/>
  <c r="V1021" i="1"/>
  <c r="Q1021" i="1"/>
  <c r="P1021" i="1"/>
  <c r="O1021" i="1"/>
  <c r="N1021" i="1"/>
  <c r="J1021" i="1"/>
  <c r="I1021" i="1"/>
  <c r="H1021" i="1"/>
  <c r="G1021" i="1"/>
  <c r="F1021" i="1"/>
  <c r="E1021" i="1"/>
  <c r="D1021" i="1"/>
  <c r="C1021" i="1"/>
  <c r="V1020" i="1"/>
  <c r="Q1020" i="1"/>
  <c r="P1020" i="1"/>
  <c r="O1020" i="1"/>
  <c r="N1020" i="1"/>
  <c r="J1020" i="1"/>
  <c r="I1020" i="1"/>
  <c r="H1020" i="1"/>
  <c r="G1020" i="1"/>
  <c r="F1020" i="1"/>
  <c r="E1020" i="1"/>
  <c r="D1020" i="1"/>
  <c r="C1020" i="1"/>
  <c r="V1019" i="1"/>
  <c r="Q1019" i="1"/>
  <c r="P1019" i="1"/>
  <c r="O1019" i="1"/>
  <c r="N1019" i="1"/>
  <c r="J1019" i="1"/>
  <c r="I1019" i="1"/>
  <c r="H1019" i="1"/>
  <c r="G1019" i="1"/>
  <c r="F1019" i="1"/>
  <c r="E1019" i="1"/>
  <c r="D1019" i="1"/>
  <c r="C1019" i="1"/>
  <c r="V1018" i="1"/>
  <c r="Q1018" i="1"/>
  <c r="P1018" i="1"/>
  <c r="O1018" i="1"/>
  <c r="N1018" i="1"/>
  <c r="J1018" i="1"/>
  <c r="I1018" i="1"/>
  <c r="H1018" i="1"/>
  <c r="G1018" i="1"/>
  <c r="F1018" i="1"/>
  <c r="E1018" i="1"/>
  <c r="D1018" i="1"/>
  <c r="C1018" i="1"/>
  <c r="V1017" i="1"/>
  <c r="Q1017" i="1"/>
  <c r="P1017" i="1"/>
  <c r="O1017" i="1"/>
  <c r="N1017" i="1"/>
  <c r="J1017" i="1"/>
  <c r="I1017" i="1"/>
  <c r="H1017" i="1"/>
  <c r="G1017" i="1"/>
  <c r="F1017" i="1"/>
  <c r="E1017" i="1"/>
  <c r="D1017" i="1"/>
  <c r="C1017" i="1"/>
  <c r="V1016" i="1"/>
  <c r="Q1016" i="1"/>
  <c r="P1016" i="1"/>
  <c r="O1016" i="1"/>
  <c r="N1016" i="1"/>
  <c r="J1016" i="1"/>
  <c r="I1016" i="1"/>
  <c r="H1016" i="1"/>
  <c r="G1016" i="1"/>
  <c r="F1016" i="1"/>
  <c r="E1016" i="1"/>
  <c r="D1016" i="1"/>
  <c r="C1016" i="1"/>
  <c r="V1015" i="1"/>
  <c r="Q1015" i="1"/>
  <c r="P1015" i="1"/>
  <c r="O1015" i="1"/>
  <c r="N1015" i="1"/>
  <c r="J1015" i="1"/>
  <c r="I1015" i="1"/>
  <c r="H1015" i="1"/>
  <c r="G1015" i="1"/>
  <c r="F1015" i="1"/>
  <c r="E1015" i="1"/>
  <c r="D1015" i="1"/>
  <c r="C1015" i="1"/>
  <c r="V1014" i="1"/>
  <c r="Q1014" i="1"/>
  <c r="P1014" i="1"/>
  <c r="O1014" i="1"/>
  <c r="N1014" i="1"/>
  <c r="J1014" i="1"/>
  <c r="I1014" i="1"/>
  <c r="H1014" i="1"/>
  <c r="G1014" i="1"/>
  <c r="F1014" i="1"/>
  <c r="E1014" i="1"/>
  <c r="D1014" i="1"/>
  <c r="C1014" i="1"/>
  <c r="V1013" i="1"/>
  <c r="Q1013" i="1"/>
  <c r="P1013" i="1"/>
  <c r="O1013" i="1"/>
  <c r="N1013" i="1"/>
  <c r="J1013" i="1"/>
  <c r="I1013" i="1"/>
  <c r="H1013" i="1"/>
  <c r="G1013" i="1"/>
  <c r="F1013" i="1"/>
  <c r="E1013" i="1"/>
  <c r="D1013" i="1"/>
  <c r="C1013" i="1"/>
  <c r="V1012" i="1"/>
  <c r="Q1012" i="1"/>
  <c r="P1012" i="1"/>
  <c r="O1012" i="1"/>
  <c r="N1012" i="1"/>
  <c r="J1012" i="1"/>
  <c r="I1012" i="1"/>
  <c r="H1012" i="1"/>
  <c r="G1012" i="1"/>
  <c r="F1012" i="1"/>
  <c r="E1012" i="1"/>
  <c r="D1012" i="1"/>
  <c r="C1012" i="1"/>
  <c r="V1011" i="1"/>
  <c r="Q1011" i="1"/>
  <c r="P1011" i="1"/>
  <c r="O1011" i="1"/>
  <c r="N1011" i="1"/>
  <c r="J1011" i="1"/>
  <c r="I1011" i="1"/>
  <c r="H1011" i="1"/>
  <c r="G1011" i="1"/>
  <c r="F1011" i="1"/>
  <c r="E1011" i="1"/>
  <c r="D1011" i="1"/>
  <c r="C1011" i="1"/>
  <c r="V1010" i="1"/>
  <c r="Q1010" i="1"/>
  <c r="P1010" i="1"/>
  <c r="O1010" i="1"/>
  <c r="N1010" i="1"/>
  <c r="J1010" i="1"/>
  <c r="I1010" i="1"/>
  <c r="H1010" i="1"/>
  <c r="G1010" i="1"/>
  <c r="F1010" i="1"/>
  <c r="E1010" i="1"/>
  <c r="D1010" i="1"/>
  <c r="C1010" i="1"/>
  <c r="V1009" i="1"/>
  <c r="Q1009" i="1"/>
  <c r="P1009" i="1"/>
  <c r="O1009" i="1"/>
  <c r="N1009" i="1"/>
  <c r="J1009" i="1"/>
  <c r="I1009" i="1"/>
  <c r="H1009" i="1"/>
  <c r="G1009" i="1"/>
  <c r="F1009" i="1"/>
  <c r="E1009" i="1"/>
  <c r="D1009" i="1"/>
  <c r="C1009" i="1"/>
  <c r="V1008" i="1"/>
  <c r="Q1008" i="1"/>
  <c r="P1008" i="1"/>
  <c r="O1008" i="1"/>
  <c r="N1008" i="1"/>
  <c r="J1008" i="1"/>
  <c r="I1008" i="1"/>
  <c r="H1008" i="1"/>
  <c r="G1008" i="1"/>
  <c r="F1008" i="1"/>
  <c r="E1008" i="1"/>
  <c r="D1008" i="1"/>
  <c r="C1008" i="1"/>
  <c r="V1007" i="1"/>
  <c r="Q1007" i="1"/>
  <c r="P1007" i="1"/>
  <c r="O1007" i="1"/>
  <c r="N1007" i="1"/>
  <c r="J1007" i="1"/>
  <c r="I1007" i="1"/>
  <c r="H1007" i="1"/>
  <c r="G1007" i="1"/>
  <c r="F1007" i="1"/>
  <c r="E1007" i="1"/>
  <c r="D1007" i="1"/>
  <c r="C1007" i="1"/>
  <c r="V1006" i="1"/>
  <c r="Q1006" i="1"/>
  <c r="P1006" i="1"/>
  <c r="O1006" i="1"/>
  <c r="N1006" i="1"/>
  <c r="J1006" i="1"/>
  <c r="I1006" i="1"/>
  <c r="H1006" i="1"/>
  <c r="G1006" i="1"/>
  <c r="F1006" i="1"/>
  <c r="E1006" i="1"/>
  <c r="D1006" i="1"/>
  <c r="C1006" i="1"/>
  <c r="V1005" i="1"/>
  <c r="Q1005" i="1"/>
  <c r="P1005" i="1"/>
  <c r="O1005" i="1"/>
  <c r="N1005" i="1"/>
  <c r="J1005" i="1"/>
  <c r="I1005" i="1"/>
  <c r="H1005" i="1"/>
  <c r="G1005" i="1"/>
  <c r="F1005" i="1"/>
  <c r="E1005" i="1"/>
  <c r="D1005" i="1"/>
  <c r="C1005" i="1"/>
  <c r="V1004" i="1"/>
  <c r="Q1004" i="1"/>
  <c r="P1004" i="1"/>
  <c r="O1004" i="1"/>
  <c r="N1004" i="1"/>
  <c r="J1004" i="1"/>
  <c r="I1004" i="1"/>
  <c r="H1004" i="1"/>
  <c r="G1004" i="1"/>
  <c r="F1004" i="1"/>
  <c r="E1004" i="1"/>
  <c r="D1004" i="1"/>
  <c r="C1004" i="1"/>
  <c r="V1003" i="1"/>
  <c r="Q1003" i="1"/>
  <c r="P1003" i="1"/>
  <c r="O1003" i="1"/>
  <c r="N1003" i="1"/>
  <c r="J1003" i="1"/>
  <c r="I1003" i="1"/>
  <c r="H1003" i="1"/>
  <c r="G1003" i="1"/>
  <c r="F1003" i="1"/>
  <c r="E1003" i="1"/>
  <c r="D1003" i="1"/>
  <c r="C1003" i="1"/>
  <c r="V1002" i="1"/>
  <c r="Q1002" i="1"/>
  <c r="P1002" i="1"/>
  <c r="O1002" i="1"/>
  <c r="N1002" i="1"/>
  <c r="J1002" i="1"/>
  <c r="I1002" i="1"/>
  <c r="H1002" i="1"/>
  <c r="G1002" i="1"/>
  <c r="F1002" i="1"/>
  <c r="E1002" i="1"/>
  <c r="D1002" i="1"/>
  <c r="C1002" i="1"/>
  <c r="V1001" i="1"/>
  <c r="Q1001" i="1"/>
  <c r="P1001" i="1"/>
  <c r="O1001" i="1"/>
  <c r="N1001" i="1"/>
  <c r="J1001" i="1"/>
  <c r="I1001" i="1"/>
  <c r="H1001" i="1"/>
  <c r="G1001" i="1"/>
  <c r="F1001" i="1"/>
  <c r="E1001" i="1"/>
  <c r="D1001" i="1"/>
  <c r="C1001" i="1"/>
  <c r="V1000" i="1"/>
  <c r="Q1000" i="1"/>
  <c r="P1000" i="1"/>
  <c r="O1000" i="1"/>
  <c r="N1000" i="1"/>
  <c r="J1000" i="1"/>
  <c r="I1000" i="1"/>
  <c r="H1000" i="1"/>
  <c r="G1000" i="1"/>
  <c r="F1000" i="1"/>
  <c r="E1000" i="1"/>
  <c r="D1000" i="1"/>
  <c r="C1000" i="1"/>
  <c r="V999" i="1"/>
  <c r="Q999" i="1"/>
  <c r="P999" i="1"/>
  <c r="O999" i="1"/>
  <c r="N999" i="1"/>
  <c r="J999" i="1"/>
  <c r="I999" i="1"/>
  <c r="H999" i="1"/>
  <c r="G999" i="1"/>
  <c r="F999" i="1"/>
  <c r="E999" i="1"/>
  <c r="D999" i="1"/>
  <c r="C999" i="1"/>
  <c r="V998" i="1"/>
  <c r="Q998" i="1"/>
  <c r="P998" i="1"/>
  <c r="O998" i="1"/>
  <c r="N998" i="1"/>
  <c r="J998" i="1"/>
  <c r="I998" i="1"/>
  <c r="H998" i="1"/>
  <c r="G998" i="1"/>
  <c r="F998" i="1"/>
  <c r="E998" i="1"/>
  <c r="D998" i="1"/>
  <c r="C998" i="1"/>
  <c r="V997" i="1"/>
  <c r="Q997" i="1"/>
  <c r="P997" i="1"/>
  <c r="O997" i="1"/>
  <c r="N997" i="1"/>
  <c r="J997" i="1"/>
  <c r="I997" i="1"/>
  <c r="H997" i="1"/>
  <c r="G997" i="1"/>
  <c r="F997" i="1"/>
  <c r="E997" i="1"/>
  <c r="D997" i="1"/>
  <c r="C997" i="1"/>
  <c r="V996" i="1"/>
  <c r="Q996" i="1"/>
  <c r="P996" i="1"/>
  <c r="O996" i="1"/>
  <c r="N996" i="1"/>
  <c r="J996" i="1"/>
  <c r="I996" i="1"/>
  <c r="H996" i="1"/>
  <c r="G996" i="1"/>
  <c r="F996" i="1"/>
  <c r="E996" i="1"/>
  <c r="D996" i="1"/>
  <c r="C996" i="1"/>
  <c r="V995" i="1"/>
  <c r="Q995" i="1"/>
  <c r="P995" i="1"/>
  <c r="O995" i="1"/>
  <c r="N995" i="1"/>
  <c r="J995" i="1"/>
  <c r="I995" i="1"/>
  <c r="H995" i="1"/>
  <c r="G995" i="1"/>
  <c r="F995" i="1"/>
  <c r="E995" i="1"/>
  <c r="D995" i="1"/>
  <c r="C995" i="1"/>
  <c r="V994" i="1"/>
  <c r="Q994" i="1"/>
  <c r="P994" i="1"/>
  <c r="O994" i="1"/>
  <c r="N994" i="1"/>
  <c r="J994" i="1"/>
  <c r="I994" i="1"/>
  <c r="H994" i="1"/>
  <c r="G994" i="1"/>
  <c r="F994" i="1"/>
  <c r="E994" i="1"/>
  <c r="D994" i="1"/>
  <c r="C994" i="1"/>
  <c r="V993" i="1"/>
  <c r="Q993" i="1"/>
  <c r="P993" i="1"/>
  <c r="O993" i="1"/>
  <c r="N993" i="1"/>
  <c r="J993" i="1"/>
  <c r="I993" i="1"/>
  <c r="H993" i="1"/>
  <c r="G993" i="1"/>
  <c r="F993" i="1"/>
  <c r="E993" i="1"/>
  <c r="D993" i="1"/>
  <c r="C993" i="1"/>
  <c r="V992" i="1"/>
  <c r="Q992" i="1"/>
  <c r="P992" i="1"/>
  <c r="O992" i="1"/>
  <c r="N992" i="1"/>
  <c r="J992" i="1"/>
  <c r="I992" i="1"/>
  <c r="H992" i="1"/>
  <c r="G992" i="1"/>
  <c r="F992" i="1"/>
  <c r="E992" i="1"/>
  <c r="D992" i="1"/>
  <c r="C992" i="1"/>
  <c r="V991" i="1"/>
  <c r="Q991" i="1"/>
  <c r="P991" i="1"/>
  <c r="O991" i="1"/>
  <c r="N991" i="1"/>
  <c r="J991" i="1"/>
  <c r="I991" i="1"/>
  <c r="H991" i="1"/>
  <c r="G991" i="1"/>
  <c r="F991" i="1"/>
  <c r="E991" i="1"/>
  <c r="D991" i="1"/>
  <c r="C991" i="1"/>
  <c r="V990" i="1"/>
  <c r="Q990" i="1"/>
  <c r="P990" i="1"/>
  <c r="O990" i="1"/>
  <c r="N990" i="1"/>
  <c r="J990" i="1"/>
  <c r="I990" i="1"/>
  <c r="H990" i="1"/>
  <c r="G990" i="1"/>
  <c r="F990" i="1"/>
  <c r="E990" i="1"/>
  <c r="D990" i="1"/>
  <c r="C990" i="1"/>
  <c r="V989" i="1"/>
  <c r="Q989" i="1"/>
  <c r="P989" i="1"/>
  <c r="O989" i="1"/>
  <c r="N989" i="1"/>
  <c r="J989" i="1"/>
  <c r="I989" i="1"/>
  <c r="H989" i="1"/>
  <c r="G989" i="1"/>
  <c r="F989" i="1"/>
  <c r="E989" i="1"/>
  <c r="D989" i="1"/>
  <c r="C989" i="1"/>
  <c r="V988" i="1"/>
  <c r="Q988" i="1"/>
  <c r="P988" i="1"/>
  <c r="O988" i="1"/>
  <c r="N988" i="1"/>
  <c r="J988" i="1"/>
  <c r="I988" i="1"/>
  <c r="H988" i="1"/>
  <c r="G988" i="1"/>
  <c r="F988" i="1"/>
  <c r="E988" i="1"/>
  <c r="D988" i="1"/>
  <c r="C988" i="1"/>
  <c r="V987" i="1"/>
  <c r="Q987" i="1"/>
  <c r="P987" i="1"/>
  <c r="O987" i="1"/>
  <c r="N987" i="1"/>
  <c r="J987" i="1"/>
  <c r="I987" i="1"/>
  <c r="H987" i="1"/>
  <c r="G987" i="1"/>
  <c r="F987" i="1"/>
  <c r="E987" i="1"/>
  <c r="D987" i="1"/>
  <c r="C987" i="1"/>
  <c r="V986" i="1"/>
  <c r="Q986" i="1"/>
  <c r="P986" i="1"/>
  <c r="O986" i="1"/>
  <c r="N986" i="1"/>
  <c r="J986" i="1"/>
  <c r="I986" i="1"/>
  <c r="H986" i="1"/>
  <c r="G986" i="1"/>
  <c r="F986" i="1"/>
  <c r="E986" i="1"/>
  <c r="D986" i="1"/>
  <c r="C986" i="1"/>
  <c r="V985" i="1"/>
  <c r="Q985" i="1"/>
  <c r="P985" i="1"/>
  <c r="O985" i="1"/>
  <c r="N985" i="1"/>
  <c r="J985" i="1"/>
  <c r="I985" i="1"/>
  <c r="H985" i="1"/>
  <c r="G985" i="1"/>
  <c r="F985" i="1"/>
  <c r="E985" i="1"/>
  <c r="D985" i="1"/>
  <c r="C985" i="1"/>
  <c r="V984" i="1"/>
  <c r="Q984" i="1"/>
  <c r="P984" i="1"/>
  <c r="O984" i="1"/>
  <c r="N984" i="1"/>
  <c r="J984" i="1"/>
  <c r="I984" i="1"/>
  <c r="H984" i="1"/>
  <c r="G984" i="1"/>
  <c r="F984" i="1"/>
  <c r="E984" i="1"/>
  <c r="D984" i="1"/>
  <c r="C984" i="1"/>
  <c r="V983" i="1"/>
  <c r="Q983" i="1"/>
  <c r="P983" i="1"/>
  <c r="O983" i="1"/>
  <c r="N983" i="1"/>
  <c r="J983" i="1"/>
  <c r="I983" i="1"/>
  <c r="H983" i="1"/>
  <c r="G983" i="1"/>
  <c r="F983" i="1"/>
  <c r="E983" i="1"/>
  <c r="D983" i="1"/>
  <c r="C983" i="1"/>
  <c r="V982" i="1"/>
  <c r="Q982" i="1"/>
  <c r="P982" i="1"/>
  <c r="O982" i="1"/>
  <c r="N982" i="1"/>
  <c r="J982" i="1"/>
  <c r="I982" i="1"/>
  <c r="H982" i="1"/>
  <c r="G982" i="1"/>
  <c r="F982" i="1"/>
  <c r="E982" i="1"/>
  <c r="D982" i="1"/>
  <c r="C982" i="1"/>
  <c r="V981" i="1"/>
  <c r="Q981" i="1"/>
  <c r="P981" i="1"/>
  <c r="O981" i="1"/>
  <c r="N981" i="1"/>
  <c r="J981" i="1"/>
  <c r="I981" i="1"/>
  <c r="H981" i="1"/>
  <c r="G981" i="1"/>
  <c r="F981" i="1"/>
  <c r="E981" i="1"/>
  <c r="D981" i="1"/>
  <c r="C981" i="1"/>
  <c r="V980" i="1"/>
  <c r="Q980" i="1"/>
  <c r="P980" i="1"/>
  <c r="O980" i="1"/>
  <c r="N980" i="1"/>
  <c r="J980" i="1"/>
  <c r="I980" i="1"/>
  <c r="H980" i="1"/>
  <c r="G980" i="1"/>
  <c r="F980" i="1"/>
  <c r="E980" i="1"/>
  <c r="D980" i="1"/>
  <c r="C980" i="1"/>
  <c r="V979" i="1"/>
  <c r="Q979" i="1"/>
  <c r="P979" i="1"/>
  <c r="O979" i="1"/>
  <c r="N979" i="1"/>
  <c r="J979" i="1"/>
  <c r="I979" i="1"/>
  <c r="H979" i="1"/>
  <c r="G979" i="1"/>
  <c r="F979" i="1"/>
  <c r="E979" i="1"/>
  <c r="D979" i="1"/>
  <c r="C979" i="1"/>
  <c r="V978" i="1"/>
  <c r="Q978" i="1"/>
  <c r="P978" i="1"/>
  <c r="O978" i="1"/>
  <c r="N978" i="1"/>
  <c r="J978" i="1"/>
  <c r="I978" i="1"/>
  <c r="H978" i="1"/>
  <c r="G978" i="1"/>
  <c r="F978" i="1"/>
  <c r="E978" i="1"/>
  <c r="D978" i="1"/>
  <c r="C978" i="1"/>
  <c r="V977" i="1"/>
  <c r="Q977" i="1"/>
  <c r="P977" i="1"/>
  <c r="O977" i="1"/>
  <c r="N977" i="1"/>
  <c r="J977" i="1"/>
  <c r="I977" i="1"/>
  <c r="H977" i="1"/>
  <c r="G977" i="1"/>
  <c r="F977" i="1"/>
  <c r="E977" i="1"/>
  <c r="D977" i="1"/>
  <c r="C977" i="1"/>
  <c r="V976" i="1"/>
  <c r="Q976" i="1"/>
  <c r="P976" i="1"/>
  <c r="O976" i="1"/>
  <c r="N976" i="1"/>
  <c r="J976" i="1"/>
  <c r="I976" i="1"/>
  <c r="H976" i="1"/>
  <c r="G976" i="1"/>
  <c r="F976" i="1"/>
  <c r="E976" i="1"/>
  <c r="D976" i="1"/>
  <c r="C976" i="1"/>
  <c r="V975" i="1"/>
  <c r="Q975" i="1"/>
  <c r="P975" i="1"/>
  <c r="O975" i="1"/>
  <c r="N975" i="1"/>
  <c r="J975" i="1"/>
  <c r="I975" i="1"/>
  <c r="H975" i="1"/>
  <c r="G975" i="1"/>
  <c r="F975" i="1"/>
  <c r="E975" i="1"/>
  <c r="D975" i="1"/>
  <c r="C975" i="1"/>
  <c r="V974" i="1"/>
  <c r="Q974" i="1"/>
  <c r="P974" i="1"/>
  <c r="O974" i="1"/>
  <c r="N974" i="1"/>
  <c r="J974" i="1"/>
  <c r="I974" i="1"/>
  <c r="H974" i="1"/>
  <c r="G974" i="1"/>
  <c r="F974" i="1"/>
  <c r="E974" i="1"/>
  <c r="D974" i="1"/>
  <c r="C974" i="1"/>
  <c r="V973" i="1"/>
  <c r="Q973" i="1"/>
  <c r="P973" i="1"/>
  <c r="O973" i="1"/>
  <c r="N973" i="1"/>
  <c r="J973" i="1"/>
  <c r="I973" i="1"/>
  <c r="H973" i="1"/>
  <c r="G973" i="1"/>
  <c r="F973" i="1"/>
  <c r="E973" i="1"/>
  <c r="D973" i="1"/>
  <c r="C973" i="1"/>
  <c r="V972" i="1"/>
  <c r="Q972" i="1"/>
  <c r="P972" i="1"/>
  <c r="O972" i="1"/>
  <c r="N972" i="1"/>
  <c r="J972" i="1"/>
  <c r="I972" i="1"/>
  <c r="H972" i="1"/>
  <c r="G972" i="1"/>
  <c r="F972" i="1"/>
  <c r="E972" i="1"/>
  <c r="D972" i="1"/>
  <c r="C972" i="1"/>
  <c r="V971" i="1"/>
  <c r="Q971" i="1"/>
  <c r="P971" i="1"/>
  <c r="O971" i="1"/>
  <c r="N971" i="1"/>
  <c r="J971" i="1"/>
  <c r="I971" i="1"/>
  <c r="H971" i="1"/>
  <c r="G971" i="1"/>
  <c r="F971" i="1"/>
  <c r="E971" i="1"/>
  <c r="D971" i="1"/>
  <c r="C971" i="1"/>
  <c r="V970" i="1"/>
  <c r="Q970" i="1"/>
  <c r="P970" i="1"/>
  <c r="O970" i="1"/>
  <c r="N970" i="1"/>
  <c r="J970" i="1"/>
  <c r="I970" i="1"/>
  <c r="H970" i="1"/>
  <c r="G970" i="1"/>
  <c r="F970" i="1"/>
  <c r="E970" i="1"/>
  <c r="D970" i="1"/>
  <c r="C970" i="1"/>
  <c r="V969" i="1"/>
  <c r="Q969" i="1"/>
  <c r="P969" i="1"/>
  <c r="O969" i="1"/>
  <c r="N969" i="1"/>
  <c r="J969" i="1"/>
  <c r="I969" i="1"/>
  <c r="H969" i="1"/>
  <c r="G969" i="1"/>
  <c r="F969" i="1"/>
  <c r="E969" i="1"/>
  <c r="D969" i="1"/>
  <c r="C969" i="1"/>
  <c r="V968" i="1"/>
  <c r="Q968" i="1"/>
  <c r="P968" i="1"/>
  <c r="O968" i="1"/>
  <c r="N968" i="1"/>
  <c r="J968" i="1"/>
  <c r="I968" i="1"/>
  <c r="H968" i="1"/>
  <c r="G968" i="1"/>
  <c r="F968" i="1"/>
  <c r="E968" i="1"/>
  <c r="D968" i="1"/>
  <c r="C968" i="1"/>
  <c r="V967" i="1"/>
  <c r="Q967" i="1"/>
  <c r="P967" i="1"/>
  <c r="O967" i="1"/>
  <c r="N967" i="1"/>
  <c r="J967" i="1"/>
  <c r="I967" i="1"/>
  <c r="H967" i="1"/>
  <c r="G967" i="1"/>
  <c r="F967" i="1"/>
  <c r="E967" i="1"/>
  <c r="D967" i="1"/>
  <c r="C967" i="1"/>
  <c r="V966" i="1"/>
  <c r="Q966" i="1"/>
  <c r="P966" i="1"/>
  <c r="O966" i="1"/>
  <c r="N966" i="1"/>
  <c r="J966" i="1"/>
  <c r="I966" i="1"/>
  <c r="H966" i="1"/>
  <c r="G966" i="1"/>
  <c r="F966" i="1"/>
  <c r="E966" i="1"/>
  <c r="D966" i="1"/>
  <c r="C966" i="1"/>
  <c r="V965" i="1"/>
  <c r="Q965" i="1"/>
  <c r="P965" i="1"/>
  <c r="O965" i="1"/>
  <c r="N965" i="1"/>
  <c r="J965" i="1"/>
  <c r="I965" i="1"/>
  <c r="H965" i="1"/>
  <c r="G965" i="1"/>
  <c r="F965" i="1"/>
  <c r="E965" i="1"/>
  <c r="D965" i="1"/>
  <c r="C965" i="1"/>
  <c r="V964" i="1"/>
  <c r="Q964" i="1"/>
  <c r="P964" i="1"/>
  <c r="O964" i="1"/>
  <c r="N964" i="1"/>
  <c r="J964" i="1"/>
  <c r="I964" i="1"/>
  <c r="H964" i="1"/>
  <c r="G964" i="1"/>
  <c r="F964" i="1"/>
  <c r="E964" i="1"/>
  <c r="D964" i="1"/>
  <c r="C964" i="1"/>
  <c r="V963" i="1"/>
  <c r="Q963" i="1"/>
  <c r="P963" i="1"/>
  <c r="O963" i="1"/>
  <c r="N963" i="1"/>
  <c r="J963" i="1"/>
  <c r="I963" i="1"/>
  <c r="H963" i="1"/>
  <c r="G963" i="1"/>
  <c r="F963" i="1"/>
  <c r="E963" i="1"/>
  <c r="D963" i="1"/>
  <c r="C963" i="1"/>
  <c r="V962" i="1"/>
  <c r="Q962" i="1"/>
  <c r="P962" i="1"/>
  <c r="O962" i="1"/>
  <c r="N962" i="1"/>
  <c r="J962" i="1"/>
  <c r="I962" i="1"/>
  <c r="H962" i="1"/>
  <c r="G962" i="1"/>
  <c r="F962" i="1"/>
  <c r="E962" i="1"/>
  <c r="D962" i="1"/>
  <c r="C962" i="1"/>
  <c r="V961" i="1"/>
  <c r="Q961" i="1"/>
  <c r="P961" i="1"/>
  <c r="O961" i="1"/>
  <c r="N961" i="1"/>
  <c r="J961" i="1"/>
  <c r="I961" i="1"/>
  <c r="H961" i="1"/>
  <c r="G961" i="1"/>
  <c r="F961" i="1"/>
  <c r="E961" i="1"/>
  <c r="D961" i="1"/>
  <c r="C961" i="1"/>
  <c r="V960" i="1"/>
  <c r="Q960" i="1"/>
  <c r="P960" i="1"/>
  <c r="O960" i="1"/>
  <c r="N960" i="1"/>
  <c r="J960" i="1"/>
  <c r="I960" i="1"/>
  <c r="H960" i="1"/>
  <c r="G960" i="1"/>
  <c r="F960" i="1"/>
  <c r="E960" i="1"/>
  <c r="D960" i="1"/>
  <c r="C960" i="1"/>
  <c r="V959" i="1"/>
  <c r="Q959" i="1"/>
  <c r="P959" i="1"/>
  <c r="O959" i="1"/>
  <c r="N959" i="1"/>
  <c r="J959" i="1"/>
  <c r="I959" i="1"/>
  <c r="H959" i="1"/>
  <c r="G959" i="1"/>
  <c r="F959" i="1"/>
  <c r="E959" i="1"/>
  <c r="D959" i="1"/>
  <c r="C959" i="1"/>
  <c r="V958" i="1"/>
  <c r="Q958" i="1"/>
  <c r="P958" i="1"/>
  <c r="O958" i="1"/>
  <c r="N958" i="1"/>
  <c r="J958" i="1"/>
  <c r="I958" i="1"/>
  <c r="H958" i="1"/>
  <c r="G958" i="1"/>
  <c r="F958" i="1"/>
  <c r="E958" i="1"/>
  <c r="D958" i="1"/>
  <c r="C958" i="1"/>
  <c r="V957" i="1"/>
  <c r="Q957" i="1"/>
  <c r="P957" i="1"/>
  <c r="O957" i="1"/>
  <c r="N957" i="1"/>
  <c r="J957" i="1"/>
  <c r="I957" i="1"/>
  <c r="H957" i="1"/>
  <c r="G957" i="1"/>
  <c r="F957" i="1"/>
  <c r="E957" i="1"/>
  <c r="D957" i="1"/>
  <c r="C957" i="1"/>
  <c r="V956" i="1"/>
  <c r="Q956" i="1"/>
  <c r="P956" i="1"/>
  <c r="O956" i="1"/>
  <c r="N956" i="1"/>
  <c r="J956" i="1"/>
  <c r="I956" i="1"/>
  <c r="H956" i="1"/>
  <c r="G956" i="1"/>
  <c r="F956" i="1"/>
  <c r="E956" i="1"/>
  <c r="D956" i="1"/>
  <c r="C956" i="1"/>
  <c r="V955" i="1"/>
  <c r="Q955" i="1"/>
  <c r="P955" i="1"/>
  <c r="O955" i="1"/>
  <c r="N955" i="1"/>
  <c r="J955" i="1"/>
  <c r="I955" i="1"/>
  <c r="H955" i="1"/>
  <c r="G955" i="1"/>
  <c r="F955" i="1"/>
  <c r="E955" i="1"/>
  <c r="D955" i="1"/>
  <c r="C955" i="1"/>
  <c r="V954" i="1"/>
  <c r="Q954" i="1"/>
  <c r="P954" i="1"/>
  <c r="O954" i="1"/>
  <c r="N954" i="1"/>
  <c r="J954" i="1"/>
  <c r="I954" i="1"/>
  <c r="H954" i="1"/>
  <c r="G954" i="1"/>
  <c r="F954" i="1"/>
  <c r="E954" i="1"/>
  <c r="D954" i="1"/>
  <c r="C954" i="1"/>
  <c r="V953" i="1"/>
  <c r="Q953" i="1"/>
  <c r="P953" i="1"/>
  <c r="O953" i="1"/>
  <c r="N953" i="1"/>
  <c r="J953" i="1"/>
  <c r="I953" i="1"/>
  <c r="H953" i="1"/>
  <c r="G953" i="1"/>
  <c r="F953" i="1"/>
  <c r="E953" i="1"/>
  <c r="D953" i="1"/>
  <c r="C953" i="1"/>
  <c r="V952" i="1"/>
  <c r="Q952" i="1"/>
  <c r="P952" i="1"/>
  <c r="O952" i="1"/>
  <c r="N952" i="1"/>
  <c r="J952" i="1"/>
  <c r="I952" i="1"/>
  <c r="H952" i="1"/>
  <c r="G952" i="1"/>
  <c r="F952" i="1"/>
  <c r="E952" i="1"/>
  <c r="D952" i="1"/>
  <c r="C952" i="1"/>
  <c r="V951" i="1"/>
  <c r="Q951" i="1"/>
  <c r="P951" i="1"/>
  <c r="O951" i="1"/>
  <c r="N951" i="1"/>
  <c r="J951" i="1"/>
  <c r="I951" i="1"/>
  <c r="H951" i="1"/>
  <c r="G951" i="1"/>
  <c r="F951" i="1"/>
  <c r="E951" i="1"/>
  <c r="D951" i="1"/>
  <c r="C951" i="1"/>
  <c r="V950" i="1"/>
  <c r="Q950" i="1"/>
  <c r="P950" i="1"/>
  <c r="O950" i="1"/>
  <c r="N950" i="1"/>
  <c r="J950" i="1"/>
  <c r="I950" i="1"/>
  <c r="H950" i="1"/>
  <c r="G950" i="1"/>
  <c r="F950" i="1"/>
  <c r="E950" i="1"/>
  <c r="D950" i="1"/>
  <c r="C950" i="1"/>
  <c r="V949" i="1"/>
  <c r="Q949" i="1"/>
  <c r="P949" i="1"/>
  <c r="O949" i="1"/>
  <c r="N949" i="1"/>
  <c r="J949" i="1"/>
  <c r="I949" i="1"/>
  <c r="H949" i="1"/>
  <c r="G949" i="1"/>
  <c r="F949" i="1"/>
  <c r="E949" i="1"/>
  <c r="D949" i="1"/>
  <c r="C949" i="1"/>
  <c r="V948" i="1"/>
  <c r="Q948" i="1"/>
  <c r="P948" i="1"/>
  <c r="O948" i="1"/>
  <c r="N948" i="1"/>
  <c r="J948" i="1"/>
  <c r="I948" i="1"/>
  <c r="H948" i="1"/>
  <c r="G948" i="1"/>
  <c r="F948" i="1"/>
  <c r="E948" i="1"/>
  <c r="D948" i="1"/>
  <c r="C948" i="1"/>
  <c r="V947" i="1"/>
  <c r="Q947" i="1"/>
  <c r="P947" i="1"/>
  <c r="O947" i="1"/>
  <c r="N947" i="1"/>
  <c r="J947" i="1"/>
  <c r="I947" i="1"/>
  <c r="H947" i="1"/>
  <c r="G947" i="1"/>
  <c r="F947" i="1"/>
  <c r="E947" i="1"/>
  <c r="D947" i="1"/>
  <c r="C947" i="1"/>
  <c r="V946" i="1"/>
  <c r="Q946" i="1"/>
  <c r="P946" i="1"/>
  <c r="O946" i="1"/>
  <c r="N946" i="1"/>
  <c r="J946" i="1"/>
  <c r="I946" i="1"/>
  <c r="H946" i="1"/>
  <c r="G946" i="1"/>
  <c r="F946" i="1"/>
  <c r="E946" i="1"/>
  <c r="D946" i="1"/>
  <c r="C946" i="1"/>
  <c r="V945" i="1"/>
  <c r="Q945" i="1"/>
  <c r="P945" i="1"/>
  <c r="O945" i="1"/>
  <c r="N945" i="1"/>
  <c r="J945" i="1"/>
  <c r="I945" i="1"/>
  <c r="H945" i="1"/>
  <c r="G945" i="1"/>
  <c r="F945" i="1"/>
  <c r="E945" i="1"/>
  <c r="D945" i="1"/>
  <c r="C945" i="1"/>
  <c r="V944" i="1"/>
  <c r="Q944" i="1"/>
  <c r="P944" i="1"/>
  <c r="O944" i="1"/>
  <c r="N944" i="1"/>
  <c r="J944" i="1"/>
  <c r="I944" i="1"/>
  <c r="H944" i="1"/>
  <c r="G944" i="1"/>
  <c r="F944" i="1"/>
  <c r="E944" i="1"/>
  <c r="D944" i="1"/>
  <c r="C944" i="1"/>
  <c r="V943" i="1"/>
  <c r="Q943" i="1"/>
  <c r="P943" i="1"/>
  <c r="O943" i="1"/>
  <c r="N943" i="1"/>
  <c r="J943" i="1"/>
  <c r="I943" i="1"/>
  <c r="H943" i="1"/>
  <c r="G943" i="1"/>
  <c r="F943" i="1"/>
  <c r="E943" i="1"/>
  <c r="D943" i="1"/>
  <c r="C943" i="1"/>
  <c r="V942" i="1"/>
  <c r="Q942" i="1"/>
  <c r="P942" i="1"/>
  <c r="O942" i="1"/>
  <c r="N942" i="1"/>
  <c r="J942" i="1"/>
  <c r="I942" i="1"/>
  <c r="H942" i="1"/>
  <c r="G942" i="1"/>
  <c r="F942" i="1"/>
  <c r="E942" i="1"/>
  <c r="D942" i="1"/>
  <c r="C942" i="1"/>
  <c r="V941" i="1"/>
  <c r="Q941" i="1"/>
  <c r="P941" i="1"/>
  <c r="O941" i="1"/>
  <c r="N941" i="1"/>
  <c r="J941" i="1"/>
  <c r="I941" i="1"/>
  <c r="H941" i="1"/>
  <c r="G941" i="1"/>
  <c r="F941" i="1"/>
  <c r="E941" i="1"/>
  <c r="D941" i="1"/>
  <c r="C941" i="1"/>
  <c r="V940" i="1"/>
  <c r="Q940" i="1"/>
  <c r="P940" i="1"/>
  <c r="O940" i="1"/>
  <c r="N940" i="1"/>
  <c r="J940" i="1"/>
  <c r="I940" i="1"/>
  <c r="H940" i="1"/>
  <c r="G940" i="1"/>
  <c r="F940" i="1"/>
  <c r="E940" i="1"/>
  <c r="D940" i="1"/>
  <c r="C940" i="1"/>
  <c r="V939" i="1"/>
  <c r="Q939" i="1"/>
  <c r="P939" i="1"/>
  <c r="O939" i="1"/>
  <c r="N939" i="1"/>
  <c r="J939" i="1"/>
  <c r="I939" i="1"/>
  <c r="H939" i="1"/>
  <c r="G939" i="1"/>
  <c r="F939" i="1"/>
  <c r="E939" i="1"/>
  <c r="D939" i="1"/>
  <c r="C939" i="1"/>
  <c r="V938" i="1"/>
  <c r="Q938" i="1"/>
  <c r="P938" i="1"/>
  <c r="O938" i="1"/>
  <c r="N938" i="1"/>
  <c r="J938" i="1"/>
  <c r="I938" i="1"/>
  <c r="H938" i="1"/>
  <c r="G938" i="1"/>
  <c r="F938" i="1"/>
  <c r="E938" i="1"/>
  <c r="D938" i="1"/>
  <c r="C938" i="1"/>
  <c r="V937" i="1"/>
  <c r="Q937" i="1"/>
  <c r="P937" i="1"/>
  <c r="O937" i="1"/>
  <c r="N937" i="1"/>
  <c r="J937" i="1"/>
  <c r="I937" i="1"/>
  <c r="H937" i="1"/>
  <c r="G937" i="1"/>
  <c r="F937" i="1"/>
  <c r="E937" i="1"/>
  <c r="D937" i="1"/>
  <c r="C937" i="1"/>
  <c r="V936" i="1"/>
  <c r="Q936" i="1"/>
  <c r="P936" i="1"/>
  <c r="O936" i="1"/>
  <c r="N936" i="1"/>
  <c r="J936" i="1"/>
  <c r="I936" i="1"/>
  <c r="H936" i="1"/>
  <c r="G936" i="1"/>
  <c r="F936" i="1"/>
  <c r="E936" i="1"/>
  <c r="D936" i="1"/>
  <c r="C936" i="1"/>
  <c r="V935" i="1"/>
  <c r="Q935" i="1"/>
  <c r="P935" i="1"/>
  <c r="O935" i="1"/>
  <c r="N935" i="1"/>
  <c r="J935" i="1"/>
  <c r="I935" i="1"/>
  <c r="H935" i="1"/>
  <c r="G935" i="1"/>
  <c r="F935" i="1"/>
  <c r="E935" i="1"/>
  <c r="D935" i="1"/>
  <c r="C935" i="1"/>
  <c r="V934" i="1"/>
  <c r="Q934" i="1"/>
  <c r="P934" i="1"/>
  <c r="O934" i="1"/>
  <c r="N934" i="1"/>
  <c r="J934" i="1"/>
  <c r="I934" i="1"/>
  <c r="H934" i="1"/>
  <c r="G934" i="1"/>
  <c r="F934" i="1"/>
  <c r="E934" i="1"/>
  <c r="D934" i="1"/>
  <c r="C934" i="1"/>
  <c r="V933" i="1"/>
  <c r="Q933" i="1"/>
  <c r="P933" i="1"/>
  <c r="O933" i="1"/>
  <c r="N933" i="1"/>
  <c r="J933" i="1"/>
  <c r="I933" i="1"/>
  <c r="H933" i="1"/>
  <c r="G933" i="1"/>
  <c r="F933" i="1"/>
  <c r="E933" i="1"/>
  <c r="D933" i="1"/>
  <c r="C933" i="1"/>
  <c r="V932" i="1"/>
  <c r="Q932" i="1"/>
  <c r="P932" i="1"/>
  <c r="O932" i="1"/>
  <c r="N932" i="1"/>
  <c r="J932" i="1"/>
  <c r="I932" i="1"/>
  <c r="H932" i="1"/>
  <c r="G932" i="1"/>
  <c r="F932" i="1"/>
  <c r="E932" i="1"/>
  <c r="D932" i="1"/>
  <c r="C932" i="1"/>
  <c r="V931" i="1"/>
  <c r="Q931" i="1"/>
  <c r="P931" i="1"/>
  <c r="O931" i="1"/>
  <c r="N931" i="1"/>
  <c r="J931" i="1"/>
  <c r="I931" i="1"/>
  <c r="H931" i="1"/>
  <c r="G931" i="1"/>
  <c r="F931" i="1"/>
  <c r="E931" i="1"/>
  <c r="D931" i="1"/>
  <c r="C931" i="1"/>
  <c r="V930" i="1"/>
  <c r="Q930" i="1"/>
  <c r="P930" i="1"/>
  <c r="O930" i="1"/>
  <c r="N930" i="1"/>
  <c r="J930" i="1"/>
  <c r="I930" i="1"/>
  <c r="H930" i="1"/>
  <c r="G930" i="1"/>
  <c r="F930" i="1"/>
  <c r="E930" i="1"/>
  <c r="D930" i="1"/>
  <c r="C930" i="1"/>
  <c r="V929" i="1"/>
  <c r="Q929" i="1"/>
  <c r="P929" i="1"/>
  <c r="O929" i="1"/>
  <c r="N929" i="1"/>
  <c r="J929" i="1"/>
  <c r="I929" i="1"/>
  <c r="H929" i="1"/>
  <c r="G929" i="1"/>
  <c r="F929" i="1"/>
  <c r="E929" i="1"/>
  <c r="D929" i="1"/>
  <c r="C929" i="1"/>
  <c r="V928" i="1"/>
  <c r="Q928" i="1"/>
  <c r="P928" i="1"/>
  <c r="O928" i="1"/>
  <c r="N928" i="1"/>
  <c r="J928" i="1"/>
  <c r="I928" i="1"/>
  <c r="H928" i="1"/>
  <c r="G928" i="1"/>
  <c r="F928" i="1"/>
  <c r="E928" i="1"/>
  <c r="D928" i="1"/>
  <c r="C928" i="1"/>
  <c r="V927" i="1"/>
  <c r="Q927" i="1"/>
  <c r="P927" i="1"/>
  <c r="O927" i="1"/>
  <c r="N927" i="1"/>
  <c r="J927" i="1"/>
  <c r="I927" i="1"/>
  <c r="H927" i="1"/>
  <c r="G927" i="1"/>
  <c r="F927" i="1"/>
  <c r="E927" i="1"/>
  <c r="D927" i="1"/>
  <c r="C927" i="1"/>
  <c r="V926" i="1"/>
  <c r="Q926" i="1"/>
  <c r="P926" i="1"/>
  <c r="O926" i="1"/>
  <c r="N926" i="1"/>
  <c r="J926" i="1"/>
  <c r="I926" i="1"/>
  <c r="H926" i="1"/>
  <c r="G926" i="1"/>
  <c r="F926" i="1"/>
  <c r="E926" i="1"/>
  <c r="D926" i="1"/>
  <c r="C926" i="1"/>
  <c r="V925" i="1"/>
  <c r="Q925" i="1"/>
  <c r="P925" i="1"/>
  <c r="O925" i="1"/>
  <c r="N925" i="1"/>
  <c r="J925" i="1"/>
  <c r="I925" i="1"/>
  <c r="H925" i="1"/>
  <c r="G925" i="1"/>
  <c r="F925" i="1"/>
  <c r="E925" i="1"/>
  <c r="D925" i="1"/>
  <c r="C925" i="1"/>
  <c r="V924" i="1"/>
  <c r="Q924" i="1"/>
  <c r="P924" i="1"/>
  <c r="O924" i="1"/>
  <c r="N924" i="1"/>
  <c r="J924" i="1"/>
  <c r="I924" i="1"/>
  <c r="H924" i="1"/>
  <c r="G924" i="1"/>
  <c r="F924" i="1"/>
  <c r="E924" i="1"/>
  <c r="D924" i="1"/>
  <c r="C924" i="1"/>
  <c r="V923" i="1"/>
  <c r="Q923" i="1"/>
  <c r="P923" i="1"/>
  <c r="O923" i="1"/>
  <c r="N923" i="1"/>
  <c r="J923" i="1"/>
  <c r="I923" i="1"/>
  <c r="H923" i="1"/>
  <c r="G923" i="1"/>
  <c r="F923" i="1"/>
  <c r="E923" i="1"/>
  <c r="D923" i="1"/>
  <c r="C923" i="1"/>
  <c r="V922" i="1"/>
  <c r="Q922" i="1"/>
  <c r="P922" i="1"/>
  <c r="O922" i="1"/>
  <c r="N922" i="1"/>
  <c r="J922" i="1"/>
  <c r="I922" i="1"/>
  <c r="H922" i="1"/>
  <c r="G922" i="1"/>
  <c r="F922" i="1"/>
  <c r="E922" i="1"/>
  <c r="D922" i="1"/>
  <c r="C922" i="1"/>
  <c r="V921" i="1"/>
  <c r="Q921" i="1"/>
  <c r="P921" i="1"/>
  <c r="O921" i="1"/>
  <c r="N921" i="1"/>
  <c r="J921" i="1"/>
  <c r="I921" i="1"/>
  <c r="H921" i="1"/>
  <c r="G921" i="1"/>
  <c r="F921" i="1"/>
  <c r="E921" i="1"/>
  <c r="D921" i="1"/>
  <c r="C921" i="1"/>
  <c r="V920" i="1"/>
  <c r="Q920" i="1"/>
  <c r="P920" i="1"/>
  <c r="O920" i="1"/>
  <c r="N920" i="1"/>
  <c r="J920" i="1"/>
  <c r="I920" i="1"/>
  <c r="H920" i="1"/>
  <c r="G920" i="1"/>
  <c r="F920" i="1"/>
  <c r="E920" i="1"/>
  <c r="D920" i="1"/>
  <c r="C920" i="1"/>
  <c r="V919" i="1"/>
  <c r="Q919" i="1"/>
  <c r="P919" i="1"/>
  <c r="O919" i="1"/>
  <c r="N919" i="1"/>
  <c r="J919" i="1"/>
  <c r="I919" i="1"/>
  <c r="H919" i="1"/>
  <c r="G919" i="1"/>
  <c r="F919" i="1"/>
  <c r="E919" i="1"/>
  <c r="D919" i="1"/>
  <c r="C919" i="1"/>
  <c r="V918" i="1"/>
  <c r="Q918" i="1"/>
  <c r="P918" i="1"/>
  <c r="O918" i="1"/>
  <c r="N918" i="1"/>
  <c r="J918" i="1"/>
  <c r="I918" i="1"/>
  <c r="H918" i="1"/>
  <c r="G918" i="1"/>
  <c r="F918" i="1"/>
  <c r="E918" i="1"/>
  <c r="D918" i="1"/>
  <c r="C918" i="1"/>
  <c r="V917" i="1"/>
  <c r="Q917" i="1"/>
  <c r="P917" i="1"/>
  <c r="O917" i="1"/>
  <c r="N917" i="1"/>
  <c r="J917" i="1"/>
  <c r="I917" i="1"/>
  <c r="H917" i="1"/>
  <c r="G917" i="1"/>
  <c r="F917" i="1"/>
  <c r="E917" i="1"/>
  <c r="D917" i="1"/>
  <c r="C917" i="1"/>
  <c r="V916" i="1"/>
  <c r="Q916" i="1"/>
  <c r="P916" i="1"/>
  <c r="O916" i="1"/>
  <c r="N916" i="1"/>
  <c r="J916" i="1"/>
  <c r="I916" i="1"/>
  <c r="H916" i="1"/>
  <c r="G916" i="1"/>
  <c r="F916" i="1"/>
  <c r="E916" i="1"/>
  <c r="D916" i="1"/>
  <c r="C916" i="1"/>
  <c r="V915" i="1"/>
  <c r="Q915" i="1"/>
  <c r="P915" i="1"/>
  <c r="O915" i="1"/>
  <c r="N915" i="1"/>
  <c r="J915" i="1"/>
  <c r="I915" i="1"/>
  <c r="H915" i="1"/>
  <c r="G915" i="1"/>
  <c r="F915" i="1"/>
  <c r="E915" i="1"/>
  <c r="D915" i="1"/>
  <c r="C915" i="1"/>
  <c r="V914" i="1"/>
  <c r="Q914" i="1"/>
  <c r="P914" i="1"/>
  <c r="O914" i="1"/>
  <c r="N914" i="1"/>
  <c r="J914" i="1"/>
  <c r="I914" i="1"/>
  <c r="H914" i="1"/>
  <c r="G914" i="1"/>
  <c r="F914" i="1"/>
  <c r="E914" i="1"/>
  <c r="D914" i="1"/>
  <c r="C914" i="1"/>
  <c r="V913" i="1"/>
  <c r="Q913" i="1"/>
  <c r="P913" i="1"/>
  <c r="O913" i="1"/>
  <c r="N913" i="1"/>
  <c r="J913" i="1"/>
  <c r="I913" i="1"/>
  <c r="H913" i="1"/>
  <c r="G913" i="1"/>
  <c r="F913" i="1"/>
  <c r="E913" i="1"/>
  <c r="D913" i="1"/>
  <c r="C913" i="1"/>
  <c r="V912" i="1"/>
  <c r="Q912" i="1"/>
  <c r="P912" i="1"/>
  <c r="O912" i="1"/>
  <c r="N912" i="1"/>
  <c r="J912" i="1"/>
  <c r="I912" i="1"/>
  <c r="H912" i="1"/>
  <c r="G912" i="1"/>
  <c r="F912" i="1"/>
  <c r="E912" i="1"/>
  <c r="D912" i="1"/>
  <c r="C912" i="1"/>
  <c r="V911" i="1"/>
  <c r="Q911" i="1"/>
  <c r="P911" i="1"/>
  <c r="O911" i="1"/>
  <c r="N911" i="1"/>
  <c r="J911" i="1"/>
  <c r="I911" i="1"/>
  <c r="H911" i="1"/>
  <c r="G911" i="1"/>
  <c r="F911" i="1"/>
  <c r="E911" i="1"/>
  <c r="D911" i="1"/>
  <c r="C911" i="1"/>
  <c r="V910" i="1"/>
  <c r="Q910" i="1"/>
  <c r="P910" i="1"/>
  <c r="O910" i="1"/>
  <c r="N910" i="1"/>
  <c r="J910" i="1"/>
  <c r="I910" i="1"/>
  <c r="H910" i="1"/>
  <c r="G910" i="1"/>
  <c r="F910" i="1"/>
  <c r="E910" i="1"/>
  <c r="D910" i="1"/>
  <c r="C910" i="1"/>
  <c r="V909" i="1"/>
  <c r="Q909" i="1"/>
  <c r="P909" i="1"/>
  <c r="O909" i="1"/>
  <c r="N909" i="1"/>
  <c r="J909" i="1"/>
  <c r="I909" i="1"/>
  <c r="H909" i="1"/>
  <c r="G909" i="1"/>
  <c r="F909" i="1"/>
  <c r="E909" i="1"/>
  <c r="D909" i="1"/>
  <c r="C909" i="1"/>
  <c r="V908" i="1"/>
  <c r="Q908" i="1"/>
  <c r="P908" i="1"/>
  <c r="O908" i="1"/>
  <c r="N908" i="1"/>
  <c r="J908" i="1"/>
  <c r="I908" i="1"/>
  <c r="H908" i="1"/>
  <c r="G908" i="1"/>
  <c r="F908" i="1"/>
  <c r="E908" i="1"/>
  <c r="D908" i="1"/>
  <c r="C908" i="1"/>
  <c r="V907" i="1"/>
  <c r="Q907" i="1"/>
  <c r="P907" i="1"/>
  <c r="O907" i="1"/>
  <c r="N907" i="1"/>
  <c r="J907" i="1"/>
  <c r="I907" i="1"/>
  <c r="H907" i="1"/>
  <c r="G907" i="1"/>
  <c r="F907" i="1"/>
  <c r="E907" i="1"/>
  <c r="D907" i="1"/>
  <c r="C907" i="1"/>
  <c r="V906" i="1"/>
  <c r="Q906" i="1"/>
  <c r="P906" i="1"/>
  <c r="O906" i="1"/>
  <c r="N906" i="1"/>
  <c r="J906" i="1"/>
  <c r="I906" i="1"/>
  <c r="H906" i="1"/>
  <c r="G906" i="1"/>
  <c r="F906" i="1"/>
  <c r="E906" i="1"/>
  <c r="D906" i="1"/>
  <c r="C906" i="1"/>
  <c r="V905" i="1"/>
  <c r="Q905" i="1"/>
  <c r="P905" i="1"/>
  <c r="O905" i="1"/>
  <c r="N905" i="1"/>
  <c r="J905" i="1"/>
  <c r="I905" i="1"/>
  <c r="H905" i="1"/>
  <c r="G905" i="1"/>
  <c r="F905" i="1"/>
  <c r="E905" i="1"/>
  <c r="D905" i="1"/>
  <c r="C905" i="1"/>
  <c r="V904" i="1"/>
  <c r="Q904" i="1"/>
  <c r="P904" i="1"/>
  <c r="O904" i="1"/>
  <c r="N904" i="1"/>
  <c r="J904" i="1"/>
  <c r="I904" i="1"/>
  <c r="H904" i="1"/>
  <c r="G904" i="1"/>
  <c r="F904" i="1"/>
  <c r="E904" i="1"/>
  <c r="D904" i="1"/>
  <c r="C904" i="1"/>
  <c r="V903" i="1"/>
  <c r="Q903" i="1"/>
  <c r="P903" i="1"/>
  <c r="O903" i="1"/>
  <c r="N903" i="1"/>
  <c r="J903" i="1"/>
  <c r="I903" i="1"/>
  <c r="H903" i="1"/>
  <c r="G903" i="1"/>
  <c r="F903" i="1"/>
  <c r="E903" i="1"/>
  <c r="D903" i="1"/>
  <c r="C903" i="1"/>
  <c r="V902" i="1"/>
  <c r="Q902" i="1"/>
  <c r="P902" i="1"/>
  <c r="O902" i="1"/>
  <c r="N902" i="1"/>
  <c r="J902" i="1"/>
  <c r="I902" i="1"/>
  <c r="H902" i="1"/>
  <c r="G902" i="1"/>
  <c r="F902" i="1"/>
  <c r="E902" i="1"/>
  <c r="D902" i="1"/>
  <c r="C902" i="1"/>
  <c r="V901" i="1"/>
  <c r="Q901" i="1"/>
  <c r="P901" i="1"/>
  <c r="O901" i="1"/>
  <c r="N901" i="1"/>
  <c r="J901" i="1"/>
  <c r="I901" i="1"/>
  <c r="H901" i="1"/>
  <c r="G901" i="1"/>
  <c r="F901" i="1"/>
  <c r="E901" i="1"/>
  <c r="D901" i="1"/>
  <c r="C901" i="1"/>
  <c r="V900" i="1"/>
  <c r="Q900" i="1"/>
  <c r="P900" i="1"/>
  <c r="O900" i="1"/>
  <c r="N900" i="1"/>
  <c r="J900" i="1"/>
  <c r="I900" i="1"/>
  <c r="H900" i="1"/>
  <c r="G900" i="1"/>
  <c r="F900" i="1"/>
  <c r="E900" i="1"/>
  <c r="D900" i="1"/>
  <c r="C900" i="1"/>
  <c r="V899" i="1"/>
  <c r="Q899" i="1"/>
  <c r="P899" i="1"/>
  <c r="O899" i="1"/>
  <c r="N899" i="1"/>
  <c r="J899" i="1"/>
  <c r="I899" i="1"/>
  <c r="H899" i="1"/>
  <c r="G899" i="1"/>
  <c r="F899" i="1"/>
  <c r="E899" i="1"/>
  <c r="D899" i="1"/>
  <c r="C899" i="1"/>
  <c r="V898" i="1"/>
  <c r="Q898" i="1"/>
  <c r="P898" i="1"/>
  <c r="O898" i="1"/>
  <c r="N898" i="1"/>
  <c r="J898" i="1"/>
  <c r="I898" i="1"/>
  <c r="H898" i="1"/>
  <c r="G898" i="1"/>
  <c r="F898" i="1"/>
  <c r="E898" i="1"/>
  <c r="D898" i="1"/>
  <c r="C898" i="1"/>
  <c r="V897" i="1"/>
  <c r="Q897" i="1"/>
  <c r="P897" i="1"/>
  <c r="O897" i="1"/>
  <c r="N897" i="1"/>
  <c r="J897" i="1"/>
  <c r="I897" i="1"/>
  <c r="H897" i="1"/>
  <c r="G897" i="1"/>
  <c r="F897" i="1"/>
  <c r="E897" i="1"/>
  <c r="D897" i="1"/>
  <c r="C897" i="1"/>
  <c r="V896" i="1"/>
  <c r="Q896" i="1"/>
  <c r="P896" i="1"/>
  <c r="O896" i="1"/>
  <c r="N896" i="1"/>
  <c r="J896" i="1"/>
  <c r="I896" i="1"/>
  <c r="H896" i="1"/>
  <c r="G896" i="1"/>
  <c r="F896" i="1"/>
  <c r="E896" i="1"/>
  <c r="D896" i="1"/>
  <c r="C896" i="1"/>
  <c r="V895" i="1"/>
  <c r="Q895" i="1"/>
  <c r="P895" i="1"/>
  <c r="O895" i="1"/>
  <c r="N895" i="1"/>
  <c r="J895" i="1"/>
  <c r="I895" i="1"/>
  <c r="H895" i="1"/>
  <c r="G895" i="1"/>
  <c r="F895" i="1"/>
  <c r="E895" i="1"/>
  <c r="D895" i="1"/>
  <c r="C895" i="1"/>
  <c r="V894" i="1"/>
  <c r="Q894" i="1"/>
  <c r="P894" i="1"/>
  <c r="O894" i="1"/>
  <c r="N894" i="1"/>
  <c r="J894" i="1"/>
  <c r="I894" i="1"/>
  <c r="H894" i="1"/>
  <c r="G894" i="1"/>
  <c r="F894" i="1"/>
  <c r="E894" i="1"/>
  <c r="D894" i="1"/>
  <c r="C894" i="1"/>
  <c r="V893" i="1"/>
  <c r="Q893" i="1"/>
  <c r="P893" i="1"/>
  <c r="O893" i="1"/>
  <c r="N893" i="1"/>
  <c r="J893" i="1"/>
  <c r="I893" i="1"/>
  <c r="H893" i="1"/>
  <c r="G893" i="1"/>
  <c r="F893" i="1"/>
  <c r="E893" i="1"/>
  <c r="D893" i="1"/>
  <c r="C893" i="1"/>
  <c r="V892" i="1"/>
  <c r="Q892" i="1"/>
  <c r="P892" i="1"/>
  <c r="O892" i="1"/>
  <c r="N892" i="1"/>
  <c r="J892" i="1"/>
  <c r="I892" i="1"/>
  <c r="H892" i="1"/>
  <c r="G892" i="1"/>
  <c r="F892" i="1"/>
  <c r="E892" i="1"/>
  <c r="D892" i="1"/>
  <c r="C892" i="1"/>
  <c r="V891" i="1"/>
  <c r="Q891" i="1"/>
  <c r="P891" i="1"/>
  <c r="O891" i="1"/>
  <c r="N891" i="1"/>
  <c r="J891" i="1"/>
  <c r="I891" i="1"/>
  <c r="H891" i="1"/>
  <c r="G891" i="1"/>
  <c r="F891" i="1"/>
  <c r="E891" i="1"/>
  <c r="D891" i="1"/>
  <c r="C891" i="1"/>
  <c r="V890" i="1"/>
  <c r="Q890" i="1"/>
  <c r="P890" i="1"/>
  <c r="O890" i="1"/>
  <c r="N890" i="1"/>
  <c r="J890" i="1"/>
  <c r="I890" i="1"/>
  <c r="H890" i="1"/>
  <c r="G890" i="1"/>
  <c r="F890" i="1"/>
  <c r="E890" i="1"/>
  <c r="D890" i="1"/>
  <c r="C890" i="1"/>
  <c r="V889" i="1"/>
  <c r="Q889" i="1"/>
  <c r="P889" i="1"/>
  <c r="O889" i="1"/>
  <c r="N889" i="1"/>
  <c r="J889" i="1"/>
  <c r="I889" i="1"/>
  <c r="H889" i="1"/>
  <c r="G889" i="1"/>
  <c r="F889" i="1"/>
  <c r="E889" i="1"/>
  <c r="D889" i="1"/>
  <c r="C889" i="1"/>
  <c r="V888" i="1"/>
  <c r="Q888" i="1"/>
  <c r="P888" i="1"/>
  <c r="O888" i="1"/>
  <c r="N888" i="1"/>
  <c r="J888" i="1"/>
  <c r="I888" i="1"/>
  <c r="H888" i="1"/>
  <c r="G888" i="1"/>
  <c r="F888" i="1"/>
  <c r="E888" i="1"/>
  <c r="D888" i="1"/>
  <c r="C888" i="1"/>
  <c r="V887" i="1"/>
  <c r="Q887" i="1"/>
  <c r="P887" i="1"/>
  <c r="O887" i="1"/>
  <c r="N887" i="1"/>
  <c r="J887" i="1"/>
  <c r="I887" i="1"/>
  <c r="H887" i="1"/>
  <c r="G887" i="1"/>
  <c r="F887" i="1"/>
  <c r="E887" i="1"/>
  <c r="D887" i="1"/>
  <c r="C887" i="1"/>
  <c r="V886" i="1"/>
  <c r="Q886" i="1"/>
  <c r="P886" i="1"/>
  <c r="O886" i="1"/>
  <c r="N886" i="1"/>
  <c r="J886" i="1"/>
  <c r="I886" i="1"/>
  <c r="H886" i="1"/>
  <c r="G886" i="1"/>
  <c r="F886" i="1"/>
  <c r="E886" i="1"/>
  <c r="D886" i="1"/>
  <c r="C886" i="1"/>
  <c r="V885" i="1"/>
  <c r="Q885" i="1"/>
  <c r="P885" i="1"/>
  <c r="O885" i="1"/>
  <c r="N885" i="1"/>
  <c r="J885" i="1"/>
  <c r="I885" i="1"/>
  <c r="H885" i="1"/>
  <c r="G885" i="1"/>
  <c r="F885" i="1"/>
  <c r="E885" i="1"/>
  <c r="D885" i="1"/>
  <c r="C885" i="1"/>
  <c r="V884" i="1"/>
  <c r="Q884" i="1"/>
  <c r="P884" i="1"/>
  <c r="O884" i="1"/>
  <c r="N884" i="1"/>
  <c r="J884" i="1"/>
  <c r="I884" i="1"/>
  <c r="H884" i="1"/>
  <c r="G884" i="1"/>
  <c r="F884" i="1"/>
  <c r="E884" i="1"/>
  <c r="D884" i="1"/>
  <c r="C884" i="1"/>
  <c r="V883" i="1"/>
  <c r="Q883" i="1"/>
  <c r="P883" i="1"/>
  <c r="O883" i="1"/>
  <c r="N883" i="1"/>
  <c r="J883" i="1"/>
  <c r="I883" i="1"/>
  <c r="H883" i="1"/>
  <c r="G883" i="1"/>
  <c r="F883" i="1"/>
  <c r="E883" i="1"/>
  <c r="D883" i="1"/>
  <c r="C883" i="1"/>
  <c r="V882" i="1"/>
  <c r="Q882" i="1"/>
  <c r="P882" i="1"/>
  <c r="O882" i="1"/>
  <c r="N882" i="1"/>
  <c r="J882" i="1"/>
  <c r="I882" i="1"/>
  <c r="H882" i="1"/>
  <c r="G882" i="1"/>
  <c r="F882" i="1"/>
  <c r="E882" i="1"/>
  <c r="D882" i="1"/>
  <c r="C882" i="1"/>
  <c r="V881" i="1"/>
  <c r="Q881" i="1"/>
  <c r="P881" i="1"/>
  <c r="O881" i="1"/>
  <c r="N881" i="1"/>
  <c r="J881" i="1"/>
  <c r="I881" i="1"/>
  <c r="H881" i="1"/>
  <c r="G881" i="1"/>
  <c r="F881" i="1"/>
  <c r="E881" i="1"/>
  <c r="D881" i="1"/>
  <c r="C881" i="1"/>
  <c r="V880" i="1"/>
  <c r="Q880" i="1"/>
  <c r="P880" i="1"/>
  <c r="O880" i="1"/>
  <c r="N880" i="1"/>
  <c r="I880" i="1"/>
  <c r="H880" i="1"/>
  <c r="G880" i="1"/>
  <c r="F880" i="1"/>
  <c r="E880" i="1"/>
  <c r="D880" i="1"/>
  <c r="C880" i="1"/>
  <c r="V879" i="1"/>
  <c r="Q879" i="1"/>
  <c r="P879" i="1"/>
  <c r="O879" i="1"/>
  <c r="N879" i="1"/>
  <c r="I879" i="1"/>
  <c r="H879" i="1"/>
  <c r="G879" i="1"/>
  <c r="F879" i="1"/>
  <c r="E879" i="1"/>
  <c r="D879" i="1"/>
  <c r="C879" i="1"/>
  <c r="V878" i="1"/>
  <c r="Q878" i="1"/>
  <c r="P878" i="1"/>
  <c r="O878" i="1"/>
  <c r="N878" i="1"/>
  <c r="I878" i="1"/>
  <c r="H878" i="1"/>
  <c r="G878" i="1"/>
  <c r="F878" i="1"/>
  <c r="E878" i="1"/>
  <c r="D878" i="1"/>
  <c r="C878" i="1"/>
  <c r="V877" i="1"/>
  <c r="Q877" i="1"/>
  <c r="P877" i="1"/>
  <c r="O877" i="1"/>
  <c r="N877" i="1"/>
  <c r="I877" i="1"/>
  <c r="H877" i="1"/>
  <c r="G877" i="1"/>
  <c r="F877" i="1"/>
  <c r="E877" i="1"/>
  <c r="D877" i="1"/>
  <c r="C877" i="1"/>
  <c r="V876" i="1"/>
  <c r="Q876" i="1"/>
  <c r="P876" i="1"/>
  <c r="O876" i="1"/>
  <c r="N876" i="1"/>
  <c r="I876" i="1"/>
  <c r="H876" i="1"/>
  <c r="G876" i="1"/>
  <c r="F876" i="1"/>
  <c r="E876" i="1"/>
  <c r="D876" i="1"/>
  <c r="C876" i="1"/>
  <c r="V875" i="1"/>
  <c r="Q875" i="1"/>
  <c r="P875" i="1"/>
  <c r="O875" i="1"/>
  <c r="N875" i="1"/>
  <c r="I875" i="1"/>
  <c r="H875" i="1"/>
  <c r="G875" i="1"/>
  <c r="F875" i="1"/>
  <c r="E875" i="1"/>
  <c r="D875" i="1"/>
  <c r="V874" i="1"/>
  <c r="Q874" i="1"/>
  <c r="P874" i="1"/>
  <c r="O874" i="1"/>
  <c r="N874" i="1"/>
  <c r="I874" i="1"/>
  <c r="H874" i="1"/>
  <c r="G874" i="1"/>
  <c r="F874" i="1"/>
  <c r="E874" i="1"/>
  <c r="D874" i="1"/>
  <c r="V873" i="1"/>
  <c r="Q873" i="1"/>
  <c r="P873" i="1"/>
  <c r="O873" i="1"/>
  <c r="N873" i="1"/>
  <c r="I873" i="1"/>
  <c r="H873" i="1"/>
  <c r="G873" i="1"/>
  <c r="F873" i="1"/>
  <c r="E873" i="1"/>
  <c r="D873" i="1"/>
  <c r="V872" i="1"/>
  <c r="Q872" i="1"/>
  <c r="P872" i="1"/>
  <c r="O872" i="1"/>
  <c r="N872" i="1"/>
  <c r="I872" i="1"/>
  <c r="H872" i="1"/>
  <c r="G872" i="1"/>
  <c r="F872" i="1"/>
  <c r="E872" i="1"/>
  <c r="D872" i="1"/>
  <c r="V871" i="1"/>
  <c r="Q871" i="1"/>
  <c r="P871" i="1"/>
  <c r="O871" i="1"/>
  <c r="N871" i="1"/>
  <c r="I871" i="1"/>
  <c r="H871" i="1"/>
  <c r="G871" i="1"/>
  <c r="F871" i="1"/>
  <c r="E871" i="1"/>
  <c r="D871" i="1"/>
  <c r="V870" i="1"/>
  <c r="Q870" i="1"/>
  <c r="P870" i="1"/>
  <c r="O870" i="1"/>
  <c r="N870" i="1"/>
  <c r="I870" i="1"/>
  <c r="H870" i="1"/>
  <c r="G870" i="1"/>
  <c r="F870" i="1"/>
  <c r="E870" i="1"/>
  <c r="D870" i="1"/>
  <c r="C870" i="1"/>
  <c r="V869" i="1"/>
  <c r="Q869" i="1"/>
  <c r="P869" i="1"/>
  <c r="O869" i="1"/>
  <c r="N869" i="1"/>
  <c r="I869" i="1"/>
  <c r="H869" i="1"/>
  <c r="G869" i="1"/>
  <c r="F869" i="1"/>
  <c r="E869" i="1"/>
  <c r="D869" i="1"/>
  <c r="C869" i="1"/>
  <c r="V868" i="1"/>
  <c r="Q868" i="1"/>
  <c r="P868" i="1"/>
  <c r="O868" i="1"/>
  <c r="N868" i="1"/>
  <c r="I868" i="1"/>
  <c r="H868" i="1"/>
  <c r="G868" i="1"/>
  <c r="F868" i="1"/>
  <c r="E868" i="1"/>
  <c r="D868" i="1"/>
  <c r="C868" i="1"/>
  <c r="V867" i="1"/>
  <c r="Q867" i="1"/>
  <c r="P867" i="1"/>
  <c r="O867" i="1"/>
  <c r="N867" i="1"/>
  <c r="I867" i="1"/>
  <c r="H867" i="1"/>
  <c r="G867" i="1"/>
  <c r="F867" i="1"/>
  <c r="E867" i="1"/>
  <c r="D867" i="1"/>
  <c r="C867" i="1"/>
  <c r="V866" i="1"/>
  <c r="Q866" i="1"/>
  <c r="P866" i="1"/>
  <c r="O866" i="1"/>
  <c r="N866" i="1"/>
  <c r="I866" i="1"/>
  <c r="H866" i="1"/>
  <c r="G866" i="1"/>
  <c r="F866" i="1"/>
  <c r="E866" i="1"/>
  <c r="D866" i="1"/>
  <c r="C866" i="1"/>
  <c r="V865" i="1"/>
  <c r="Q865" i="1"/>
  <c r="P865" i="1"/>
  <c r="O865" i="1"/>
  <c r="N865" i="1"/>
  <c r="I865" i="1"/>
  <c r="H865" i="1"/>
  <c r="G865" i="1"/>
  <c r="F865" i="1"/>
  <c r="E865" i="1"/>
  <c r="D865" i="1"/>
  <c r="C865" i="1"/>
  <c r="V864" i="1"/>
  <c r="Q864" i="1"/>
  <c r="P864" i="1"/>
  <c r="O864" i="1"/>
  <c r="N864" i="1"/>
  <c r="I864" i="1"/>
  <c r="H864" i="1"/>
  <c r="G864" i="1"/>
  <c r="F864" i="1"/>
  <c r="E864" i="1"/>
  <c r="D864" i="1"/>
  <c r="C864" i="1"/>
  <c r="V863" i="1"/>
  <c r="Q863" i="1"/>
  <c r="P863" i="1"/>
  <c r="O863" i="1"/>
  <c r="N863" i="1"/>
  <c r="I863" i="1"/>
  <c r="H863" i="1"/>
  <c r="G863" i="1"/>
  <c r="F863" i="1"/>
  <c r="E863" i="1"/>
  <c r="D863" i="1"/>
  <c r="C863" i="1"/>
  <c r="V862" i="1"/>
  <c r="Q862" i="1"/>
  <c r="P862" i="1"/>
  <c r="O862" i="1"/>
  <c r="N862" i="1"/>
  <c r="I862" i="1"/>
  <c r="H862" i="1"/>
  <c r="G862" i="1"/>
  <c r="F862" i="1"/>
  <c r="E862" i="1"/>
  <c r="D862" i="1"/>
  <c r="C862" i="1"/>
  <c r="V861" i="1"/>
  <c r="Q861" i="1"/>
  <c r="P861" i="1"/>
  <c r="O861" i="1"/>
  <c r="N861" i="1"/>
  <c r="I861" i="1"/>
  <c r="H861" i="1"/>
  <c r="G861" i="1"/>
  <c r="F861" i="1"/>
  <c r="E861" i="1"/>
  <c r="D861" i="1"/>
  <c r="C861" i="1"/>
  <c r="V860" i="1"/>
  <c r="Q860" i="1"/>
  <c r="P860" i="1"/>
  <c r="O860" i="1"/>
  <c r="N860" i="1"/>
  <c r="I860" i="1"/>
  <c r="H860" i="1"/>
  <c r="G860" i="1"/>
  <c r="F860" i="1"/>
  <c r="E860" i="1"/>
  <c r="D860" i="1"/>
  <c r="C860" i="1"/>
  <c r="V859" i="1"/>
  <c r="Q859" i="1"/>
  <c r="P859" i="1"/>
  <c r="O859" i="1"/>
  <c r="N859" i="1"/>
  <c r="I859" i="1"/>
  <c r="H859" i="1"/>
  <c r="G859" i="1"/>
  <c r="F859" i="1"/>
  <c r="E859" i="1"/>
  <c r="D859" i="1"/>
  <c r="C859" i="1"/>
  <c r="V858" i="1"/>
  <c r="Q858" i="1"/>
  <c r="P858" i="1"/>
  <c r="O858" i="1"/>
  <c r="N858" i="1"/>
  <c r="I858" i="1"/>
  <c r="H858" i="1"/>
  <c r="G858" i="1"/>
  <c r="F858" i="1"/>
  <c r="E858" i="1"/>
  <c r="D858" i="1"/>
  <c r="C858" i="1"/>
  <c r="V857" i="1"/>
  <c r="Q857" i="1"/>
  <c r="P857" i="1"/>
  <c r="O857" i="1"/>
  <c r="N857" i="1"/>
  <c r="I857" i="1"/>
  <c r="H857" i="1"/>
  <c r="G857" i="1"/>
  <c r="F857" i="1"/>
  <c r="E857" i="1"/>
  <c r="D857" i="1"/>
  <c r="C857" i="1"/>
  <c r="V856" i="1"/>
  <c r="Q856" i="1"/>
  <c r="P856" i="1"/>
  <c r="O856" i="1"/>
  <c r="N856" i="1"/>
  <c r="I856" i="1"/>
  <c r="H856" i="1"/>
  <c r="G856" i="1"/>
  <c r="F856" i="1"/>
  <c r="E856" i="1"/>
  <c r="D856" i="1"/>
  <c r="C856" i="1"/>
  <c r="V855" i="1"/>
  <c r="Q855" i="1"/>
  <c r="P855" i="1"/>
  <c r="O855" i="1"/>
  <c r="N855" i="1"/>
  <c r="I855" i="1"/>
  <c r="H855" i="1"/>
  <c r="G855" i="1"/>
  <c r="F855" i="1"/>
  <c r="E855" i="1"/>
  <c r="D855" i="1"/>
  <c r="C855" i="1"/>
  <c r="V854" i="1"/>
  <c r="Q854" i="1"/>
  <c r="P854" i="1"/>
  <c r="O854" i="1"/>
  <c r="N854" i="1"/>
  <c r="I854" i="1"/>
  <c r="H854" i="1"/>
  <c r="G854" i="1"/>
  <c r="F854" i="1"/>
  <c r="E854" i="1"/>
  <c r="D854" i="1"/>
  <c r="C854" i="1"/>
  <c r="V853" i="1"/>
  <c r="Q853" i="1"/>
  <c r="P853" i="1"/>
  <c r="O853" i="1"/>
  <c r="N853" i="1"/>
  <c r="I853" i="1"/>
  <c r="H853" i="1"/>
  <c r="G853" i="1"/>
  <c r="F853" i="1"/>
  <c r="E853" i="1"/>
  <c r="D853" i="1"/>
  <c r="C853" i="1"/>
  <c r="V852" i="1"/>
  <c r="Q852" i="1"/>
  <c r="P852" i="1"/>
  <c r="O852" i="1"/>
  <c r="N852" i="1"/>
  <c r="I852" i="1"/>
  <c r="H852" i="1"/>
  <c r="G852" i="1"/>
  <c r="F852" i="1"/>
  <c r="E852" i="1"/>
  <c r="D852" i="1"/>
  <c r="C852" i="1"/>
  <c r="V851" i="1"/>
  <c r="Q851" i="1"/>
  <c r="P851" i="1"/>
  <c r="O851" i="1"/>
  <c r="N851" i="1"/>
  <c r="I851" i="1"/>
  <c r="H851" i="1"/>
  <c r="G851" i="1"/>
  <c r="F851" i="1"/>
  <c r="E851" i="1"/>
  <c r="D851" i="1"/>
  <c r="C851" i="1"/>
  <c r="V850" i="1"/>
  <c r="Q850" i="1"/>
  <c r="P850" i="1"/>
  <c r="O850" i="1"/>
  <c r="N850" i="1"/>
  <c r="I850" i="1"/>
  <c r="H850" i="1"/>
  <c r="G850" i="1"/>
  <c r="F850" i="1"/>
  <c r="E850" i="1"/>
  <c r="D850" i="1"/>
  <c r="C850" i="1"/>
  <c r="V849" i="1"/>
  <c r="Q849" i="1"/>
  <c r="P849" i="1"/>
  <c r="O849" i="1"/>
  <c r="N849" i="1"/>
  <c r="I849" i="1"/>
  <c r="H849" i="1"/>
  <c r="G849" i="1"/>
  <c r="F849" i="1"/>
  <c r="E849" i="1"/>
  <c r="D849" i="1"/>
  <c r="C849" i="1"/>
  <c r="V848" i="1"/>
  <c r="Q848" i="1"/>
  <c r="P848" i="1"/>
  <c r="O848" i="1"/>
  <c r="N848" i="1"/>
  <c r="J848" i="1"/>
  <c r="I848" i="1"/>
  <c r="H848" i="1"/>
  <c r="G848" i="1"/>
  <c r="F848" i="1"/>
  <c r="E848" i="1"/>
  <c r="D848" i="1"/>
  <c r="C848" i="1"/>
  <c r="V847" i="1"/>
  <c r="Q847" i="1"/>
  <c r="P847" i="1"/>
  <c r="O847" i="1"/>
  <c r="N847" i="1"/>
  <c r="J847" i="1"/>
  <c r="I847" i="1"/>
  <c r="H847" i="1"/>
  <c r="G847" i="1"/>
  <c r="F847" i="1"/>
  <c r="E847" i="1"/>
  <c r="D847" i="1"/>
  <c r="C847" i="1"/>
  <c r="V846" i="1"/>
  <c r="Q846" i="1"/>
  <c r="P846" i="1"/>
  <c r="O846" i="1"/>
  <c r="N846" i="1"/>
  <c r="J846" i="1"/>
  <c r="I846" i="1"/>
  <c r="H846" i="1"/>
  <c r="G846" i="1"/>
  <c r="F846" i="1"/>
  <c r="E846" i="1"/>
  <c r="D846" i="1"/>
  <c r="C846" i="1"/>
  <c r="V845" i="1"/>
  <c r="Q845" i="1"/>
  <c r="P845" i="1"/>
  <c r="O845" i="1"/>
  <c r="N845" i="1"/>
  <c r="J845" i="1"/>
  <c r="I845" i="1"/>
  <c r="H845" i="1"/>
  <c r="G845" i="1"/>
  <c r="F845" i="1"/>
  <c r="E845" i="1"/>
  <c r="D845" i="1"/>
  <c r="C845" i="1"/>
  <c r="V844" i="1"/>
  <c r="Q844" i="1"/>
  <c r="P844" i="1"/>
  <c r="O844" i="1"/>
  <c r="N844" i="1"/>
  <c r="J844" i="1"/>
  <c r="I844" i="1"/>
  <c r="H844" i="1"/>
  <c r="G844" i="1"/>
  <c r="F844" i="1"/>
  <c r="E844" i="1"/>
  <c r="D844" i="1"/>
  <c r="C844" i="1"/>
  <c r="V843" i="1"/>
  <c r="Q843" i="1"/>
  <c r="P843" i="1"/>
  <c r="O843" i="1"/>
  <c r="N843" i="1"/>
  <c r="J843" i="1"/>
  <c r="I843" i="1"/>
  <c r="H843" i="1"/>
  <c r="G843" i="1"/>
  <c r="F843" i="1"/>
  <c r="E843" i="1"/>
  <c r="D843" i="1"/>
  <c r="C843" i="1"/>
  <c r="V842" i="1"/>
  <c r="Q842" i="1"/>
  <c r="P842" i="1"/>
  <c r="O842" i="1"/>
  <c r="N842" i="1"/>
  <c r="J842" i="1"/>
  <c r="I842" i="1"/>
  <c r="H842" i="1"/>
  <c r="G842" i="1"/>
  <c r="F842" i="1"/>
  <c r="E842" i="1"/>
  <c r="D842" i="1"/>
  <c r="C842" i="1"/>
  <c r="V841" i="1"/>
  <c r="Q841" i="1"/>
  <c r="P841" i="1"/>
  <c r="O841" i="1"/>
  <c r="N841" i="1"/>
  <c r="J841" i="1"/>
  <c r="I841" i="1"/>
  <c r="H841" i="1"/>
  <c r="G841" i="1"/>
  <c r="F841" i="1"/>
  <c r="E841" i="1"/>
  <c r="D841" i="1"/>
  <c r="C841" i="1"/>
  <c r="V840" i="1"/>
  <c r="Q840" i="1"/>
  <c r="P840" i="1"/>
  <c r="O840" i="1"/>
  <c r="N840" i="1"/>
  <c r="J840" i="1"/>
  <c r="I840" i="1"/>
  <c r="H840" i="1"/>
  <c r="G840" i="1"/>
  <c r="F840" i="1"/>
  <c r="E840" i="1"/>
  <c r="D840" i="1"/>
  <c r="C840" i="1"/>
  <c r="V839" i="1"/>
  <c r="Q839" i="1"/>
  <c r="P839" i="1"/>
  <c r="O839" i="1"/>
  <c r="N839" i="1"/>
  <c r="J839" i="1"/>
  <c r="I839" i="1"/>
  <c r="H839" i="1"/>
  <c r="G839" i="1"/>
  <c r="F839" i="1"/>
  <c r="E839" i="1"/>
  <c r="D839" i="1"/>
  <c r="C839" i="1"/>
  <c r="V838" i="1"/>
  <c r="Q838" i="1"/>
  <c r="P838" i="1"/>
  <c r="O838" i="1"/>
  <c r="N838" i="1"/>
  <c r="J838" i="1"/>
  <c r="I838" i="1"/>
  <c r="H838" i="1"/>
  <c r="G838" i="1"/>
  <c r="F838" i="1"/>
  <c r="E838" i="1"/>
  <c r="D838" i="1"/>
  <c r="C838" i="1"/>
  <c r="V837" i="1"/>
  <c r="Q837" i="1"/>
  <c r="P837" i="1"/>
  <c r="O837" i="1"/>
  <c r="N837" i="1"/>
  <c r="J837" i="1"/>
  <c r="I837" i="1"/>
  <c r="H837" i="1"/>
  <c r="G837" i="1"/>
  <c r="F837" i="1"/>
  <c r="E837" i="1"/>
  <c r="D837" i="1"/>
  <c r="C837" i="1"/>
  <c r="V836" i="1"/>
  <c r="Q836" i="1"/>
  <c r="P836" i="1"/>
  <c r="O836" i="1"/>
  <c r="N836" i="1"/>
  <c r="J836" i="1"/>
  <c r="I836" i="1"/>
  <c r="H836" i="1"/>
  <c r="G836" i="1"/>
  <c r="F836" i="1"/>
  <c r="E836" i="1"/>
  <c r="D836" i="1"/>
  <c r="C836" i="1"/>
  <c r="V835" i="1"/>
  <c r="Q835" i="1"/>
  <c r="P835" i="1"/>
  <c r="O835" i="1"/>
  <c r="N835" i="1"/>
  <c r="J835" i="1"/>
  <c r="I835" i="1"/>
  <c r="H835" i="1"/>
  <c r="G835" i="1"/>
  <c r="F835" i="1"/>
  <c r="E835" i="1"/>
  <c r="D835" i="1"/>
  <c r="C835" i="1"/>
  <c r="V834" i="1"/>
  <c r="Q834" i="1"/>
  <c r="P834" i="1"/>
  <c r="O834" i="1"/>
  <c r="N834" i="1"/>
  <c r="J834" i="1"/>
  <c r="I834" i="1"/>
  <c r="H834" i="1"/>
  <c r="G834" i="1"/>
  <c r="F834" i="1"/>
  <c r="E834" i="1"/>
  <c r="D834" i="1"/>
  <c r="C834" i="1"/>
  <c r="V833" i="1"/>
  <c r="Q833" i="1"/>
  <c r="P833" i="1"/>
  <c r="O833" i="1"/>
  <c r="N833" i="1"/>
  <c r="J833" i="1"/>
  <c r="I833" i="1"/>
  <c r="H833" i="1"/>
  <c r="G833" i="1"/>
  <c r="F833" i="1"/>
  <c r="E833" i="1"/>
  <c r="D833" i="1"/>
  <c r="C833" i="1"/>
  <c r="V832" i="1"/>
  <c r="Q832" i="1"/>
  <c r="P832" i="1"/>
  <c r="O832" i="1"/>
  <c r="N832" i="1"/>
  <c r="J832" i="1"/>
  <c r="I832" i="1"/>
  <c r="H832" i="1"/>
  <c r="G832" i="1"/>
  <c r="F832" i="1"/>
  <c r="E832" i="1"/>
  <c r="D832" i="1"/>
  <c r="C832" i="1"/>
  <c r="V831" i="1"/>
  <c r="Q831" i="1"/>
  <c r="P831" i="1"/>
  <c r="O831" i="1"/>
  <c r="N831" i="1"/>
  <c r="J831" i="1"/>
  <c r="I831" i="1"/>
  <c r="H831" i="1"/>
  <c r="G831" i="1"/>
  <c r="F831" i="1"/>
  <c r="E831" i="1"/>
  <c r="D831" i="1"/>
  <c r="C831" i="1"/>
  <c r="V830" i="1"/>
  <c r="Q830" i="1"/>
  <c r="P830" i="1"/>
  <c r="O830" i="1"/>
  <c r="N830" i="1"/>
  <c r="J830" i="1"/>
  <c r="I830" i="1"/>
  <c r="H830" i="1"/>
  <c r="G830" i="1"/>
  <c r="F830" i="1"/>
  <c r="E830" i="1"/>
  <c r="D830" i="1"/>
  <c r="C830" i="1"/>
  <c r="V829" i="1"/>
  <c r="Q829" i="1"/>
  <c r="P829" i="1"/>
  <c r="O829" i="1"/>
  <c r="N829" i="1"/>
  <c r="J829" i="1"/>
  <c r="I829" i="1"/>
  <c r="H829" i="1"/>
  <c r="G829" i="1"/>
  <c r="F829" i="1"/>
  <c r="E829" i="1"/>
  <c r="D829" i="1"/>
  <c r="C829" i="1"/>
  <c r="V828" i="1"/>
  <c r="Q828" i="1"/>
  <c r="P828" i="1"/>
  <c r="O828" i="1"/>
  <c r="N828" i="1"/>
  <c r="J828" i="1"/>
  <c r="I828" i="1"/>
  <c r="H828" i="1"/>
  <c r="G828" i="1"/>
  <c r="F828" i="1"/>
  <c r="E828" i="1"/>
  <c r="D828" i="1"/>
  <c r="C828" i="1"/>
  <c r="V827" i="1"/>
  <c r="Q827" i="1"/>
  <c r="P827" i="1"/>
  <c r="O827" i="1"/>
  <c r="N827" i="1"/>
  <c r="J827" i="1"/>
  <c r="I827" i="1"/>
  <c r="H827" i="1"/>
  <c r="G827" i="1"/>
  <c r="F827" i="1"/>
  <c r="E827" i="1"/>
  <c r="D827" i="1"/>
  <c r="C827" i="1"/>
  <c r="V826" i="1"/>
  <c r="Q826" i="1"/>
  <c r="P826" i="1"/>
  <c r="O826" i="1"/>
  <c r="N826" i="1"/>
  <c r="J826" i="1"/>
  <c r="I826" i="1"/>
  <c r="H826" i="1"/>
  <c r="G826" i="1"/>
  <c r="F826" i="1"/>
  <c r="E826" i="1"/>
  <c r="D826" i="1"/>
  <c r="C826" i="1"/>
  <c r="V825" i="1"/>
  <c r="Q825" i="1"/>
  <c r="P825" i="1"/>
  <c r="O825" i="1"/>
  <c r="N825" i="1"/>
  <c r="J825" i="1"/>
  <c r="I825" i="1"/>
  <c r="H825" i="1"/>
  <c r="G825" i="1"/>
  <c r="F825" i="1"/>
  <c r="E825" i="1"/>
  <c r="D825" i="1"/>
  <c r="C825" i="1"/>
  <c r="V824" i="1"/>
  <c r="Q824" i="1"/>
  <c r="P824" i="1"/>
  <c r="O824" i="1"/>
  <c r="N824" i="1"/>
  <c r="J824" i="1"/>
  <c r="I824" i="1"/>
  <c r="H824" i="1"/>
  <c r="G824" i="1"/>
  <c r="F824" i="1"/>
  <c r="E824" i="1"/>
  <c r="D824" i="1"/>
  <c r="C824" i="1"/>
  <c r="V823" i="1"/>
  <c r="Q823" i="1"/>
  <c r="P823" i="1"/>
  <c r="O823" i="1"/>
  <c r="N823" i="1"/>
  <c r="J823" i="1"/>
  <c r="I823" i="1"/>
  <c r="H823" i="1"/>
  <c r="G823" i="1"/>
  <c r="F823" i="1"/>
  <c r="E823" i="1"/>
  <c r="D823" i="1"/>
  <c r="C823" i="1"/>
  <c r="V822" i="1"/>
  <c r="Q822" i="1"/>
  <c r="P822" i="1"/>
  <c r="O822" i="1"/>
  <c r="N822" i="1"/>
  <c r="J822" i="1"/>
  <c r="I822" i="1"/>
  <c r="H822" i="1"/>
  <c r="G822" i="1"/>
  <c r="F822" i="1"/>
  <c r="E822" i="1"/>
  <c r="D822" i="1"/>
  <c r="C822" i="1"/>
  <c r="V821" i="1"/>
  <c r="Q821" i="1"/>
  <c r="P821" i="1"/>
  <c r="O821" i="1"/>
  <c r="N821" i="1"/>
  <c r="J821" i="1"/>
  <c r="I821" i="1"/>
  <c r="H821" i="1"/>
  <c r="G821" i="1"/>
  <c r="F821" i="1"/>
  <c r="E821" i="1"/>
  <c r="D821" i="1"/>
  <c r="C821" i="1"/>
  <c r="V820" i="1"/>
  <c r="Q820" i="1"/>
  <c r="P820" i="1"/>
  <c r="O820" i="1"/>
  <c r="N820" i="1"/>
  <c r="J820" i="1"/>
  <c r="I820" i="1"/>
  <c r="H820" i="1"/>
  <c r="G820" i="1"/>
  <c r="F820" i="1"/>
  <c r="E820" i="1"/>
  <c r="D820" i="1"/>
  <c r="C820" i="1"/>
  <c r="V819" i="1"/>
  <c r="Q819" i="1"/>
  <c r="P819" i="1"/>
  <c r="O819" i="1"/>
  <c r="N819" i="1"/>
  <c r="J819" i="1"/>
  <c r="I819" i="1"/>
  <c r="H819" i="1"/>
  <c r="G819" i="1"/>
  <c r="F819" i="1"/>
  <c r="E819" i="1"/>
  <c r="D819" i="1"/>
  <c r="C819" i="1"/>
  <c r="V818" i="1"/>
  <c r="Q818" i="1"/>
  <c r="P818" i="1"/>
  <c r="O818" i="1"/>
  <c r="N818" i="1"/>
  <c r="J818" i="1"/>
  <c r="I818" i="1"/>
  <c r="H818" i="1"/>
  <c r="G818" i="1"/>
  <c r="F818" i="1"/>
  <c r="E818" i="1"/>
  <c r="D818" i="1"/>
  <c r="C818" i="1"/>
  <c r="V817" i="1"/>
  <c r="Q817" i="1"/>
  <c r="P817" i="1"/>
  <c r="O817" i="1"/>
  <c r="N817" i="1"/>
  <c r="J817" i="1"/>
  <c r="I817" i="1"/>
  <c r="H817" i="1"/>
  <c r="G817" i="1"/>
  <c r="F817" i="1"/>
  <c r="E817" i="1"/>
  <c r="D817" i="1"/>
  <c r="C817" i="1"/>
  <c r="V816" i="1"/>
  <c r="Q816" i="1"/>
  <c r="P816" i="1"/>
  <c r="O816" i="1"/>
  <c r="N816" i="1"/>
  <c r="J816" i="1"/>
  <c r="I816" i="1"/>
  <c r="H816" i="1"/>
  <c r="G816" i="1"/>
  <c r="F816" i="1"/>
  <c r="E816" i="1"/>
  <c r="D816" i="1"/>
  <c r="C816" i="1"/>
  <c r="V815" i="1"/>
  <c r="Q815" i="1"/>
  <c r="P815" i="1"/>
  <c r="O815" i="1"/>
  <c r="N815" i="1"/>
  <c r="J815" i="1"/>
  <c r="I815" i="1"/>
  <c r="H815" i="1"/>
  <c r="G815" i="1"/>
  <c r="F815" i="1"/>
  <c r="E815" i="1"/>
  <c r="D815" i="1"/>
  <c r="C815" i="1"/>
  <c r="V814" i="1"/>
  <c r="Q814" i="1"/>
  <c r="P814" i="1"/>
  <c r="O814" i="1"/>
  <c r="N814" i="1"/>
  <c r="J814" i="1"/>
  <c r="I814" i="1"/>
  <c r="H814" i="1"/>
  <c r="G814" i="1"/>
  <c r="F814" i="1"/>
  <c r="E814" i="1"/>
  <c r="D814" i="1"/>
  <c r="C814" i="1"/>
  <c r="V813" i="1"/>
  <c r="Q813" i="1"/>
  <c r="P813" i="1"/>
  <c r="O813" i="1"/>
  <c r="N813" i="1"/>
  <c r="J813" i="1"/>
  <c r="I813" i="1"/>
  <c r="H813" i="1"/>
  <c r="G813" i="1"/>
  <c r="F813" i="1"/>
  <c r="E813" i="1"/>
  <c r="D813" i="1"/>
  <c r="C813" i="1"/>
  <c r="V812" i="1"/>
  <c r="Q812" i="1"/>
  <c r="P812" i="1"/>
  <c r="O812" i="1"/>
  <c r="N812" i="1"/>
  <c r="J812" i="1"/>
  <c r="I812" i="1"/>
  <c r="H812" i="1"/>
  <c r="G812" i="1"/>
  <c r="F812" i="1"/>
  <c r="E812" i="1"/>
  <c r="D812" i="1"/>
  <c r="C812" i="1"/>
  <c r="V811" i="1"/>
  <c r="Q811" i="1"/>
  <c r="P811" i="1"/>
  <c r="O811" i="1"/>
  <c r="N811" i="1"/>
  <c r="J811" i="1"/>
  <c r="I811" i="1"/>
  <c r="H811" i="1"/>
  <c r="G811" i="1"/>
  <c r="F811" i="1"/>
  <c r="E811" i="1"/>
  <c r="D811" i="1"/>
  <c r="C811" i="1"/>
  <c r="V810" i="1"/>
  <c r="Q810" i="1"/>
  <c r="P810" i="1"/>
  <c r="O810" i="1"/>
  <c r="N810" i="1"/>
  <c r="J810" i="1"/>
  <c r="I810" i="1"/>
  <c r="H810" i="1"/>
  <c r="G810" i="1"/>
  <c r="F810" i="1"/>
  <c r="E810" i="1"/>
  <c r="D810" i="1"/>
  <c r="C810" i="1"/>
  <c r="V809" i="1"/>
  <c r="Q809" i="1"/>
  <c r="P809" i="1"/>
  <c r="O809" i="1"/>
  <c r="N809" i="1"/>
  <c r="J809" i="1"/>
  <c r="I809" i="1"/>
  <c r="H809" i="1"/>
  <c r="G809" i="1"/>
  <c r="F809" i="1"/>
  <c r="E809" i="1"/>
  <c r="D809" i="1"/>
  <c r="C809" i="1"/>
  <c r="V808" i="1"/>
  <c r="Q808" i="1"/>
  <c r="P808" i="1"/>
  <c r="O808" i="1"/>
  <c r="N808" i="1"/>
  <c r="J808" i="1"/>
  <c r="I808" i="1"/>
  <c r="H808" i="1"/>
  <c r="G808" i="1"/>
  <c r="F808" i="1"/>
  <c r="E808" i="1"/>
  <c r="D808" i="1"/>
  <c r="C808" i="1"/>
  <c r="V807" i="1"/>
  <c r="Q807" i="1"/>
  <c r="P807" i="1"/>
  <c r="O807" i="1"/>
  <c r="N807" i="1"/>
  <c r="J807" i="1"/>
  <c r="I807" i="1"/>
  <c r="H807" i="1"/>
  <c r="G807" i="1"/>
  <c r="F807" i="1"/>
  <c r="E807" i="1"/>
  <c r="D807" i="1"/>
  <c r="C807" i="1"/>
  <c r="V806" i="1"/>
  <c r="Q806" i="1"/>
  <c r="P806" i="1"/>
  <c r="O806" i="1"/>
  <c r="N806" i="1"/>
  <c r="J806" i="1"/>
  <c r="I806" i="1"/>
  <c r="H806" i="1"/>
  <c r="G806" i="1"/>
  <c r="F806" i="1"/>
  <c r="E806" i="1"/>
  <c r="D806" i="1"/>
  <c r="C806" i="1"/>
  <c r="V805" i="1"/>
  <c r="Q805" i="1"/>
  <c r="P805" i="1"/>
  <c r="O805" i="1"/>
  <c r="N805" i="1"/>
  <c r="J805" i="1"/>
  <c r="I805" i="1"/>
  <c r="H805" i="1"/>
  <c r="G805" i="1"/>
  <c r="F805" i="1"/>
  <c r="E805" i="1"/>
  <c r="D805" i="1"/>
  <c r="C805" i="1"/>
  <c r="V804" i="1"/>
  <c r="Q804" i="1"/>
  <c r="P804" i="1"/>
  <c r="O804" i="1"/>
  <c r="N804" i="1"/>
  <c r="J804" i="1"/>
  <c r="I804" i="1"/>
  <c r="H804" i="1"/>
  <c r="G804" i="1"/>
  <c r="F804" i="1"/>
  <c r="E804" i="1"/>
  <c r="D804" i="1"/>
  <c r="C804" i="1"/>
  <c r="V803" i="1"/>
  <c r="Q803" i="1"/>
  <c r="P803" i="1"/>
  <c r="O803" i="1"/>
  <c r="N803" i="1"/>
  <c r="J803" i="1"/>
  <c r="I803" i="1"/>
  <c r="H803" i="1"/>
  <c r="G803" i="1"/>
  <c r="F803" i="1"/>
  <c r="E803" i="1"/>
  <c r="D803" i="1"/>
  <c r="C803" i="1"/>
  <c r="V802" i="1"/>
  <c r="Q802" i="1"/>
  <c r="P802" i="1"/>
  <c r="O802" i="1"/>
  <c r="N802" i="1"/>
  <c r="J802" i="1"/>
  <c r="I802" i="1"/>
  <c r="H802" i="1"/>
  <c r="G802" i="1"/>
  <c r="F802" i="1"/>
  <c r="E802" i="1"/>
  <c r="D802" i="1"/>
  <c r="C802" i="1"/>
  <c r="V801" i="1"/>
  <c r="Q801" i="1"/>
  <c r="P801" i="1"/>
  <c r="O801" i="1"/>
  <c r="N801" i="1"/>
  <c r="J801" i="1"/>
  <c r="I801" i="1"/>
  <c r="H801" i="1"/>
  <c r="G801" i="1"/>
  <c r="F801" i="1"/>
  <c r="E801" i="1"/>
  <c r="D801" i="1"/>
  <c r="C801" i="1"/>
  <c r="V800" i="1"/>
  <c r="Q800" i="1"/>
  <c r="P800" i="1"/>
  <c r="O800" i="1"/>
  <c r="N800" i="1"/>
  <c r="J800" i="1"/>
  <c r="I800" i="1"/>
  <c r="H800" i="1"/>
  <c r="G800" i="1"/>
  <c r="F800" i="1"/>
  <c r="E800" i="1"/>
  <c r="D800" i="1"/>
  <c r="C800" i="1"/>
  <c r="V799" i="1"/>
  <c r="Q799" i="1"/>
  <c r="P799" i="1"/>
  <c r="O799" i="1"/>
  <c r="N799" i="1"/>
  <c r="J799" i="1"/>
  <c r="I799" i="1"/>
  <c r="H799" i="1"/>
  <c r="G799" i="1"/>
  <c r="F799" i="1"/>
  <c r="E799" i="1"/>
  <c r="D799" i="1"/>
  <c r="C799" i="1"/>
  <c r="V798" i="1"/>
  <c r="Q798" i="1"/>
  <c r="P798" i="1"/>
  <c r="O798" i="1"/>
  <c r="N798" i="1"/>
  <c r="J798" i="1"/>
  <c r="I798" i="1"/>
  <c r="H798" i="1"/>
  <c r="G798" i="1"/>
  <c r="F798" i="1"/>
  <c r="E798" i="1"/>
  <c r="D798" i="1"/>
  <c r="C798" i="1"/>
  <c r="V797" i="1"/>
  <c r="Q797" i="1"/>
  <c r="P797" i="1"/>
  <c r="O797" i="1"/>
  <c r="N797" i="1"/>
  <c r="J797" i="1"/>
  <c r="I797" i="1"/>
  <c r="H797" i="1"/>
  <c r="G797" i="1"/>
  <c r="F797" i="1"/>
  <c r="E797" i="1"/>
  <c r="D797" i="1"/>
  <c r="C797" i="1"/>
  <c r="V796" i="1"/>
  <c r="Q796" i="1"/>
  <c r="P796" i="1"/>
  <c r="O796" i="1"/>
  <c r="N796" i="1"/>
  <c r="J796" i="1"/>
  <c r="I796" i="1"/>
  <c r="H796" i="1"/>
  <c r="G796" i="1"/>
  <c r="F796" i="1"/>
  <c r="E796" i="1"/>
  <c r="D796" i="1"/>
  <c r="C796" i="1"/>
  <c r="V795" i="1"/>
  <c r="Q795" i="1"/>
  <c r="P795" i="1"/>
  <c r="O795" i="1"/>
  <c r="N795" i="1"/>
  <c r="J795" i="1"/>
  <c r="I795" i="1"/>
  <c r="H795" i="1"/>
  <c r="G795" i="1"/>
  <c r="F795" i="1"/>
  <c r="E795" i="1"/>
  <c r="D795" i="1"/>
  <c r="C795" i="1"/>
  <c r="V794" i="1"/>
  <c r="Q794" i="1"/>
  <c r="P794" i="1"/>
  <c r="O794" i="1"/>
  <c r="N794" i="1"/>
  <c r="J794" i="1"/>
  <c r="I794" i="1"/>
  <c r="H794" i="1"/>
  <c r="G794" i="1"/>
  <c r="F794" i="1"/>
  <c r="E794" i="1"/>
  <c r="D794" i="1"/>
  <c r="C794" i="1"/>
  <c r="V793" i="1"/>
  <c r="Q793" i="1"/>
  <c r="P793" i="1"/>
  <c r="O793" i="1"/>
  <c r="N793" i="1"/>
  <c r="J793" i="1"/>
  <c r="I793" i="1"/>
  <c r="H793" i="1"/>
  <c r="G793" i="1"/>
  <c r="F793" i="1"/>
  <c r="E793" i="1"/>
  <c r="D793" i="1"/>
  <c r="C793" i="1"/>
  <c r="V792" i="1"/>
  <c r="Q792" i="1"/>
  <c r="P792" i="1"/>
  <c r="O792" i="1"/>
  <c r="N792" i="1"/>
  <c r="J792" i="1"/>
  <c r="I792" i="1"/>
  <c r="H792" i="1"/>
  <c r="G792" i="1"/>
  <c r="F792" i="1"/>
  <c r="E792" i="1"/>
  <c r="D792" i="1"/>
  <c r="C792" i="1"/>
  <c r="V791" i="1"/>
  <c r="Q791" i="1"/>
  <c r="P791" i="1"/>
  <c r="O791" i="1"/>
  <c r="N791" i="1"/>
  <c r="J791" i="1"/>
  <c r="I791" i="1"/>
  <c r="H791" i="1"/>
  <c r="G791" i="1"/>
  <c r="F791" i="1"/>
  <c r="E791" i="1"/>
  <c r="D791" i="1"/>
  <c r="C791" i="1"/>
  <c r="V790" i="1"/>
  <c r="Q790" i="1"/>
  <c r="P790" i="1"/>
  <c r="O790" i="1"/>
  <c r="N790" i="1"/>
  <c r="J790" i="1"/>
  <c r="I790" i="1"/>
  <c r="H790" i="1"/>
  <c r="G790" i="1"/>
  <c r="F790" i="1"/>
  <c r="E790" i="1"/>
  <c r="D790" i="1"/>
  <c r="C790" i="1"/>
  <c r="V789" i="1"/>
  <c r="Q789" i="1"/>
  <c r="P789" i="1"/>
  <c r="O789" i="1"/>
  <c r="N789" i="1"/>
  <c r="J789" i="1"/>
  <c r="I789" i="1"/>
  <c r="H789" i="1"/>
  <c r="G789" i="1"/>
  <c r="F789" i="1"/>
  <c r="E789" i="1"/>
  <c r="D789" i="1"/>
  <c r="C789" i="1"/>
  <c r="V788" i="1"/>
  <c r="Q788" i="1"/>
  <c r="P788" i="1"/>
  <c r="O788" i="1"/>
  <c r="N788" i="1"/>
  <c r="J788" i="1"/>
  <c r="I788" i="1"/>
  <c r="H788" i="1"/>
  <c r="G788" i="1"/>
  <c r="F788" i="1"/>
  <c r="E788" i="1"/>
  <c r="D788" i="1"/>
  <c r="C788" i="1"/>
  <c r="V787" i="1"/>
  <c r="Q787" i="1"/>
  <c r="P787" i="1"/>
  <c r="O787" i="1"/>
  <c r="N787" i="1"/>
  <c r="J787" i="1"/>
  <c r="I787" i="1"/>
  <c r="H787" i="1"/>
  <c r="G787" i="1"/>
  <c r="F787" i="1"/>
  <c r="E787" i="1"/>
  <c r="D787" i="1"/>
  <c r="C787" i="1"/>
  <c r="V786" i="1"/>
  <c r="Q786" i="1"/>
  <c r="P786" i="1"/>
  <c r="O786" i="1"/>
  <c r="N786" i="1"/>
  <c r="J786" i="1"/>
  <c r="I786" i="1"/>
  <c r="H786" i="1"/>
  <c r="G786" i="1"/>
  <c r="F786" i="1"/>
  <c r="E786" i="1"/>
  <c r="D786" i="1"/>
  <c r="C786" i="1"/>
  <c r="V785" i="1"/>
  <c r="Q785" i="1"/>
  <c r="P785" i="1"/>
  <c r="O785" i="1"/>
  <c r="N785" i="1"/>
  <c r="J785" i="1"/>
  <c r="I785" i="1"/>
  <c r="H785" i="1"/>
  <c r="G785" i="1"/>
  <c r="F785" i="1"/>
  <c r="E785" i="1"/>
  <c r="D785" i="1"/>
  <c r="C785" i="1"/>
  <c r="V784" i="1"/>
  <c r="Q784" i="1"/>
  <c r="P784" i="1"/>
  <c r="O784" i="1"/>
  <c r="N784" i="1"/>
  <c r="J784" i="1"/>
  <c r="I784" i="1"/>
  <c r="H784" i="1"/>
  <c r="G784" i="1"/>
  <c r="F784" i="1"/>
  <c r="E784" i="1"/>
  <c r="D784" i="1"/>
  <c r="C784" i="1"/>
  <c r="V783" i="1"/>
  <c r="Q783" i="1"/>
  <c r="P783" i="1"/>
  <c r="O783" i="1"/>
  <c r="N783" i="1"/>
  <c r="J783" i="1"/>
  <c r="I783" i="1"/>
  <c r="H783" i="1"/>
  <c r="G783" i="1"/>
  <c r="F783" i="1"/>
  <c r="E783" i="1"/>
  <c r="D783" i="1"/>
  <c r="C783" i="1"/>
  <c r="V782" i="1"/>
  <c r="Q782" i="1"/>
  <c r="P782" i="1"/>
  <c r="O782" i="1"/>
  <c r="N782" i="1"/>
  <c r="J782" i="1"/>
  <c r="I782" i="1"/>
  <c r="H782" i="1"/>
  <c r="G782" i="1"/>
  <c r="F782" i="1"/>
  <c r="E782" i="1"/>
  <c r="D782" i="1"/>
  <c r="C782" i="1"/>
  <c r="V781" i="1"/>
  <c r="Q781" i="1"/>
  <c r="P781" i="1"/>
  <c r="O781" i="1"/>
  <c r="N781" i="1"/>
  <c r="J781" i="1"/>
  <c r="I781" i="1"/>
  <c r="H781" i="1"/>
  <c r="G781" i="1"/>
  <c r="F781" i="1"/>
  <c r="E781" i="1"/>
  <c r="D781" i="1"/>
  <c r="C781" i="1"/>
  <c r="V780" i="1"/>
  <c r="Q780" i="1"/>
  <c r="P780" i="1"/>
  <c r="O780" i="1"/>
  <c r="N780" i="1"/>
  <c r="J780" i="1"/>
  <c r="I780" i="1"/>
  <c r="H780" i="1"/>
  <c r="G780" i="1"/>
  <c r="F780" i="1"/>
  <c r="E780" i="1"/>
  <c r="D780" i="1"/>
  <c r="C780" i="1"/>
  <c r="V779" i="1"/>
  <c r="Q779" i="1"/>
  <c r="P779" i="1"/>
  <c r="O779" i="1"/>
  <c r="N779" i="1"/>
  <c r="J779" i="1"/>
  <c r="I779" i="1"/>
  <c r="H779" i="1"/>
  <c r="G779" i="1"/>
  <c r="F779" i="1"/>
  <c r="E779" i="1"/>
  <c r="D779" i="1"/>
  <c r="C779" i="1"/>
  <c r="V778" i="1"/>
  <c r="Q778" i="1"/>
  <c r="P778" i="1"/>
  <c r="O778" i="1"/>
  <c r="N778" i="1"/>
  <c r="J778" i="1"/>
  <c r="I778" i="1"/>
  <c r="H778" i="1"/>
  <c r="G778" i="1"/>
  <c r="F778" i="1"/>
  <c r="E778" i="1"/>
  <c r="D778" i="1"/>
  <c r="C778" i="1"/>
  <c r="V777" i="1"/>
  <c r="Q777" i="1"/>
  <c r="P777" i="1"/>
  <c r="O777" i="1"/>
  <c r="N777" i="1"/>
  <c r="J777" i="1"/>
  <c r="I777" i="1"/>
  <c r="H777" i="1"/>
  <c r="G777" i="1"/>
  <c r="F777" i="1"/>
  <c r="E777" i="1"/>
  <c r="D777" i="1"/>
  <c r="C777" i="1"/>
  <c r="V776" i="1"/>
  <c r="Q776" i="1"/>
  <c r="P776" i="1"/>
  <c r="O776" i="1"/>
  <c r="N776" i="1"/>
  <c r="J776" i="1"/>
  <c r="I776" i="1"/>
  <c r="H776" i="1"/>
  <c r="G776" i="1"/>
  <c r="F776" i="1"/>
  <c r="E776" i="1"/>
  <c r="D776" i="1"/>
  <c r="C776" i="1"/>
  <c r="V775" i="1"/>
  <c r="Q775" i="1"/>
  <c r="P775" i="1"/>
  <c r="O775" i="1"/>
  <c r="N775" i="1"/>
  <c r="J775" i="1"/>
  <c r="I775" i="1"/>
  <c r="H775" i="1"/>
  <c r="G775" i="1"/>
  <c r="F775" i="1"/>
  <c r="E775" i="1"/>
  <c r="D775" i="1"/>
  <c r="C775" i="1"/>
  <c r="V774" i="1"/>
  <c r="Q774" i="1"/>
  <c r="P774" i="1"/>
  <c r="O774" i="1"/>
  <c r="N774" i="1"/>
  <c r="J774" i="1"/>
  <c r="I774" i="1"/>
  <c r="H774" i="1"/>
  <c r="G774" i="1"/>
  <c r="F774" i="1"/>
  <c r="E774" i="1"/>
  <c r="D774" i="1"/>
  <c r="C774" i="1"/>
  <c r="V773" i="1"/>
  <c r="Q773" i="1"/>
  <c r="P773" i="1"/>
  <c r="O773" i="1"/>
  <c r="N773" i="1"/>
  <c r="J773" i="1"/>
  <c r="I773" i="1"/>
  <c r="H773" i="1"/>
  <c r="G773" i="1"/>
  <c r="F773" i="1"/>
  <c r="E773" i="1"/>
  <c r="D773" i="1"/>
  <c r="C773" i="1"/>
  <c r="V772" i="1"/>
  <c r="Q772" i="1"/>
  <c r="P772" i="1"/>
  <c r="O772" i="1"/>
  <c r="N772" i="1"/>
  <c r="J772" i="1"/>
  <c r="I772" i="1"/>
  <c r="H772" i="1"/>
  <c r="G772" i="1"/>
  <c r="F772" i="1"/>
  <c r="E772" i="1"/>
  <c r="D772" i="1"/>
  <c r="C772" i="1"/>
  <c r="V771" i="1"/>
  <c r="Q771" i="1"/>
  <c r="P771" i="1"/>
  <c r="O771" i="1"/>
  <c r="N771" i="1"/>
  <c r="J771" i="1"/>
  <c r="I771" i="1"/>
  <c r="H771" i="1"/>
  <c r="G771" i="1"/>
  <c r="F771" i="1"/>
  <c r="E771" i="1"/>
  <c r="D771" i="1"/>
  <c r="C771" i="1"/>
  <c r="V770" i="1"/>
  <c r="Q770" i="1"/>
  <c r="P770" i="1"/>
  <c r="O770" i="1"/>
  <c r="N770" i="1"/>
  <c r="J770" i="1"/>
  <c r="I770" i="1"/>
  <c r="H770" i="1"/>
  <c r="G770" i="1"/>
  <c r="F770" i="1"/>
  <c r="E770" i="1"/>
  <c r="D770" i="1"/>
  <c r="C770" i="1"/>
  <c r="V769" i="1"/>
  <c r="Q769" i="1"/>
  <c r="P769" i="1"/>
  <c r="O769" i="1"/>
  <c r="N769" i="1"/>
  <c r="J769" i="1"/>
  <c r="I769" i="1"/>
  <c r="H769" i="1"/>
  <c r="G769" i="1"/>
  <c r="F769" i="1"/>
  <c r="E769" i="1"/>
  <c r="D769" i="1"/>
  <c r="C769" i="1"/>
  <c r="V768" i="1"/>
  <c r="Q768" i="1"/>
  <c r="P768" i="1"/>
  <c r="O768" i="1"/>
  <c r="N768" i="1"/>
  <c r="J768" i="1"/>
  <c r="I768" i="1"/>
  <c r="H768" i="1"/>
  <c r="G768" i="1"/>
  <c r="F768" i="1"/>
  <c r="E768" i="1"/>
  <c r="D768" i="1"/>
  <c r="C768" i="1"/>
  <c r="V767" i="1"/>
  <c r="Q767" i="1"/>
  <c r="P767" i="1"/>
  <c r="O767" i="1"/>
  <c r="N767" i="1"/>
  <c r="J767" i="1"/>
  <c r="I767" i="1"/>
  <c r="H767" i="1"/>
  <c r="G767" i="1"/>
  <c r="F767" i="1"/>
  <c r="E767" i="1"/>
  <c r="D767" i="1"/>
  <c r="C767" i="1"/>
  <c r="V766" i="1"/>
  <c r="Q766" i="1"/>
  <c r="P766" i="1"/>
  <c r="O766" i="1"/>
  <c r="N766" i="1"/>
  <c r="J766" i="1"/>
  <c r="I766" i="1"/>
  <c r="H766" i="1"/>
  <c r="G766" i="1"/>
  <c r="F766" i="1"/>
  <c r="E766" i="1"/>
  <c r="D766" i="1"/>
  <c r="C766" i="1"/>
  <c r="V765" i="1"/>
  <c r="Q765" i="1"/>
  <c r="P765" i="1"/>
  <c r="O765" i="1"/>
  <c r="N765" i="1"/>
  <c r="J765" i="1"/>
  <c r="I765" i="1"/>
  <c r="H765" i="1"/>
  <c r="G765" i="1"/>
  <c r="F765" i="1"/>
  <c r="E765" i="1"/>
  <c r="D765" i="1"/>
  <c r="C765" i="1"/>
  <c r="V764" i="1"/>
  <c r="Q764" i="1"/>
  <c r="P764" i="1"/>
  <c r="O764" i="1"/>
  <c r="N764" i="1"/>
  <c r="J764" i="1"/>
  <c r="I764" i="1"/>
  <c r="H764" i="1"/>
  <c r="G764" i="1"/>
  <c r="F764" i="1"/>
  <c r="E764" i="1"/>
  <c r="D764" i="1"/>
  <c r="C764" i="1"/>
  <c r="V763" i="1"/>
  <c r="Q763" i="1"/>
  <c r="P763" i="1"/>
  <c r="O763" i="1"/>
  <c r="N763" i="1"/>
  <c r="J763" i="1"/>
  <c r="I763" i="1"/>
  <c r="H763" i="1"/>
  <c r="G763" i="1"/>
  <c r="F763" i="1"/>
  <c r="E763" i="1"/>
  <c r="D763" i="1"/>
  <c r="C763" i="1"/>
  <c r="V762" i="1"/>
  <c r="Q762" i="1"/>
  <c r="P762" i="1"/>
  <c r="O762" i="1"/>
  <c r="N762" i="1"/>
  <c r="J762" i="1"/>
  <c r="I762" i="1"/>
  <c r="H762" i="1"/>
  <c r="G762" i="1"/>
  <c r="F762" i="1"/>
  <c r="E762" i="1"/>
  <c r="D762" i="1"/>
  <c r="C762" i="1"/>
  <c r="V761" i="1"/>
  <c r="Q761" i="1"/>
  <c r="P761" i="1"/>
  <c r="O761" i="1"/>
  <c r="N761" i="1"/>
  <c r="J761" i="1"/>
  <c r="I761" i="1"/>
  <c r="H761" i="1"/>
  <c r="G761" i="1"/>
  <c r="F761" i="1"/>
  <c r="E761" i="1"/>
  <c r="D761" i="1"/>
  <c r="C761" i="1"/>
  <c r="V760" i="1"/>
  <c r="Q760" i="1"/>
  <c r="P760" i="1"/>
  <c r="O760" i="1"/>
  <c r="N760" i="1"/>
  <c r="J760" i="1"/>
  <c r="I760" i="1"/>
  <c r="H760" i="1"/>
  <c r="G760" i="1"/>
  <c r="F760" i="1"/>
  <c r="E760" i="1"/>
  <c r="D760" i="1"/>
  <c r="C760" i="1"/>
  <c r="V759" i="1"/>
  <c r="Q759" i="1"/>
  <c r="P759" i="1"/>
  <c r="O759" i="1"/>
  <c r="N759" i="1"/>
  <c r="J759" i="1"/>
  <c r="I759" i="1"/>
  <c r="H759" i="1"/>
  <c r="G759" i="1"/>
  <c r="F759" i="1"/>
  <c r="E759" i="1"/>
  <c r="D759" i="1"/>
  <c r="C759" i="1"/>
  <c r="V758" i="1"/>
  <c r="Q758" i="1"/>
  <c r="P758" i="1"/>
  <c r="O758" i="1"/>
  <c r="N758" i="1"/>
  <c r="J758" i="1"/>
  <c r="I758" i="1"/>
  <c r="H758" i="1"/>
  <c r="G758" i="1"/>
  <c r="F758" i="1"/>
  <c r="E758" i="1"/>
  <c r="D758" i="1"/>
  <c r="C758" i="1"/>
  <c r="V757" i="1"/>
  <c r="Q757" i="1"/>
  <c r="P757" i="1"/>
  <c r="O757" i="1"/>
  <c r="N757" i="1"/>
  <c r="J757" i="1"/>
  <c r="I757" i="1"/>
  <c r="H757" i="1"/>
  <c r="G757" i="1"/>
  <c r="F757" i="1"/>
  <c r="E757" i="1"/>
  <c r="D757" i="1"/>
  <c r="C757" i="1"/>
  <c r="V756" i="1"/>
  <c r="Q756" i="1"/>
  <c r="P756" i="1"/>
  <c r="O756" i="1"/>
  <c r="N756" i="1"/>
  <c r="J756" i="1"/>
  <c r="I756" i="1"/>
  <c r="H756" i="1"/>
  <c r="G756" i="1"/>
  <c r="F756" i="1"/>
  <c r="E756" i="1"/>
  <c r="D756" i="1"/>
  <c r="C756" i="1"/>
  <c r="V755" i="1"/>
  <c r="Q755" i="1"/>
  <c r="P755" i="1"/>
  <c r="O755" i="1"/>
  <c r="N755" i="1"/>
  <c r="J755" i="1"/>
  <c r="I755" i="1"/>
  <c r="H755" i="1"/>
  <c r="G755" i="1"/>
  <c r="F755" i="1"/>
  <c r="E755" i="1"/>
  <c r="D755" i="1"/>
  <c r="C755" i="1"/>
  <c r="V754" i="1"/>
  <c r="Q754" i="1"/>
  <c r="P754" i="1"/>
  <c r="O754" i="1"/>
  <c r="N754" i="1"/>
  <c r="J754" i="1"/>
  <c r="I754" i="1"/>
  <c r="H754" i="1"/>
  <c r="G754" i="1"/>
  <c r="F754" i="1"/>
  <c r="E754" i="1"/>
  <c r="D754" i="1"/>
  <c r="C754" i="1"/>
  <c r="V753" i="1"/>
  <c r="Q753" i="1"/>
  <c r="P753" i="1"/>
  <c r="O753" i="1"/>
  <c r="N753" i="1"/>
  <c r="J753" i="1"/>
  <c r="I753" i="1"/>
  <c r="H753" i="1"/>
  <c r="G753" i="1"/>
  <c r="F753" i="1"/>
  <c r="E753" i="1"/>
  <c r="D753" i="1"/>
  <c r="C753" i="1"/>
  <c r="V752" i="1"/>
  <c r="Q752" i="1"/>
  <c r="P752" i="1"/>
  <c r="O752" i="1"/>
  <c r="N752" i="1"/>
  <c r="J752" i="1"/>
  <c r="I752" i="1"/>
  <c r="H752" i="1"/>
  <c r="G752" i="1"/>
  <c r="F752" i="1"/>
  <c r="E752" i="1"/>
  <c r="D752" i="1"/>
  <c r="C752" i="1"/>
  <c r="V751" i="1"/>
  <c r="Q751" i="1"/>
  <c r="P751" i="1"/>
  <c r="O751" i="1"/>
  <c r="N751" i="1"/>
  <c r="J751" i="1"/>
  <c r="I751" i="1"/>
  <c r="H751" i="1"/>
  <c r="G751" i="1"/>
  <c r="F751" i="1"/>
  <c r="E751" i="1"/>
  <c r="D751" i="1"/>
  <c r="C751" i="1"/>
  <c r="V750" i="1"/>
  <c r="Q750" i="1"/>
  <c r="P750" i="1"/>
  <c r="O750" i="1"/>
  <c r="N750" i="1"/>
  <c r="J750" i="1"/>
  <c r="I750" i="1"/>
  <c r="H750" i="1"/>
  <c r="G750" i="1"/>
  <c r="F750" i="1"/>
  <c r="E750" i="1"/>
  <c r="D750" i="1"/>
  <c r="C750" i="1"/>
  <c r="V749" i="1"/>
  <c r="Q749" i="1"/>
  <c r="P749" i="1"/>
  <c r="O749" i="1"/>
  <c r="N749" i="1"/>
  <c r="J749" i="1"/>
  <c r="I749" i="1"/>
  <c r="H749" i="1"/>
  <c r="G749" i="1"/>
  <c r="F749" i="1"/>
  <c r="E749" i="1"/>
  <c r="D749" i="1"/>
  <c r="C749" i="1"/>
  <c r="V748" i="1"/>
  <c r="Q748" i="1"/>
  <c r="P748" i="1"/>
  <c r="O748" i="1"/>
  <c r="N748" i="1"/>
  <c r="J748" i="1"/>
  <c r="I748" i="1"/>
  <c r="H748" i="1"/>
  <c r="G748" i="1"/>
  <c r="F748" i="1"/>
  <c r="E748" i="1"/>
  <c r="D748" i="1"/>
  <c r="C748" i="1"/>
  <c r="V747" i="1"/>
  <c r="Q747" i="1"/>
  <c r="P747" i="1"/>
  <c r="O747" i="1"/>
  <c r="N747" i="1"/>
  <c r="J747" i="1"/>
  <c r="I747" i="1"/>
  <c r="H747" i="1"/>
  <c r="G747" i="1"/>
  <c r="F747" i="1"/>
  <c r="E747" i="1"/>
  <c r="D747" i="1"/>
  <c r="C747" i="1"/>
  <c r="V746" i="1"/>
  <c r="Q746" i="1"/>
  <c r="P746" i="1"/>
  <c r="O746" i="1"/>
  <c r="N746" i="1"/>
  <c r="I746" i="1"/>
  <c r="H746" i="1"/>
  <c r="G746" i="1"/>
  <c r="F746" i="1"/>
  <c r="E746" i="1"/>
  <c r="D746" i="1"/>
  <c r="C746" i="1"/>
  <c r="V745" i="1"/>
  <c r="Q745" i="1"/>
  <c r="P745" i="1"/>
  <c r="O745" i="1"/>
  <c r="N745" i="1"/>
  <c r="I745" i="1"/>
  <c r="H745" i="1"/>
  <c r="G745" i="1"/>
  <c r="F745" i="1"/>
  <c r="E745" i="1"/>
  <c r="D745" i="1"/>
  <c r="C745" i="1"/>
  <c r="V744" i="1"/>
  <c r="Q744" i="1"/>
  <c r="P744" i="1"/>
  <c r="O744" i="1"/>
  <c r="N744" i="1"/>
  <c r="I744" i="1"/>
  <c r="H744" i="1"/>
  <c r="G744" i="1"/>
  <c r="F744" i="1"/>
  <c r="E744" i="1"/>
  <c r="D744" i="1"/>
  <c r="C744" i="1"/>
  <c r="V743" i="1"/>
  <c r="Q743" i="1"/>
  <c r="P743" i="1"/>
  <c r="O743" i="1"/>
  <c r="N743" i="1"/>
  <c r="H743" i="1"/>
  <c r="G743" i="1"/>
  <c r="F743" i="1"/>
  <c r="E743" i="1"/>
  <c r="D743" i="1"/>
  <c r="C743" i="1"/>
  <c r="V742" i="1"/>
  <c r="Q742" i="1"/>
  <c r="P742" i="1"/>
  <c r="O742" i="1"/>
  <c r="N742" i="1"/>
  <c r="H742" i="1"/>
  <c r="G742" i="1"/>
  <c r="F742" i="1"/>
  <c r="E742" i="1"/>
  <c r="D742" i="1"/>
  <c r="C742" i="1"/>
  <c r="V741" i="1"/>
  <c r="Q741" i="1"/>
  <c r="P741" i="1"/>
  <c r="O741" i="1"/>
  <c r="N741" i="1"/>
  <c r="H741" i="1"/>
  <c r="G741" i="1"/>
  <c r="F741" i="1"/>
  <c r="E741" i="1"/>
  <c r="D741" i="1"/>
  <c r="C741" i="1"/>
  <c r="V740" i="1"/>
  <c r="Q740" i="1"/>
  <c r="P740" i="1"/>
  <c r="O740" i="1"/>
  <c r="N740" i="1"/>
  <c r="G740" i="1"/>
  <c r="F740" i="1"/>
  <c r="E740" i="1"/>
  <c r="D740" i="1"/>
  <c r="C740" i="1"/>
  <c r="V739" i="1"/>
  <c r="Q739" i="1"/>
  <c r="P739" i="1"/>
  <c r="O739" i="1"/>
  <c r="N739" i="1"/>
  <c r="F739" i="1"/>
  <c r="E739" i="1"/>
  <c r="D739" i="1"/>
  <c r="C739" i="1"/>
  <c r="V738" i="1"/>
  <c r="Q738" i="1"/>
  <c r="P738" i="1"/>
  <c r="O738" i="1"/>
  <c r="N738" i="1"/>
  <c r="F738" i="1"/>
  <c r="E738" i="1"/>
  <c r="D738" i="1"/>
  <c r="C738" i="1"/>
  <c r="V737" i="1"/>
  <c r="Q737" i="1"/>
  <c r="P737" i="1"/>
  <c r="O737" i="1"/>
  <c r="N737" i="1"/>
  <c r="F737" i="1"/>
  <c r="E737" i="1"/>
  <c r="D737" i="1"/>
  <c r="C737" i="1"/>
  <c r="V736" i="1"/>
  <c r="Q736" i="1"/>
  <c r="P736" i="1"/>
  <c r="O736" i="1"/>
  <c r="N736" i="1"/>
  <c r="G736" i="1"/>
  <c r="F736" i="1"/>
  <c r="E736" i="1"/>
  <c r="D736" i="1"/>
  <c r="C736" i="1"/>
  <c r="V735" i="1"/>
  <c r="Q735" i="1"/>
  <c r="P735" i="1"/>
  <c r="O735" i="1"/>
  <c r="N735" i="1"/>
  <c r="H735" i="1"/>
  <c r="G735" i="1"/>
  <c r="F735" i="1"/>
  <c r="E735" i="1"/>
  <c r="D735" i="1"/>
  <c r="C735" i="1"/>
  <c r="V734" i="1"/>
  <c r="Q734" i="1"/>
  <c r="P734" i="1"/>
  <c r="O734" i="1"/>
  <c r="N734" i="1"/>
  <c r="I734" i="1"/>
  <c r="H734" i="1"/>
  <c r="G734" i="1"/>
  <c r="F734" i="1"/>
  <c r="E734" i="1"/>
  <c r="D734" i="1"/>
  <c r="C734" i="1"/>
  <c r="V733" i="1"/>
  <c r="Q733" i="1"/>
  <c r="P733" i="1"/>
  <c r="O733" i="1"/>
  <c r="N733" i="1"/>
  <c r="J733" i="1"/>
  <c r="I733" i="1"/>
  <c r="H733" i="1"/>
  <c r="G733" i="1"/>
  <c r="F733" i="1"/>
  <c r="E733" i="1"/>
  <c r="D733" i="1"/>
  <c r="C733" i="1"/>
  <c r="V732" i="1"/>
  <c r="Q732" i="1"/>
  <c r="P732" i="1"/>
  <c r="O732" i="1"/>
  <c r="N732" i="1"/>
  <c r="J732" i="1"/>
  <c r="I732" i="1"/>
  <c r="H732" i="1"/>
  <c r="G732" i="1"/>
  <c r="F732" i="1"/>
  <c r="E732" i="1"/>
  <c r="D732" i="1"/>
  <c r="C732" i="1"/>
  <c r="V731" i="1"/>
  <c r="Q731" i="1"/>
  <c r="P731" i="1"/>
  <c r="O731" i="1"/>
  <c r="N731" i="1"/>
  <c r="J731" i="1"/>
  <c r="I731" i="1"/>
  <c r="H731" i="1"/>
  <c r="G731" i="1"/>
  <c r="F731" i="1"/>
  <c r="E731" i="1"/>
  <c r="D731" i="1"/>
  <c r="C731" i="1"/>
  <c r="V730" i="1"/>
  <c r="Q730" i="1"/>
  <c r="P730" i="1"/>
  <c r="O730" i="1"/>
  <c r="N730" i="1"/>
  <c r="J730" i="1"/>
  <c r="I730" i="1"/>
  <c r="H730" i="1"/>
  <c r="G730" i="1"/>
  <c r="F730" i="1"/>
  <c r="E730" i="1"/>
  <c r="D730" i="1"/>
  <c r="C730" i="1"/>
  <c r="V729" i="1"/>
  <c r="Q729" i="1"/>
  <c r="P729" i="1"/>
  <c r="O729" i="1"/>
  <c r="N729" i="1"/>
  <c r="J729" i="1"/>
  <c r="I729" i="1"/>
  <c r="H729" i="1"/>
  <c r="G729" i="1"/>
  <c r="F729" i="1"/>
  <c r="E729" i="1"/>
  <c r="D729" i="1"/>
  <c r="C729" i="1"/>
  <c r="V728" i="1"/>
  <c r="Q728" i="1"/>
  <c r="P728" i="1"/>
  <c r="O728" i="1"/>
  <c r="N728" i="1"/>
  <c r="J728" i="1"/>
  <c r="I728" i="1"/>
  <c r="H728" i="1"/>
  <c r="G728" i="1"/>
  <c r="F728" i="1"/>
  <c r="E728" i="1"/>
  <c r="D728" i="1"/>
  <c r="C728" i="1"/>
  <c r="V727" i="1"/>
  <c r="Q727" i="1"/>
  <c r="P727" i="1"/>
  <c r="O727" i="1"/>
  <c r="N727" i="1"/>
  <c r="J727" i="1"/>
  <c r="I727" i="1"/>
  <c r="H727" i="1"/>
  <c r="G727" i="1"/>
  <c r="F727" i="1"/>
  <c r="E727" i="1"/>
  <c r="D727" i="1"/>
  <c r="C727" i="1"/>
  <c r="V726" i="1"/>
  <c r="Q726" i="1"/>
  <c r="P726" i="1"/>
  <c r="O726" i="1"/>
  <c r="N726" i="1"/>
  <c r="J726" i="1"/>
  <c r="I726" i="1"/>
  <c r="H726" i="1"/>
  <c r="G726" i="1"/>
  <c r="F726" i="1"/>
  <c r="E726" i="1"/>
  <c r="D726" i="1"/>
  <c r="C726" i="1"/>
  <c r="V725" i="1"/>
  <c r="Q725" i="1"/>
  <c r="P725" i="1"/>
  <c r="O725" i="1"/>
  <c r="N725" i="1"/>
  <c r="J725" i="1"/>
  <c r="I725" i="1"/>
  <c r="H725" i="1"/>
  <c r="G725" i="1"/>
  <c r="F725" i="1"/>
  <c r="E725" i="1"/>
  <c r="D725" i="1"/>
  <c r="C725" i="1"/>
  <c r="V724" i="1"/>
  <c r="Q724" i="1"/>
  <c r="P724" i="1"/>
  <c r="O724" i="1"/>
  <c r="N724" i="1"/>
  <c r="J724" i="1"/>
  <c r="I724" i="1"/>
  <c r="H724" i="1"/>
  <c r="G724" i="1"/>
  <c r="F724" i="1"/>
  <c r="E724" i="1"/>
  <c r="D724" i="1"/>
  <c r="C724" i="1"/>
  <c r="V723" i="1"/>
  <c r="Q723" i="1"/>
  <c r="P723" i="1"/>
  <c r="O723" i="1"/>
  <c r="N723" i="1"/>
  <c r="J723" i="1"/>
  <c r="I723" i="1"/>
  <c r="H723" i="1"/>
  <c r="G723" i="1"/>
  <c r="F723" i="1"/>
  <c r="E723" i="1"/>
  <c r="D723" i="1"/>
  <c r="C723" i="1"/>
  <c r="V722" i="1"/>
  <c r="Q722" i="1"/>
  <c r="P722" i="1"/>
  <c r="O722" i="1"/>
  <c r="N722" i="1"/>
  <c r="J722" i="1"/>
  <c r="I722" i="1"/>
  <c r="H722" i="1"/>
  <c r="G722" i="1"/>
  <c r="F722" i="1"/>
  <c r="E722" i="1"/>
  <c r="D722" i="1"/>
  <c r="C722" i="1"/>
  <c r="V721" i="1"/>
  <c r="Q721" i="1"/>
  <c r="P721" i="1"/>
  <c r="O721" i="1"/>
  <c r="N721" i="1"/>
  <c r="J721" i="1"/>
  <c r="I721" i="1"/>
  <c r="H721" i="1"/>
  <c r="G721" i="1"/>
  <c r="F721" i="1"/>
  <c r="E721" i="1"/>
  <c r="D721" i="1"/>
  <c r="C721" i="1"/>
  <c r="V720" i="1"/>
  <c r="Q720" i="1"/>
  <c r="P720" i="1"/>
  <c r="O720" i="1"/>
  <c r="N720" i="1"/>
  <c r="J720" i="1"/>
  <c r="I720" i="1"/>
  <c r="H720" i="1"/>
  <c r="G720" i="1"/>
  <c r="F720" i="1"/>
  <c r="E720" i="1"/>
  <c r="D720" i="1"/>
  <c r="C720" i="1"/>
  <c r="V719" i="1"/>
  <c r="Q719" i="1"/>
  <c r="P719" i="1"/>
  <c r="O719" i="1"/>
  <c r="N719" i="1"/>
  <c r="J719" i="1"/>
  <c r="I719" i="1"/>
  <c r="H719" i="1"/>
  <c r="G719" i="1"/>
  <c r="F719" i="1"/>
  <c r="E719" i="1"/>
  <c r="D719" i="1"/>
  <c r="C719" i="1"/>
  <c r="V718" i="1"/>
  <c r="Q718" i="1"/>
  <c r="P718" i="1"/>
  <c r="O718" i="1"/>
  <c r="N718" i="1"/>
  <c r="J718" i="1"/>
  <c r="I718" i="1"/>
  <c r="H718" i="1"/>
  <c r="G718" i="1"/>
  <c r="F718" i="1"/>
  <c r="E718" i="1"/>
  <c r="D718" i="1"/>
  <c r="C718" i="1"/>
  <c r="V717" i="1"/>
  <c r="Q717" i="1"/>
  <c r="P717" i="1"/>
  <c r="O717" i="1"/>
  <c r="N717" i="1"/>
  <c r="J717" i="1"/>
  <c r="I717" i="1"/>
  <c r="H717" i="1"/>
  <c r="G717" i="1"/>
  <c r="F717" i="1"/>
  <c r="E717" i="1"/>
  <c r="D717" i="1"/>
  <c r="C717" i="1"/>
  <c r="V716" i="1"/>
  <c r="Q716" i="1"/>
  <c r="P716" i="1"/>
  <c r="O716" i="1"/>
  <c r="N716" i="1"/>
  <c r="J716" i="1"/>
  <c r="I716" i="1"/>
  <c r="H716" i="1"/>
  <c r="G716" i="1"/>
  <c r="F716" i="1"/>
  <c r="E716" i="1"/>
  <c r="D716" i="1"/>
  <c r="C716" i="1"/>
  <c r="V715" i="1"/>
  <c r="Q715" i="1"/>
  <c r="P715" i="1"/>
  <c r="O715" i="1"/>
  <c r="N715" i="1"/>
  <c r="J715" i="1"/>
  <c r="I715" i="1"/>
  <c r="H715" i="1"/>
  <c r="G715" i="1"/>
  <c r="F715" i="1"/>
  <c r="E715" i="1"/>
  <c r="D715" i="1"/>
  <c r="C715" i="1"/>
  <c r="V714" i="1"/>
  <c r="Q714" i="1"/>
  <c r="P714" i="1"/>
  <c r="O714" i="1"/>
  <c r="N714" i="1"/>
  <c r="J714" i="1"/>
  <c r="I714" i="1"/>
  <c r="H714" i="1"/>
  <c r="G714" i="1"/>
  <c r="F714" i="1"/>
  <c r="E714" i="1"/>
  <c r="D714" i="1"/>
  <c r="C714" i="1"/>
  <c r="V713" i="1"/>
  <c r="Q713" i="1"/>
  <c r="P713" i="1"/>
  <c r="O713" i="1"/>
  <c r="N713" i="1"/>
  <c r="J713" i="1"/>
  <c r="I713" i="1"/>
  <c r="H713" i="1"/>
  <c r="G713" i="1"/>
  <c r="F713" i="1"/>
  <c r="E713" i="1"/>
  <c r="D713" i="1"/>
  <c r="C713" i="1"/>
  <c r="V712" i="1"/>
  <c r="Q712" i="1"/>
  <c r="P712" i="1"/>
  <c r="O712" i="1"/>
  <c r="N712" i="1"/>
  <c r="J712" i="1"/>
  <c r="I712" i="1"/>
  <c r="H712" i="1"/>
  <c r="G712" i="1"/>
  <c r="F712" i="1"/>
  <c r="E712" i="1"/>
  <c r="D712" i="1"/>
  <c r="C712" i="1"/>
  <c r="V711" i="1"/>
  <c r="Q711" i="1"/>
  <c r="P711" i="1"/>
  <c r="O711" i="1"/>
  <c r="N711" i="1"/>
  <c r="J711" i="1"/>
  <c r="I711" i="1"/>
  <c r="H711" i="1"/>
  <c r="G711" i="1"/>
  <c r="F711" i="1"/>
  <c r="E711" i="1"/>
  <c r="D711" i="1"/>
  <c r="C711" i="1"/>
  <c r="V710" i="1"/>
  <c r="Q710" i="1"/>
  <c r="P710" i="1"/>
  <c r="O710" i="1"/>
  <c r="N710" i="1"/>
  <c r="J710" i="1"/>
  <c r="I710" i="1"/>
  <c r="H710" i="1"/>
  <c r="G710" i="1"/>
  <c r="F710" i="1"/>
  <c r="E710" i="1"/>
  <c r="D710" i="1"/>
  <c r="C710" i="1"/>
  <c r="V709" i="1"/>
  <c r="Q709" i="1"/>
  <c r="P709" i="1"/>
  <c r="O709" i="1"/>
  <c r="N709" i="1"/>
  <c r="J709" i="1"/>
  <c r="I709" i="1"/>
  <c r="H709" i="1"/>
  <c r="G709" i="1"/>
  <c r="F709" i="1"/>
  <c r="E709" i="1"/>
  <c r="D709" i="1"/>
  <c r="C709" i="1"/>
  <c r="V708" i="1"/>
  <c r="Q708" i="1"/>
  <c r="P708" i="1"/>
  <c r="O708" i="1"/>
  <c r="N708" i="1"/>
  <c r="J708" i="1"/>
  <c r="I708" i="1"/>
  <c r="H708" i="1"/>
  <c r="G708" i="1"/>
  <c r="F708" i="1"/>
  <c r="E708" i="1"/>
  <c r="D708" i="1"/>
  <c r="C708" i="1"/>
  <c r="V707" i="1"/>
  <c r="Q707" i="1"/>
  <c r="P707" i="1"/>
  <c r="O707" i="1"/>
  <c r="N707" i="1"/>
  <c r="J707" i="1"/>
  <c r="I707" i="1"/>
  <c r="H707" i="1"/>
  <c r="G707" i="1"/>
  <c r="F707" i="1"/>
  <c r="E707" i="1"/>
  <c r="D707" i="1"/>
  <c r="C707" i="1"/>
  <c r="V706" i="1"/>
  <c r="Q706" i="1"/>
  <c r="P706" i="1"/>
  <c r="O706" i="1"/>
  <c r="N706" i="1"/>
  <c r="J706" i="1"/>
  <c r="I706" i="1"/>
  <c r="H706" i="1"/>
  <c r="G706" i="1"/>
  <c r="F706" i="1"/>
  <c r="E706" i="1"/>
  <c r="D706" i="1"/>
  <c r="C706" i="1"/>
  <c r="V705" i="1"/>
  <c r="Q705" i="1"/>
  <c r="P705" i="1"/>
  <c r="O705" i="1"/>
  <c r="N705" i="1"/>
  <c r="J705" i="1"/>
  <c r="I705" i="1"/>
  <c r="H705" i="1"/>
  <c r="G705" i="1"/>
  <c r="F705" i="1"/>
  <c r="E705" i="1"/>
  <c r="D705" i="1"/>
  <c r="C705" i="1"/>
  <c r="V704" i="1"/>
  <c r="Q704" i="1"/>
  <c r="P704" i="1"/>
  <c r="O704" i="1"/>
  <c r="N704" i="1"/>
  <c r="I704" i="1"/>
  <c r="H704" i="1"/>
  <c r="G704" i="1"/>
  <c r="F704" i="1"/>
  <c r="E704" i="1"/>
  <c r="D704" i="1"/>
  <c r="C704" i="1"/>
  <c r="V703" i="1"/>
  <c r="Q703" i="1"/>
  <c r="P703" i="1"/>
  <c r="O703" i="1"/>
  <c r="N703" i="1"/>
  <c r="I703" i="1"/>
  <c r="H703" i="1"/>
  <c r="G703" i="1"/>
  <c r="F703" i="1"/>
  <c r="E703" i="1"/>
  <c r="D703" i="1"/>
  <c r="C703" i="1"/>
  <c r="V702" i="1"/>
  <c r="Q702" i="1"/>
  <c r="P702" i="1"/>
  <c r="O702" i="1"/>
  <c r="N702" i="1"/>
  <c r="I702" i="1"/>
  <c r="H702" i="1"/>
  <c r="G702" i="1"/>
  <c r="F702" i="1"/>
  <c r="E702" i="1"/>
  <c r="D702" i="1"/>
  <c r="C702" i="1"/>
  <c r="V701" i="1"/>
  <c r="Q701" i="1"/>
  <c r="P701" i="1"/>
  <c r="O701" i="1"/>
  <c r="N701" i="1"/>
  <c r="I701" i="1"/>
  <c r="H701" i="1"/>
  <c r="G701" i="1"/>
  <c r="F701" i="1"/>
  <c r="E701" i="1"/>
  <c r="D701" i="1"/>
  <c r="C701" i="1"/>
  <c r="V700" i="1"/>
  <c r="Q700" i="1"/>
  <c r="P700" i="1"/>
  <c r="O700" i="1"/>
  <c r="N700" i="1"/>
  <c r="I700" i="1"/>
  <c r="H700" i="1"/>
  <c r="G700" i="1"/>
  <c r="F700" i="1"/>
  <c r="E700" i="1"/>
  <c r="D700" i="1"/>
  <c r="C700" i="1"/>
  <c r="V699" i="1"/>
  <c r="Q699" i="1"/>
  <c r="P699" i="1"/>
  <c r="O699" i="1"/>
  <c r="N699" i="1"/>
  <c r="I699" i="1"/>
  <c r="H699" i="1"/>
  <c r="G699" i="1"/>
  <c r="F699" i="1"/>
  <c r="E699" i="1"/>
  <c r="D699" i="1"/>
  <c r="C699" i="1"/>
  <c r="V698" i="1"/>
  <c r="Q698" i="1"/>
  <c r="P698" i="1"/>
  <c r="O698" i="1"/>
  <c r="N698" i="1"/>
  <c r="I698" i="1"/>
  <c r="H698" i="1"/>
  <c r="G698" i="1"/>
  <c r="F698" i="1"/>
  <c r="E698" i="1"/>
  <c r="D698" i="1"/>
  <c r="V697" i="1"/>
  <c r="Q697" i="1"/>
  <c r="P697" i="1"/>
  <c r="O697" i="1"/>
  <c r="N697" i="1"/>
  <c r="I697" i="1"/>
  <c r="H697" i="1"/>
  <c r="G697" i="1"/>
  <c r="F697" i="1"/>
  <c r="E697" i="1"/>
  <c r="D697" i="1"/>
  <c r="V696" i="1"/>
  <c r="Q696" i="1"/>
  <c r="P696" i="1"/>
  <c r="O696" i="1"/>
  <c r="N696" i="1"/>
  <c r="I696" i="1"/>
  <c r="H696" i="1"/>
  <c r="G696" i="1"/>
  <c r="F696" i="1"/>
  <c r="E696" i="1"/>
  <c r="D696" i="1"/>
  <c r="V695" i="1"/>
  <c r="Q695" i="1"/>
  <c r="P695" i="1"/>
  <c r="O695" i="1"/>
  <c r="N695" i="1"/>
  <c r="I695" i="1"/>
  <c r="H695" i="1"/>
  <c r="G695" i="1"/>
  <c r="F695" i="1"/>
  <c r="E695" i="1"/>
  <c r="D695" i="1"/>
  <c r="V694" i="1"/>
  <c r="Q694" i="1"/>
  <c r="P694" i="1"/>
  <c r="O694" i="1"/>
  <c r="N694" i="1"/>
  <c r="I694" i="1"/>
  <c r="H694" i="1"/>
  <c r="G694" i="1"/>
  <c r="F694" i="1"/>
  <c r="E694" i="1"/>
  <c r="D694" i="1"/>
  <c r="V693" i="1"/>
  <c r="Q693" i="1"/>
  <c r="P693" i="1"/>
  <c r="O693" i="1"/>
  <c r="N693" i="1"/>
  <c r="I693" i="1"/>
  <c r="H693" i="1"/>
  <c r="G693" i="1"/>
  <c r="F693" i="1"/>
  <c r="E693" i="1"/>
  <c r="D693" i="1"/>
  <c r="V692" i="1"/>
  <c r="Q692" i="1"/>
  <c r="P692" i="1"/>
  <c r="O692" i="1"/>
  <c r="N692" i="1"/>
  <c r="I692" i="1"/>
  <c r="H692" i="1"/>
  <c r="G692" i="1"/>
  <c r="F692" i="1"/>
  <c r="E692" i="1"/>
  <c r="D692" i="1"/>
  <c r="V691" i="1"/>
  <c r="Q691" i="1"/>
  <c r="P691" i="1"/>
  <c r="O691" i="1"/>
  <c r="N691" i="1"/>
  <c r="I691" i="1"/>
  <c r="H691" i="1"/>
  <c r="G691" i="1"/>
  <c r="F691" i="1"/>
  <c r="E691" i="1"/>
  <c r="D691" i="1"/>
  <c r="V690" i="1"/>
  <c r="Q690" i="1"/>
  <c r="P690" i="1"/>
  <c r="O690" i="1"/>
  <c r="N690" i="1"/>
  <c r="I690" i="1"/>
  <c r="H690" i="1"/>
  <c r="G690" i="1"/>
  <c r="F690" i="1"/>
  <c r="E690" i="1"/>
  <c r="D690" i="1"/>
  <c r="V689" i="1"/>
  <c r="Q689" i="1"/>
  <c r="P689" i="1"/>
  <c r="O689" i="1"/>
  <c r="N689" i="1"/>
  <c r="I689" i="1"/>
  <c r="H689" i="1"/>
  <c r="G689" i="1"/>
  <c r="F689" i="1"/>
  <c r="E689" i="1"/>
  <c r="D689" i="1"/>
  <c r="V688" i="1"/>
  <c r="Q688" i="1"/>
  <c r="P688" i="1"/>
  <c r="O688" i="1"/>
  <c r="N688" i="1"/>
  <c r="I688" i="1"/>
  <c r="H688" i="1"/>
  <c r="G688" i="1"/>
  <c r="F688" i="1"/>
  <c r="E688" i="1"/>
  <c r="V687" i="1"/>
  <c r="Q687" i="1"/>
  <c r="P687" i="1"/>
  <c r="O687" i="1"/>
  <c r="N687" i="1"/>
  <c r="I687" i="1"/>
  <c r="H687" i="1"/>
  <c r="G687" i="1"/>
  <c r="F687" i="1"/>
  <c r="E687" i="1"/>
  <c r="V686" i="1"/>
  <c r="Q686" i="1"/>
  <c r="P686" i="1"/>
  <c r="O686" i="1"/>
  <c r="N686" i="1"/>
  <c r="I686" i="1"/>
  <c r="H686" i="1"/>
  <c r="G686" i="1"/>
  <c r="F686" i="1"/>
  <c r="E686" i="1"/>
  <c r="V685" i="1"/>
  <c r="Q685" i="1"/>
  <c r="P685" i="1"/>
  <c r="O685" i="1"/>
  <c r="N685" i="1"/>
  <c r="I685" i="1"/>
  <c r="H685" i="1"/>
  <c r="G685" i="1"/>
  <c r="F685" i="1"/>
  <c r="E685" i="1"/>
  <c r="V684" i="1"/>
  <c r="Q684" i="1"/>
  <c r="P684" i="1"/>
  <c r="O684" i="1"/>
  <c r="N684" i="1"/>
  <c r="I684" i="1"/>
  <c r="H684" i="1"/>
  <c r="G684" i="1"/>
  <c r="F684" i="1"/>
  <c r="E684" i="1"/>
  <c r="V683" i="1"/>
  <c r="Q683" i="1"/>
  <c r="P683" i="1"/>
  <c r="O683" i="1"/>
  <c r="N683" i="1"/>
  <c r="I683" i="1"/>
  <c r="H683" i="1"/>
  <c r="G683" i="1"/>
  <c r="F683" i="1"/>
  <c r="E683" i="1"/>
  <c r="V682" i="1"/>
  <c r="Q682" i="1"/>
  <c r="P682" i="1"/>
  <c r="O682" i="1"/>
  <c r="N682" i="1"/>
  <c r="I682" i="1"/>
  <c r="H682" i="1"/>
  <c r="G682" i="1"/>
  <c r="F682" i="1"/>
  <c r="E682" i="1"/>
  <c r="V681" i="1"/>
  <c r="Q681" i="1"/>
  <c r="P681" i="1"/>
  <c r="O681" i="1"/>
  <c r="N681" i="1"/>
  <c r="I681" i="1"/>
  <c r="H681" i="1"/>
  <c r="G681" i="1"/>
  <c r="F681" i="1"/>
  <c r="E681" i="1"/>
  <c r="V680" i="1"/>
  <c r="Q680" i="1"/>
  <c r="P680" i="1"/>
  <c r="O680" i="1"/>
  <c r="N680" i="1"/>
  <c r="I680" i="1"/>
  <c r="H680" i="1"/>
  <c r="G680" i="1"/>
  <c r="F680" i="1"/>
  <c r="E680" i="1"/>
  <c r="V679" i="1"/>
  <c r="Q679" i="1"/>
  <c r="P679" i="1"/>
  <c r="O679" i="1"/>
  <c r="N679" i="1"/>
  <c r="I679" i="1"/>
  <c r="H679" i="1"/>
  <c r="G679" i="1"/>
  <c r="F679" i="1"/>
  <c r="E679" i="1"/>
  <c r="V678" i="1"/>
  <c r="Q678" i="1"/>
  <c r="P678" i="1"/>
  <c r="O678" i="1"/>
  <c r="N678" i="1"/>
  <c r="I678" i="1"/>
  <c r="H678" i="1"/>
  <c r="G678" i="1"/>
  <c r="F678" i="1"/>
  <c r="E678" i="1"/>
  <c r="V677" i="1"/>
  <c r="Q677" i="1"/>
  <c r="P677" i="1"/>
  <c r="O677" i="1"/>
  <c r="N677" i="1"/>
  <c r="I677" i="1"/>
  <c r="H677" i="1"/>
  <c r="G677" i="1"/>
  <c r="F677" i="1"/>
  <c r="E677" i="1"/>
  <c r="V676" i="1"/>
  <c r="Q676" i="1"/>
  <c r="P676" i="1"/>
  <c r="O676" i="1"/>
  <c r="N676" i="1"/>
  <c r="I676" i="1"/>
  <c r="H676" i="1"/>
  <c r="G676" i="1"/>
  <c r="F676" i="1"/>
  <c r="E676" i="1"/>
  <c r="V675" i="1"/>
  <c r="Q675" i="1"/>
  <c r="P675" i="1"/>
  <c r="O675" i="1"/>
  <c r="N675" i="1"/>
  <c r="I675" i="1"/>
  <c r="H675" i="1"/>
  <c r="G675" i="1"/>
  <c r="F675" i="1"/>
  <c r="E675" i="1"/>
  <c r="V674" i="1"/>
  <c r="Q674" i="1"/>
  <c r="P674" i="1"/>
  <c r="O674" i="1"/>
  <c r="N674" i="1"/>
  <c r="I674" i="1"/>
  <c r="H674" i="1"/>
  <c r="G674" i="1"/>
  <c r="F674" i="1"/>
  <c r="E674" i="1"/>
  <c r="V673" i="1"/>
  <c r="Q673" i="1"/>
  <c r="P673" i="1"/>
  <c r="O673" i="1"/>
  <c r="N673" i="1"/>
  <c r="I673" i="1"/>
  <c r="H673" i="1"/>
  <c r="G673" i="1"/>
  <c r="F673" i="1"/>
  <c r="E673" i="1"/>
  <c r="V672" i="1"/>
  <c r="Q672" i="1"/>
  <c r="P672" i="1"/>
  <c r="O672" i="1"/>
  <c r="N672" i="1"/>
  <c r="I672" i="1"/>
  <c r="H672" i="1"/>
  <c r="G672" i="1"/>
  <c r="F672" i="1"/>
  <c r="E672" i="1"/>
  <c r="V671" i="1"/>
  <c r="Q671" i="1"/>
  <c r="P671" i="1"/>
  <c r="O671" i="1"/>
  <c r="N671" i="1"/>
  <c r="I671" i="1"/>
  <c r="H671" i="1"/>
  <c r="G671" i="1"/>
  <c r="F671" i="1"/>
  <c r="E671" i="1"/>
  <c r="V670" i="1"/>
  <c r="Q670" i="1"/>
  <c r="P670" i="1"/>
  <c r="O670" i="1"/>
  <c r="N670" i="1"/>
  <c r="I670" i="1"/>
  <c r="H670" i="1"/>
  <c r="G670" i="1"/>
  <c r="F670" i="1"/>
  <c r="E670" i="1"/>
  <c r="V669" i="1"/>
  <c r="Q669" i="1"/>
  <c r="P669" i="1"/>
  <c r="O669" i="1"/>
  <c r="N669" i="1"/>
  <c r="I669" i="1"/>
  <c r="H669" i="1"/>
  <c r="G669" i="1"/>
  <c r="F669" i="1"/>
  <c r="E669" i="1"/>
  <c r="V668" i="1"/>
  <c r="Q668" i="1"/>
  <c r="P668" i="1"/>
  <c r="O668" i="1"/>
  <c r="N668" i="1"/>
  <c r="I668" i="1"/>
  <c r="H668" i="1"/>
  <c r="G668" i="1"/>
  <c r="F668" i="1"/>
  <c r="E668" i="1"/>
  <c r="V667" i="1"/>
  <c r="Q667" i="1"/>
  <c r="P667" i="1"/>
  <c r="O667" i="1"/>
  <c r="N667" i="1"/>
  <c r="I667" i="1"/>
  <c r="H667" i="1"/>
  <c r="G667" i="1"/>
  <c r="F667" i="1"/>
  <c r="E667" i="1"/>
  <c r="V666" i="1"/>
  <c r="Q666" i="1"/>
  <c r="P666" i="1"/>
  <c r="O666" i="1"/>
  <c r="N666" i="1"/>
  <c r="I666" i="1"/>
  <c r="H666" i="1"/>
  <c r="G666" i="1"/>
  <c r="F666" i="1"/>
  <c r="E666" i="1"/>
  <c r="V665" i="1"/>
  <c r="Q665" i="1"/>
  <c r="P665" i="1"/>
  <c r="O665" i="1"/>
  <c r="N665" i="1"/>
  <c r="I665" i="1"/>
  <c r="H665" i="1"/>
  <c r="G665" i="1"/>
  <c r="F665" i="1"/>
  <c r="E665" i="1"/>
  <c r="V664" i="1"/>
  <c r="Q664" i="1"/>
  <c r="P664" i="1"/>
  <c r="O664" i="1"/>
  <c r="N664" i="1"/>
  <c r="I664" i="1"/>
  <c r="H664" i="1"/>
  <c r="G664" i="1"/>
  <c r="F664" i="1"/>
  <c r="E664" i="1"/>
  <c r="V663" i="1"/>
  <c r="Q663" i="1"/>
  <c r="P663" i="1"/>
  <c r="O663" i="1"/>
  <c r="N663" i="1"/>
  <c r="I663" i="1"/>
  <c r="H663" i="1"/>
  <c r="G663" i="1"/>
  <c r="F663" i="1"/>
  <c r="E663" i="1"/>
  <c r="V662" i="1"/>
  <c r="Q662" i="1"/>
  <c r="P662" i="1"/>
  <c r="O662" i="1"/>
  <c r="N662" i="1"/>
  <c r="I662" i="1"/>
  <c r="H662" i="1"/>
  <c r="G662" i="1"/>
  <c r="F662" i="1"/>
  <c r="E662" i="1"/>
  <c r="V661" i="1"/>
  <c r="Q661" i="1"/>
  <c r="P661" i="1"/>
  <c r="O661" i="1"/>
  <c r="N661" i="1"/>
  <c r="I661" i="1"/>
  <c r="H661" i="1"/>
  <c r="G661" i="1"/>
  <c r="F661" i="1"/>
  <c r="E661" i="1"/>
  <c r="V660" i="1"/>
  <c r="Q660" i="1"/>
  <c r="P660" i="1"/>
  <c r="O660" i="1"/>
  <c r="N660" i="1"/>
  <c r="I660" i="1"/>
  <c r="H660" i="1"/>
  <c r="G660" i="1"/>
  <c r="F660" i="1"/>
  <c r="E660" i="1"/>
  <c r="V659" i="1"/>
  <c r="Q659" i="1"/>
  <c r="P659" i="1"/>
  <c r="O659" i="1"/>
  <c r="N659" i="1"/>
  <c r="I659" i="1"/>
  <c r="H659" i="1"/>
  <c r="G659" i="1"/>
  <c r="F659" i="1"/>
  <c r="E659" i="1"/>
  <c r="V658" i="1"/>
  <c r="Q658" i="1"/>
  <c r="P658" i="1"/>
  <c r="O658" i="1"/>
  <c r="N658" i="1"/>
  <c r="I658" i="1"/>
  <c r="H658" i="1"/>
  <c r="G658" i="1"/>
  <c r="F658" i="1"/>
  <c r="E658" i="1"/>
  <c r="V657" i="1"/>
  <c r="Q657" i="1"/>
  <c r="P657" i="1"/>
  <c r="O657" i="1"/>
  <c r="N657" i="1"/>
  <c r="I657" i="1"/>
  <c r="H657" i="1"/>
  <c r="G657" i="1"/>
  <c r="F657" i="1"/>
  <c r="E657" i="1"/>
  <c r="V656" i="1"/>
  <c r="Q656" i="1"/>
  <c r="P656" i="1"/>
  <c r="O656" i="1"/>
  <c r="N656" i="1"/>
  <c r="I656" i="1"/>
  <c r="H656" i="1"/>
  <c r="G656" i="1"/>
  <c r="F656" i="1"/>
  <c r="E656" i="1"/>
  <c r="V655" i="1"/>
  <c r="Q655" i="1"/>
  <c r="P655" i="1"/>
  <c r="O655" i="1"/>
  <c r="N655" i="1"/>
  <c r="I655" i="1"/>
  <c r="H655" i="1"/>
  <c r="G655" i="1"/>
  <c r="F655" i="1"/>
  <c r="E655" i="1"/>
  <c r="V654" i="1"/>
  <c r="Q654" i="1"/>
  <c r="P654" i="1"/>
  <c r="O654" i="1"/>
  <c r="N654" i="1"/>
  <c r="I654" i="1"/>
  <c r="H654" i="1"/>
  <c r="G654" i="1"/>
  <c r="F654" i="1"/>
  <c r="E654" i="1"/>
  <c r="V653" i="1"/>
  <c r="Q653" i="1"/>
  <c r="P653" i="1"/>
  <c r="O653" i="1"/>
  <c r="N653" i="1"/>
  <c r="I653" i="1"/>
  <c r="H653" i="1"/>
  <c r="G653" i="1"/>
  <c r="F653" i="1"/>
  <c r="E653" i="1"/>
  <c r="V652" i="1"/>
  <c r="Q652" i="1"/>
  <c r="P652" i="1"/>
  <c r="O652" i="1"/>
  <c r="N652" i="1"/>
  <c r="I652" i="1"/>
  <c r="H652" i="1"/>
  <c r="G652" i="1"/>
  <c r="F652" i="1"/>
  <c r="E652" i="1"/>
  <c r="V651" i="1"/>
  <c r="Q651" i="1"/>
  <c r="P651" i="1"/>
  <c r="O651" i="1"/>
  <c r="N651" i="1"/>
  <c r="I651" i="1"/>
  <c r="H651" i="1"/>
  <c r="G651" i="1"/>
  <c r="F651" i="1"/>
  <c r="E651" i="1"/>
  <c r="V650" i="1"/>
  <c r="Q650" i="1"/>
  <c r="P650" i="1"/>
  <c r="O650" i="1"/>
  <c r="N650" i="1"/>
  <c r="I650" i="1"/>
  <c r="H650" i="1"/>
  <c r="G650" i="1"/>
  <c r="F650" i="1"/>
  <c r="E650" i="1"/>
  <c r="V649" i="1"/>
  <c r="Q649" i="1"/>
  <c r="P649" i="1"/>
  <c r="O649" i="1"/>
  <c r="N649" i="1"/>
  <c r="I649" i="1"/>
  <c r="H649" i="1"/>
  <c r="G649" i="1"/>
  <c r="F649" i="1"/>
  <c r="E649" i="1"/>
  <c r="V648" i="1"/>
  <c r="Q648" i="1"/>
  <c r="P648" i="1"/>
  <c r="O648" i="1"/>
  <c r="N648" i="1"/>
  <c r="I648" i="1"/>
  <c r="H648" i="1"/>
  <c r="G648" i="1"/>
  <c r="F648" i="1"/>
  <c r="E648" i="1"/>
  <c r="V647" i="1"/>
  <c r="Q647" i="1"/>
  <c r="P647" i="1"/>
  <c r="O647" i="1"/>
  <c r="N647" i="1"/>
  <c r="I647" i="1"/>
  <c r="H647" i="1"/>
  <c r="G647" i="1"/>
  <c r="F647" i="1"/>
  <c r="E647" i="1"/>
  <c r="V646" i="1"/>
  <c r="Q646" i="1"/>
  <c r="P646" i="1"/>
  <c r="O646" i="1"/>
  <c r="N646" i="1"/>
  <c r="I646" i="1"/>
  <c r="H646" i="1"/>
  <c r="G646" i="1"/>
  <c r="F646" i="1"/>
  <c r="E646" i="1"/>
  <c r="V645" i="1"/>
  <c r="Q645" i="1"/>
  <c r="P645" i="1"/>
  <c r="O645" i="1"/>
  <c r="N645" i="1"/>
  <c r="I645" i="1"/>
  <c r="H645" i="1"/>
  <c r="G645" i="1"/>
  <c r="F645" i="1"/>
  <c r="E645" i="1"/>
  <c r="V644" i="1"/>
  <c r="Q644" i="1"/>
  <c r="P644" i="1"/>
  <c r="O644" i="1"/>
  <c r="N644" i="1"/>
  <c r="I644" i="1"/>
  <c r="H644" i="1"/>
  <c r="G644" i="1"/>
  <c r="F644" i="1"/>
  <c r="E644" i="1"/>
  <c r="V643" i="1"/>
  <c r="Q643" i="1"/>
  <c r="P643" i="1"/>
  <c r="O643" i="1"/>
  <c r="N643" i="1"/>
  <c r="I643" i="1"/>
  <c r="H643" i="1"/>
  <c r="G643" i="1"/>
  <c r="F643" i="1"/>
  <c r="E643" i="1"/>
  <c r="V642" i="1"/>
  <c r="Q642" i="1"/>
  <c r="P642" i="1"/>
  <c r="O642" i="1"/>
  <c r="N642" i="1"/>
  <c r="I642" i="1"/>
  <c r="H642" i="1"/>
  <c r="G642" i="1"/>
  <c r="F642" i="1"/>
  <c r="E642" i="1"/>
  <c r="V641" i="1"/>
  <c r="Q641" i="1"/>
  <c r="P641" i="1"/>
  <c r="O641" i="1"/>
  <c r="N641" i="1"/>
  <c r="I641" i="1"/>
  <c r="H641" i="1"/>
  <c r="G641" i="1"/>
  <c r="F641" i="1"/>
  <c r="E641" i="1"/>
  <c r="V640" i="1"/>
  <c r="Q640" i="1"/>
  <c r="P640" i="1"/>
  <c r="O640" i="1"/>
  <c r="N640" i="1"/>
  <c r="I640" i="1"/>
  <c r="H640" i="1"/>
  <c r="G640" i="1"/>
  <c r="F640" i="1"/>
  <c r="E640" i="1"/>
  <c r="V639" i="1"/>
  <c r="Q639" i="1"/>
  <c r="P639" i="1"/>
  <c r="O639" i="1"/>
  <c r="N639" i="1"/>
  <c r="I639" i="1"/>
  <c r="H639" i="1"/>
  <c r="G639" i="1"/>
  <c r="F639" i="1"/>
  <c r="E639" i="1"/>
  <c r="V638" i="1"/>
  <c r="Q638" i="1"/>
  <c r="P638" i="1"/>
  <c r="O638" i="1"/>
  <c r="N638" i="1"/>
  <c r="I638" i="1"/>
  <c r="H638" i="1"/>
  <c r="G638" i="1"/>
  <c r="F638" i="1"/>
  <c r="E638" i="1"/>
  <c r="V637" i="1"/>
  <c r="Q637" i="1"/>
  <c r="P637" i="1"/>
  <c r="O637" i="1"/>
  <c r="N637" i="1"/>
  <c r="I637" i="1"/>
  <c r="H637" i="1"/>
  <c r="G637" i="1"/>
  <c r="F637" i="1"/>
  <c r="E637" i="1"/>
  <c r="V636" i="1"/>
  <c r="Q636" i="1"/>
  <c r="P636" i="1"/>
  <c r="O636" i="1"/>
  <c r="N636" i="1"/>
  <c r="I636" i="1"/>
  <c r="H636" i="1"/>
  <c r="G636" i="1"/>
  <c r="F636" i="1"/>
  <c r="E636" i="1"/>
  <c r="V635" i="1"/>
  <c r="Q635" i="1"/>
  <c r="P635" i="1"/>
  <c r="O635" i="1"/>
  <c r="N635" i="1"/>
  <c r="I635" i="1"/>
  <c r="H635" i="1"/>
  <c r="G635" i="1"/>
  <c r="F635" i="1"/>
  <c r="E635" i="1"/>
  <c r="V634" i="1"/>
  <c r="Q634" i="1"/>
  <c r="P634" i="1"/>
  <c r="O634" i="1"/>
  <c r="N634" i="1"/>
  <c r="I634" i="1"/>
  <c r="H634" i="1"/>
  <c r="G634" i="1"/>
  <c r="F634" i="1"/>
  <c r="E634" i="1"/>
  <c r="V633" i="1"/>
  <c r="Q633" i="1"/>
  <c r="P633" i="1"/>
  <c r="O633" i="1"/>
  <c r="N633" i="1"/>
  <c r="I633" i="1"/>
  <c r="H633" i="1"/>
  <c r="G633" i="1"/>
  <c r="F633" i="1"/>
  <c r="E633" i="1"/>
  <c r="V632" i="1"/>
  <c r="Q632" i="1"/>
  <c r="P632" i="1"/>
  <c r="O632" i="1"/>
  <c r="N632" i="1"/>
  <c r="I632" i="1"/>
  <c r="H632" i="1"/>
  <c r="G632" i="1"/>
  <c r="F632" i="1"/>
  <c r="E632" i="1"/>
  <c r="V631" i="1"/>
  <c r="Q631" i="1"/>
  <c r="P631" i="1"/>
  <c r="O631" i="1"/>
  <c r="N631" i="1"/>
  <c r="I631" i="1"/>
  <c r="H631" i="1"/>
  <c r="G631" i="1"/>
  <c r="F631" i="1"/>
  <c r="E631" i="1"/>
  <c r="V630" i="1"/>
  <c r="Q630" i="1"/>
  <c r="P630" i="1"/>
  <c r="O630" i="1"/>
  <c r="N630" i="1"/>
  <c r="I630" i="1"/>
  <c r="H630" i="1"/>
  <c r="G630" i="1"/>
  <c r="F630" i="1"/>
  <c r="E630" i="1"/>
  <c r="V629" i="1"/>
  <c r="Q629" i="1"/>
  <c r="P629" i="1"/>
  <c r="O629" i="1"/>
  <c r="N629" i="1"/>
  <c r="I629" i="1"/>
  <c r="H629" i="1"/>
  <c r="G629" i="1"/>
  <c r="F629" i="1"/>
  <c r="E629" i="1"/>
  <c r="V628" i="1"/>
  <c r="Q628" i="1"/>
  <c r="P628" i="1"/>
  <c r="O628" i="1"/>
  <c r="N628" i="1"/>
  <c r="I628" i="1"/>
  <c r="H628" i="1"/>
  <c r="G628" i="1"/>
  <c r="F628" i="1"/>
  <c r="E628" i="1"/>
  <c r="V627" i="1"/>
  <c r="Q627" i="1"/>
  <c r="P627" i="1"/>
  <c r="O627" i="1"/>
  <c r="N627" i="1"/>
  <c r="I627" i="1"/>
  <c r="H627" i="1"/>
  <c r="G627" i="1"/>
  <c r="F627" i="1"/>
  <c r="E627" i="1"/>
  <c r="V626" i="1"/>
  <c r="Q626" i="1"/>
  <c r="P626" i="1"/>
  <c r="O626" i="1"/>
  <c r="N626" i="1"/>
  <c r="I626" i="1"/>
  <c r="H626" i="1"/>
  <c r="G626" i="1"/>
  <c r="F626" i="1"/>
  <c r="E626" i="1"/>
  <c r="V625" i="1"/>
  <c r="Q625" i="1"/>
  <c r="P625" i="1"/>
  <c r="O625" i="1"/>
  <c r="N625" i="1"/>
  <c r="I625" i="1"/>
  <c r="H625" i="1"/>
  <c r="G625" i="1"/>
  <c r="F625" i="1"/>
  <c r="E625" i="1"/>
  <c r="V624" i="1"/>
  <c r="Q624" i="1"/>
  <c r="P624" i="1"/>
  <c r="O624" i="1"/>
  <c r="N624" i="1"/>
  <c r="I624" i="1"/>
  <c r="H624" i="1"/>
  <c r="G624" i="1"/>
  <c r="F624" i="1"/>
  <c r="E624" i="1"/>
  <c r="V623" i="1"/>
  <c r="Q623" i="1"/>
  <c r="P623" i="1"/>
  <c r="O623" i="1"/>
  <c r="N623" i="1"/>
  <c r="I623" i="1"/>
  <c r="H623" i="1"/>
  <c r="G623" i="1"/>
  <c r="F623" i="1"/>
  <c r="E623" i="1"/>
  <c r="V622" i="1"/>
  <c r="Q622" i="1"/>
  <c r="P622" i="1"/>
  <c r="O622" i="1"/>
  <c r="N622" i="1"/>
  <c r="I622" i="1"/>
  <c r="H622" i="1"/>
  <c r="G622" i="1"/>
  <c r="F622" i="1"/>
  <c r="E622" i="1"/>
  <c r="V621" i="1"/>
  <c r="Q621" i="1"/>
  <c r="P621" i="1"/>
  <c r="O621" i="1"/>
  <c r="N621" i="1"/>
  <c r="I621" i="1"/>
  <c r="H621" i="1"/>
  <c r="G621" i="1"/>
  <c r="F621" i="1"/>
  <c r="E621" i="1"/>
  <c r="V620" i="1"/>
  <c r="Q620" i="1"/>
  <c r="P620" i="1"/>
  <c r="O620" i="1"/>
  <c r="N620" i="1"/>
  <c r="I620" i="1"/>
  <c r="H620" i="1"/>
  <c r="G620" i="1"/>
  <c r="F620" i="1"/>
  <c r="E620" i="1"/>
  <c r="V619" i="1"/>
  <c r="Q619" i="1"/>
  <c r="P619" i="1"/>
  <c r="O619" i="1"/>
  <c r="N619" i="1"/>
  <c r="I619" i="1"/>
  <c r="H619" i="1"/>
  <c r="G619" i="1"/>
  <c r="F619" i="1"/>
  <c r="E619" i="1"/>
  <c r="V618" i="1"/>
  <c r="Q618" i="1"/>
  <c r="P618" i="1"/>
  <c r="O618" i="1"/>
  <c r="N618" i="1"/>
  <c r="I618" i="1"/>
  <c r="H618" i="1"/>
  <c r="G618" i="1"/>
  <c r="F618" i="1"/>
  <c r="E618" i="1"/>
  <c r="V617" i="1"/>
  <c r="Q617" i="1"/>
  <c r="P617" i="1"/>
  <c r="O617" i="1"/>
  <c r="N617" i="1"/>
  <c r="I617" i="1"/>
  <c r="H617" i="1"/>
  <c r="G617" i="1"/>
  <c r="F617" i="1"/>
  <c r="E617" i="1"/>
  <c r="V616" i="1"/>
  <c r="Q616" i="1"/>
  <c r="P616" i="1"/>
  <c r="O616" i="1"/>
  <c r="N616" i="1"/>
  <c r="I616" i="1"/>
  <c r="H616" i="1"/>
  <c r="G616" i="1"/>
  <c r="F616" i="1"/>
  <c r="E616" i="1"/>
  <c r="V615" i="1"/>
  <c r="Q615" i="1"/>
  <c r="P615" i="1"/>
  <c r="O615" i="1"/>
  <c r="N615" i="1"/>
  <c r="I615" i="1"/>
  <c r="H615" i="1"/>
  <c r="G615" i="1"/>
  <c r="F615" i="1"/>
  <c r="E615" i="1"/>
  <c r="V614" i="1"/>
  <c r="Q614" i="1"/>
  <c r="P614" i="1"/>
  <c r="O614" i="1"/>
  <c r="N614" i="1"/>
  <c r="I614" i="1"/>
  <c r="H614" i="1"/>
  <c r="G614" i="1"/>
  <c r="F614" i="1"/>
  <c r="E614" i="1"/>
  <c r="V613" i="1"/>
  <c r="Q613" i="1"/>
  <c r="P613" i="1"/>
  <c r="O613" i="1"/>
  <c r="N613" i="1"/>
  <c r="I613" i="1"/>
  <c r="H613" i="1"/>
  <c r="G613" i="1"/>
  <c r="F613" i="1"/>
  <c r="E613" i="1"/>
  <c r="V612" i="1"/>
  <c r="Q612" i="1"/>
  <c r="P612" i="1"/>
  <c r="O612" i="1"/>
  <c r="N612" i="1"/>
  <c r="I612" i="1"/>
  <c r="H612" i="1"/>
  <c r="G612" i="1"/>
  <c r="F612" i="1"/>
  <c r="E612" i="1"/>
  <c r="V611" i="1"/>
  <c r="Q611" i="1"/>
  <c r="P611" i="1"/>
  <c r="O611" i="1"/>
  <c r="N611" i="1"/>
  <c r="I611" i="1"/>
  <c r="H611" i="1"/>
  <c r="G611" i="1"/>
  <c r="F611" i="1"/>
  <c r="E611" i="1"/>
  <c r="V610" i="1"/>
  <c r="Q610" i="1"/>
  <c r="P610" i="1"/>
  <c r="O610" i="1"/>
  <c r="N610" i="1"/>
  <c r="I610" i="1"/>
  <c r="H610" i="1"/>
  <c r="G610" i="1"/>
  <c r="F610" i="1"/>
  <c r="E610" i="1"/>
  <c r="V609" i="1"/>
  <c r="Q609" i="1"/>
  <c r="P609" i="1"/>
  <c r="O609" i="1"/>
  <c r="N609" i="1"/>
  <c r="I609" i="1"/>
  <c r="H609" i="1"/>
  <c r="G609" i="1"/>
  <c r="F609" i="1"/>
  <c r="E609" i="1"/>
  <c r="V608" i="1"/>
  <c r="Q608" i="1"/>
  <c r="P608" i="1"/>
  <c r="O608" i="1"/>
  <c r="N608" i="1"/>
  <c r="I608" i="1"/>
  <c r="H608" i="1"/>
  <c r="G608" i="1"/>
  <c r="F608" i="1"/>
  <c r="E608" i="1"/>
  <c r="V607" i="1"/>
  <c r="Q607" i="1"/>
  <c r="P607" i="1"/>
  <c r="O607" i="1"/>
  <c r="N607" i="1"/>
  <c r="I607" i="1"/>
  <c r="H607" i="1"/>
  <c r="G607" i="1"/>
  <c r="F607" i="1"/>
  <c r="E607" i="1"/>
  <c r="V606" i="1"/>
  <c r="Q606" i="1"/>
  <c r="P606" i="1"/>
  <c r="O606" i="1"/>
  <c r="N606" i="1"/>
  <c r="I606" i="1"/>
  <c r="H606" i="1"/>
  <c r="G606" i="1"/>
  <c r="F606" i="1"/>
  <c r="E606" i="1"/>
  <c r="V605" i="1"/>
  <c r="Q605" i="1"/>
  <c r="P605" i="1"/>
  <c r="O605" i="1"/>
  <c r="N605" i="1"/>
  <c r="I605" i="1"/>
  <c r="H605" i="1"/>
  <c r="G605" i="1"/>
  <c r="F605" i="1"/>
  <c r="E605" i="1"/>
  <c r="V604" i="1"/>
  <c r="Q604" i="1"/>
  <c r="P604" i="1"/>
  <c r="O604" i="1"/>
  <c r="N604" i="1"/>
  <c r="I604" i="1"/>
  <c r="H604" i="1"/>
  <c r="G604" i="1"/>
  <c r="F604" i="1"/>
  <c r="E604" i="1"/>
  <c r="V603" i="1"/>
  <c r="Q603" i="1"/>
  <c r="P603" i="1"/>
  <c r="O603" i="1"/>
  <c r="N603" i="1"/>
  <c r="I603" i="1"/>
  <c r="H603" i="1"/>
  <c r="G603" i="1"/>
  <c r="F603" i="1"/>
  <c r="E603" i="1"/>
  <c r="V602" i="1"/>
  <c r="Q602" i="1"/>
  <c r="P602" i="1"/>
  <c r="O602" i="1"/>
  <c r="N602" i="1"/>
  <c r="I602" i="1"/>
  <c r="H602" i="1"/>
  <c r="G602" i="1"/>
  <c r="F602" i="1"/>
  <c r="E602" i="1"/>
  <c r="D602" i="1"/>
  <c r="V601" i="1"/>
  <c r="Q601" i="1"/>
  <c r="P601" i="1"/>
  <c r="O601" i="1"/>
  <c r="N601" i="1"/>
  <c r="J601" i="1"/>
  <c r="I601" i="1"/>
  <c r="H601" i="1"/>
  <c r="G601" i="1"/>
  <c r="F601" i="1"/>
  <c r="E601" i="1"/>
  <c r="D601" i="1"/>
  <c r="V600" i="1"/>
  <c r="Q600" i="1"/>
  <c r="P600" i="1"/>
  <c r="O600" i="1"/>
  <c r="N600" i="1"/>
  <c r="J600" i="1"/>
  <c r="I600" i="1"/>
  <c r="H600" i="1"/>
  <c r="G600" i="1"/>
  <c r="F600" i="1"/>
  <c r="E600" i="1"/>
  <c r="D600" i="1"/>
  <c r="V599" i="1"/>
  <c r="Q599" i="1"/>
  <c r="P599" i="1"/>
  <c r="O599" i="1"/>
  <c r="N599" i="1"/>
  <c r="J599" i="1"/>
  <c r="I599" i="1"/>
  <c r="H599" i="1"/>
  <c r="G599" i="1"/>
  <c r="F599" i="1"/>
  <c r="E599" i="1"/>
  <c r="D599" i="1"/>
  <c r="V598" i="1"/>
  <c r="Q598" i="1"/>
  <c r="P598" i="1"/>
  <c r="O598" i="1"/>
  <c r="N598" i="1"/>
  <c r="J598" i="1"/>
  <c r="I598" i="1"/>
  <c r="H598" i="1"/>
  <c r="G598" i="1"/>
  <c r="F598" i="1"/>
  <c r="E598" i="1"/>
  <c r="D598" i="1"/>
  <c r="V597" i="1"/>
  <c r="Q597" i="1"/>
  <c r="P597" i="1"/>
  <c r="O597" i="1"/>
  <c r="N597" i="1"/>
  <c r="J597" i="1"/>
  <c r="I597" i="1"/>
  <c r="H597" i="1"/>
  <c r="G597" i="1"/>
  <c r="F597" i="1"/>
  <c r="E597" i="1"/>
  <c r="D597" i="1"/>
  <c r="V596" i="1"/>
  <c r="Q596" i="1"/>
  <c r="P596" i="1"/>
  <c r="O596" i="1"/>
  <c r="N596" i="1"/>
  <c r="J596" i="1"/>
  <c r="I596" i="1"/>
  <c r="H596" i="1"/>
  <c r="G596" i="1"/>
  <c r="F596" i="1"/>
  <c r="E596" i="1"/>
  <c r="D596" i="1"/>
  <c r="V595" i="1"/>
  <c r="Q595" i="1"/>
  <c r="P595" i="1"/>
  <c r="O595" i="1"/>
  <c r="N595" i="1"/>
  <c r="J595" i="1"/>
  <c r="I595" i="1"/>
  <c r="H595" i="1"/>
  <c r="G595" i="1"/>
  <c r="F595" i="1"/>
  <c r="E595" i="1"/>
  <c r="D595" i="1"/>
  <c r="V594" i="1"/>
  <c r="Q594" i="1"/>
  <c r="P594" i="1"/>
  <c r="O594" i="1"/>
  <c r="N594" i="1"/>
  <c r="J594" i="1"/>
  <c r="I594" i="1"/>
  <c r="H594" i="1"/>
  <c r="G594" i="1"/>
  <c r="F594" i="1"/>
  <c r="E594" i="1"/>
  <c r="D594" i="1"/>
  <c r="V593" i="1"/>
  <c r="Q593" i="1"/>
  <c r="P593" i="1"/>
  <c r="O593" i="1"/>
  <c r="N593" i="1"/>
  <c r="J593" i="1"/>
  <c r="I593" i="1"/>
  <c r="H593" i="1"/>
  <c r="G593" i="1"/>
  <c r="F593" i="1"/>
  <c r="E593" i="1"/>
  <c r="D593" i="1"/>
  <c r="V592" i="1"/>
  <c r="Q592" i="1"/>
  <c r="P592" i="1"/>
  <c r="O592" i="1"/>
  <c r="N592" i="1"/>
  <c r="J592" i="1"/>
  <c r="I592" i="1"/>
  <c r="H592" i="1"/>
  <c r="G592" i="1"/>
  <c r="F592" i="1"/>
  <c r="E592" i="1"/>
  <c r="D592" i="1"/>
  <c r="V591" i="1"/>
  <c r="Q591" i="1"/>
  <c r="P591" i="1"/>
  <c r="O591" i="1"/>
  <c r="N591" i="1"/>
  <c r="J591" i="1"/>
  <c r="I591" i="1"/>
  <c r="H591" i="1"/>
  <c r="G591" i="1"/>
  <c r="F591" i="1"/>
  <c r="E591" i="1"/>
  <c r="D591" i="1"/>
  <c r="V590" i="1"/>
  <c r="Q590" i="1"/>
  <c r="P590" i="1"/>
  <c r="O590" i="1"/>
  <c r="N590" i="1"/>
  <c r="J590" i="1"/>
  <c r="I590" i="1"/>
  <c r="H590" i="1"/>
  <c r="G590" i="1"/>
  <c r="F590" i="1"/>
  <c r="E590" i="1"/>
  <c r="D590" i="1"/>
  <c r="V589" i="1"/>
  <c r="Q589" i="1"/>
  <c r="P589" i="1"/>
  <c r="O589" i="1"/>
  <c r="N589" i="1"/>
  <c r="J589" i="1"/>
  <c r="I589" i="1"/>
  <c r="H589" i="1"/>
  <c r="G589" i="1"/>
  <c r="F589" i="1"/>
  <c r="E589" i="1"/>
  <c r="D589" i="1"/>
  <c r="V588" i="1"/>
  <c r="Q588" i="1"/>
  <c r="P588" i="1"/>
  <c r="O588" i="1"/>
  <c r="N588" i="1"/>
  <c r="J588" i="1"/>
  <c r="I588" i="1"/>
  <c r="H588" i="1"/>
  <c r="G588" i="1"/>
  <c r="F588" i="1"/>
  <c r="E588" i="1"/>
  <c r="D588" i="1"/>
  <c r="V587" i="1"/>
  <c r="Q587" i="1"/>
  <c r="P587" i="1"/>
  <c r="O587" i="1"/>
  <c r="N587" i="1"/>
  <c r="J587" i="1"/>
  <c r="I587" i="1"/>
  <c r="H587" i="1"/>
  <c r="G587" i="1"/>
  <c r="F587" i="1"/>
  <c r="E587" i="1"/>
  <c r="D587" i="1"/>
  <c r="V586" i="1"/>
  <c r="Q586" i="1"/>
  <c r="P586" i="1"/>
  <c r="O586" i="1"/>
  <c r="N586" i="1"/>
  <c r="J586" i="1"/>
  <c r="I586" i="1"/>
  <c r="H586" i="1"/>
  <c r="G586" i="1"/>
  <c r="F586" i="1"/>
  <c r="E586" i="1"/>
  <c r="D586" i="1"/>
  <c r="V585" i="1"/>
  <c r="Q585" i="1"/>
  <c r="P585" i="1"/>
  <c r="O585" i="1"/>
  <c r="N585" i="1"/>
  <c r="J585" i="1"/>
  <c r="I585" i="1"/>
  <c r="H585" i="1"/>
  <c r="G585" i="1"/>
  <c r="F585" i="1"/>
  <c r="E585" i="1"/>
  <c r="D585" i="1"/>
  <c r="V584" i="1"/>
  <c r="Q584" i="1"/>
  <c r="P584" i="1"/>
  <c r="O584" i="1"/>
  <c r="N584" i="1"/>
  <c r="J584" i="1"/>
  <c r="I584" i="1"/>
  <c r="H584" i="1"/>
  <c r="G584" i="1"/>
  <c r="F584" i="1"/>
  <c r="E584" i="1"/>
  <c r="D584" i="1"/>
  <c r="V583" i="1"/>
  <c r="Q583" i="1"/>
  <c r="P583" i="1"/>
  <c r="O583" i="1"/>
  <c r="N583" i="1"/>
  <c r="J583" i="1"/>
  <c r="I583" i="1"/>
  <c r="H583" i="1"/>
  <c r="G583" i="1"/>
  <c r="F583" i="1"/>
  <c r="E583" i="1"/>
  <c r="D583" i="1"/>
  <c r="V582" i="1"/>
  <c r="Q582" i="1"/>
  <c r="P582" i="1"/>
  <c r="O582" i="1"/>
  <c r="N582" i="1"/>
  <c r="J582" i="1"/>
  <c r="I582" i="1"/>
  <c r="H582" i="1"/>
  <c r="G582" i="1"/>
  <c r="F582" i="1"/>
  <c r="E582" i="1"/>
  <c r="D582" i="1"/>
  <c r="V581" i="1"/>
  <c r="Q581" i="1"/>
  <c r="P581" i="1"/>
  <c r="O581" i="1"/>
  <c r="N581" i="1"/>
  <c r="J581" i="1"/>
  <c r="I581" i="1"/>
  <c r="H581" i="1"/>
  <c r="G581" i="1"/>
  <c r="F581" i="1"/>
  <c r="E581" i="1"/>
  <c r="D581" i="1"/>
  <c r="V580" i="1"/>
  <c r="Q580" i="1"/>
  <c r="P580" i="1"/>
  <c r="O580" i="1"/>
  <c r="N580" i="1"/>
  <c r="J580" i="1"/>
  <c r="I580" i="1"/>
  <c r="H580" i="1"/>
  <c r="G580" i="1"/>
  <c r="F580" i="1"/>
  <c r="E580" i="1"/>
  <c r="V579" i="1"/>
  <c r="Q579" i="1"/>
  <c r="P579" i="1"/>
  <c r="O579" i="1"/>
  <c r="N579" i="1"/>
  <c r="J579" i="1"/>
  <c r="I579" i="1"/>
  <c r="H579" i="1"/>
  <c r="G579" i="1"/>
  <c r="F579" i="1"/>
  <c r="E579" i="1"/>
  <c r="V578" i="1"/>
  <c r="Q578" i="1"/>
  <c r="P578" i="1"/>
  <c r="O578" i="1"/>
  <c r="N578" i="1"/>
  <c r="J578" i="1"/>
  <c r="I578" i="1"/>
  <c r="H578" i="1"/>
  <c r="G578" i="1"/>
  <c r="F578" i="1"/>
  <c r="E578" i="1"/>
  <c r="V577" i="1"/>
  <c r="Q577" i="1"/>
  <c r="P577" i="1"/>
  <c r="O577" i="1"/>
  <c r="N577" i="1"/>
  <c r="J577" i="1"/>
  <c r="I577" i="1"/>
  <c r="H577" i="1"/>
  <c r="G577" i="1"/>
  <c r="F577" i="1"/>
  <c r="E577" i="1"/>
  <c r="V576" i="1"/>
  <c r="Q576" i="1"/>
  <c r="P576" i="1"/>
  <c r="O576" i="1"/>
  <c r="N576" i="1"/>
  <c r="J576" i="1"/>
  <c r="I576" i="1"/>
  <c r="H576" i="1"/>
  <c r="G576" i="1"/>
  <c r="F576" i="1"/>
  <c r="E576" i="1"/>
  <c r="V575" i="1"/>
  <c r="Q575" i="1"/>
  <c r="P575" i="1"/>
  <c r="O575" i="1"/>
  <c r="N575" i="1"/>
  <c r="J575" i="1"/>
  <c r="I575" i="1"/>
  <c r="H575" i="1"/>
  <c r="G575" i="1"/>
  <c r="F575" i="1"/>
  <c r="E575" i="1"/>
  <c r="V574" i="1"/>
  <c r="Q574" i="1"/>
  <c r="P574" i="1"/>
  <c r="O574" i="1"/>
  <c r="N574" i="1"/>
  <c r="J574" i="1"/>
  <c r="I574" i="1"/>
  <c r="H574" i="1"/>
  <c r="G574" i="1"/>
  <c r="F574" i="1"/>
  <c r="E574" i="1"/>
  <c r="V573" i="1"/>
  <c r="Q573" i="1"/>
  <c r="P573" i="1"/>
  <c r="O573" i="1"/>
  <c r="N573" i="1"/>
  <c r="J573" i="1"/>
  <c r="I573" i="1"/>
  <c r="H573" i="1"/>
  <c r="G573" i="1"/>
  <c r="F573" i="1"/>
  <c r="E573" i="1"/>
  <c r="V572" i="1"/>
  <c r="Q572" i="1"/>
  <c r="P572" i="1"/>
  <c r="O572" i="1"/>
  <c r="N572" i="1"/>
  <c r="J572" i="1"/>
  <c r="I572" i="1"/>
  <c r="H572" i="1"/>
  <c r="G572" i="1"/>
  <c r="F572" i="1"/>
  <c r="E572" i="1"/>
  <c r="V571" i="1"/>
  <c r="Q571" i="1"/>
  <c r="P571" i="1"/>
  <c r="O571" i="1"/>
  <c r="N571" i="1"/>
  <c r="J571" i="1"/>
  <c r="I571" i="1"/>
  <c r="H571" i="1"/>
  <c r="G571" i="1"/>
  <c r="F571" i="1"/>
  <c r="E571" i="1"/>
  <c r="V570" i="1"/>
  <c r="Q570" i="1"/>
  <c r="P570" i="1"/>
  <c r="O570" i="1"/>
  <c r="N570" i="1"/>
  <c r="J570" i="1"/>
  <c r="I570" i="1"/>
  <c r="H570" i="1"/>
  <c r="G570" i="1"/>
  <c r="F570" i="1"/>
  <c r="E570" i="1"/>
  <c r="V569" i="1"/>
  <c r="Q569" i="1"/>
  <c r="P569" i="1"/>
  <c r="O569" i="1"/>
  <c r="N569" i="1"/>
  <c r="I569" i="1"/>
  <c r="H569" i="1"/>
  <c r="G569" i="1"/>
  <c r="F569" i="1"/>
  <c r="E569" i="1"/>
  <c r="V568" i="1"/>
  <c r="Q568" i="1"/>
  <c r="P568" i="1"/>
  <c r="O568" i="1"/>
  <c r="N568" i="1"/>
  <c r="I568" i="1"/>
  <c r="H568" i="1"/>
  <c r="G568" i="1"/>
  <c r="F568" i="1"/>
  <c r="E568" i="1"/>
  <c r="V567" i="1"/>
  <c r="Q567" i="1"/>
  <c r="P567" i="1"/>
  <c r="O567" i="1"/>
  <c r="N567" i="1"/>
  <c r="I567" i="1"/>
  <c r="H567" i="1"/>
  <c r="G567" i="1"/>
  <c r="F567" i="1"/>
  <c r="E567" i="1"/>
  <c r="V566" i="1"/>
  <c r="Q566" i="1"/>
  <c r="P566" i="1"/>
  <c r="O566" i="1"/>
  <c r="N566" i="1"/>
  <c r="I566" i="1"/>
  <c r="H566" i="1"/>
  <c r="G566" i="1"/>
  <c r="F566" i="1"/>
  <c r="E566" i="1"/>
  <c r="V565" i="1"/>
  <c r="Q565" i="1"/>
  <c r="P565" i="1"/>
  <c r="O565" i="1"/>
  <c r="N565" i="1"/>
  <c r="I565" i="1"/>
  <c r="H565" i="1"/>
  <c r="G565" i="1"/>
  <c r="F565" i="1"/>
  <c r="E565" i="1"/>
  <c r="V564" i="1"/>
  <c r="Q564" i="1"/>
  <c r="P564" i="1"/>
  <c r="O564" i="1"/>
  <c r="N564" i="1"/>
  <c r="I564" i="1"/>
  <c r="H564" i="1"/>
  <c r="G564" i="1"/>
  <c r="F564" i="1"/>
  <c r="E564" i="1"/>
  <c r="V563" i="1"/>
  <c r="Q563" i="1"/>
  <c r="P563" i="1"/>
  <c r="O563" i="1"/>
  <c r="N563" i="1"/>
  <c r="I563" i="1"/>
  <c r="H563" i="1"/>
  <c r="G563" i="1"/>
  <c r="F563" i="1"/>
  <c r="E563" i="1"/>
  <c r="V562" i="1"/>
  <c r="Q562" i="1"/>
  <c r="P562" i="1"/>
  <c r="O562" i="1"/>
  <c r="N562" i="1"/>
  <c r="I562" i="1"/>
  <c r="H562" i="1"/>
  <c r="G562" i="1"/>
  <c r="F562" i="1"/>
  <c r="E562" i="1"/>
  <c r="V561" i="1"/>
  <c r="Q561" i="1"/>
  <c r="P561" i="1"/>
  <c r="O561" i="1"/>
  <c r="N561" i="1"/>
  <c r="I561" i="1"/>
  <c r="H561" i="1"/>
  <c r="G561" i="1"/>
  <c r="F561" i="1"/>
  <c r="E561" i="1"/>
  <c r="V560" i="1"/>
  <c r="Q560" i="1"/>
  <c r="P560" i="1"/>
  <c r="O560" i="1"/>
  <c r="N560" i="1"/>
  <c r="I560" i="1"/>
  <c r="H560" i="1"/>
  <c r="G560" i="1"/>
  <c r="F560" i="1"/>
  <c r="E560" i="1"/>
  <c r="V559" i="1"/>
  <c r="Q559" i="1"/>
  <c r="P559" i="1"/>
  <c r="O559" i="1"/>
  <c r="N559" i="1"/>
  <c r="I559" i="1"/>
  <c r="H559" i="1"/>
  <c r="G559" i="1"/>
  <c r="F559" i="1"/>
  <c r="E559" i="1"/>
  <c r="V558" i="1"/>
  <c r="Q558" i="1"/>
  <c r="P558" i="1"/>
  <c r="O558" i="1"/>
  <c r="N558" i="1"/>
  <c r="I558" i="1"/>
  <c r="H558" i="1"/>
  <c r="G558" i="1"/>
  <c r="F558" i="1"/>
  <c r="E558" i="1"/>
  <c r="V557" i="1"/>
  <c r="Q557" i="1"/>
  <c r="P557" i="1"/>
  <c r="O557" i="1"/>
  <c r="N557" i="1"/>
  <c r="I557" i="1"/>
  <c r="H557" i="1"/>
  <c r="G557" i="1"/>
  <c r="F557" i="1"/>
  <c r="E557" i="1"/>
  <c r="V556" i="1"/>
  <c r="Q556" i="1"/>
  <c r="P556" i="1"/>
  <c r="O556" i="1"/>
  <c r="N556" i="1"/>
  <c r="I556" i="1"/>
  <c r="H556" i="1"/>
  <c r="G556" i="1"/>
  <c r="F556" i="1"/>
  <c r="E556" i="1"/>
  <c r="V555" i="1"/>
  <c r="Q555" i="1"/>
  <c r="P555" i="1"/>
  <c r="O555" i="1"/>
  <c r="N555" i="1"/>
  <c r="I555" i="1"/>
  <c r="H555" i="1"/>
  <c r="G555" i="1"/>
  <c r="F555" i="1"/>
  <c r="E555" i="1"/>
  <c r="D555" i="1"/>
  <c r="V554" i="1"/>
  <c r="Q554" i="1"/>
  <c r="P554" i="1"/>
  <c r="O554" i="1"/>
  <c r="N554" i="1"/>
  <c r="I554" i="1"/>
  <c r="H554" i="1"/>
  <c r="G554" i="1"/>
  <c r="F554" i="1"/>
  <c r="E554" i="1"/>
  <c r="D554" i="1"/>
  <c r="V553" i="1"/>
  <c r="Q553" i="1"/>
  <c r="P553" i="1"/>
  <c r="O553" i="1"/>
  <c r="N553" i="1"/>
  <c r="I553" i="1"/>
  <c r="H553" i="1"/>
  <c r="G553" i="1"/>
  <c r="F553" i="1"/>
  <c r="E553" i="1"/>
  <c r="D553" i="1"/>
  <c r="V552" i="1"/>
  <c r="Q552" i="1"/>
  <c r="P552" i="1"/>
  <c r="O552" i="1"/>
  <c r="N552" i="1"/>
  <c r="J552" i="1"/>
  <c r="I552" i="1"/>
  <c r="H552" i="1"/>
  <c r="G552" i="1"/>
  <c r="F552" i="1"/>
  <c r="E552" i="1"/>
  <c r="D552" i="1"/>
  <c r="V551" i="1"/>
  <c r="Q551" i="1"/>
  <c r="P551" i="1"/>
  <c r="O551" i="1"/>
  <c r="N551" i="1"/>
  <c r="J551" i="1"/>
  <c r="I551" i="1"/>
  <c r="H551" i="1"/>
  <c r="G551" i="1"/>
  <c r="F551" i="1"/>
  <c r="E551" i="1"/>
  <c r="D551" i="1"/>
  <c r="V550" i="1"/>
  <c r="Q550" i="1"/>
  <c r="P550" i="1"/>
  <c r="O550" i="1"/>
  <c r="N550" i="1"/>
  <c r="J550" i="1"/>
  <c r="I550" i="1"/>
  <c r="H550" i="1"/>
  <c r="G550" i="1"/>
  <c r="F550" i="1"/>
  <c r="E550" i="1"/>
  <c r="D550" i="1"/>
  <c r="V549" i="1"/>
  <c r="Q549" i="1"/>
  <c r="P549" i="1"/>
  <c r="O549" i="1"/>
  <c r="N549" i="1"/>
  <c r="J549" i="1"/>
  <c r="I549" i="1"/>
  <c r="H549" i="1"/>
  <c r="G549" i="1"/>
  <c r="F549" i="1"/>
  <c r="E549" i="1"/>
  <c r="D549" i="1"/>
  <c r="V548" i="1"/>
  <c r="Q548" i="1"/>
  <c r="P548" i="1"/>
  <c r="O548" i="1"/>
  <c r="N548" i="1"/>
  <c r="J548" i="1"/>
  <c r="I548" i="1"/>
  <c r="H548" i="1"/>
  <c r="G548" i="1"/>
  <c r="F548" i="1"/>
  <c r="E548" i="1"/>
  <c r="D548" i="1"/>
  <c r="V547" i="1"/>
  <c r="Q547" i="1"/>
  <c r="P547" i="1"/>
  <c r="O547" i="1"/>
  <c r="N547" i="1"/>
  <c r="J547" i="1"/>
  <c r="I547" i="1"/>
  <c r="H547" i="1"/>
  <c r="G547" i="1"/>
  <c r="F547" i="1"/>
  <c r="E547" i="1"/>
  <c r="D547" i="1"/>
  <c r="V546" i="1"/>
  <c r="Q546" i="1"/>
  <c r="P546" i="1"/>
  <c r="O546" i="1"/>
  <c r="N546" i="1"/>
  <c r="J546" i="1"/>
  <c r="I546" i="1"/>
  <c r="H546" i="1"/>
  <c r="G546" i="1"/>
  <c r="F546" i="1"/>
  <c r="E546" i="1"/>
  <c r="D546" i="1"/>
  <c r="V545" i="1"/>
  <c r="Q545" i="1"/>
  <c r="P545" i="1"/>
  <c r="O545" i="1"/>
  <c r="N545" i="1"/>
  <c r="J545" i="1"/>
  <c r="I545" i="1"/>
  <c r="H545" i="1"/>
  <c r="G545" i="1"/>
  <c r="F545" i="1"/>
  <c r="E545" i="1"/>
  <c r="D545" i="1"/>
  <c r="V544" i="1"/>
  <c r="Q544" i="1"/>
  <c r="P544" i="1"/>
  <c r="O544" i="1"/>
  <c r="N544" i="1"/>
  <c r="J544" i="1"/>
  <c r="I544" i="1"/>
  <c r="H544" i="1"/>
  <c r="G544" i="1"/>
  <c r="F544" i="1"/>
  <c r="E544" i="1"/>
  <c r="D544" i="1"/>
  <c r="V543" i="1"/>
  <c r="Q543" i="1"/>
  <c r="P543" i="1"/>
  <c r="O543" i="1"/>
  <c r="N543" i="1"/>
  <c r="J543" i="1"/>
  <c r="I543" i="1"/>
  <c r="H543" i="1"/>
  <c r="G543" i="1"/>
  <c r="F543" i="1"/>
  <c r="E543" i="1"/>
  <c r="D543" i="1"/>
  <c r="V542" i="1"/>
  <c r="Q542" i="1"/>
  <c r="P542" i="1"/>
  <c r="O542" i="1"/>
  <c r="N542" i="1"/>
  <c r="J542" i="1"/>
  <c r="I542" i="1"/>
  <c r="H542" i="1"/>
  <c r="G542" i="1"/>
  <c r="F542" i="1"/>
  <c r="E542" i="1"/>
  <c r="D542" i="1"/>
  <c r="V541" i="1"/>
  <c r="Q541" i="1"/>
  <c r="P541" i="1"/>
  <c r="O541" i="1"/>
  <c r="N541" i="1"/>
  <c r="J541" i="1"/>
  <c r="I541" i="1"/>
  <c r="H541" i="1"/>
  <c r="G541" i="1"/>
  <c r="F541" i="1"/>
  <c r="E541" i="1"/>
  <c r="D541" i="1"/>
  <c r="V540" i="1"/>
  <c r="Q540" i="1"/>
  <c r="P540" i="1"/>
  <c r="O540" i="1"/>
  <c r="N540" i="1"/>
  <c r="J540" i="1"/>
  <c r="I540" i="1"/>
  <c r="H540" i="1"/>
  <c r="G540" i="1"/>
  <c r="F540" i="1"/>
  <c r="E540" i="1"/>
  <c r="D540" i="1"/>
  <c r="V539" i="1"/>
  <c r="Q539" i="1"/>
  <c r="P539" i="1"/>
  <c r="O539" i="1"/>
  <c r="N539" i="1"/>
  <c r="J539" i="1"/>
  <c r="I539" i="1"/>
  <c r="H539" i="1"/>
  <c r="G539" i="1"/>
  <c r="F539" i="1"/>
  <c r="E539" i="1"/>
  <c r="D539" i="1"/>
  <c r="V538" i="1"/>
  <c r="Q538" i="1"/>
  <c r="P538" i="1"/>
  <c r="O538" i="1"/>
  <c r="N538" i="1"/>
  <c r="J538" i="1"/>
  <c r="I538" i="1"/>
  <c r="H538" i="1"/>
  <c r="G538" i="1"/>
  <c r="F538" i="1"/>
  <c r="E538" i="1"/>
  <c r="D538" i="1"/>
  <c r="V537" i="1"/>
  <c r="Q537" i="1"/>
  <c r="P537" i="1"/>
  <c r="O537" i="1"/>
  <c r="N537" i="1"/>
  <c r="J537" i="1"/>
  <c r="I537" i="1"/>
  <c r="H537" i="1"/>
  <c r="G537" i="1"/>
  <c r="F537" i="1"/>
  <c r="E537" i="1"/>
  <c r="D537" i="1"/>
  <c r="V536" i="1"/>
  <c r="Q536" i="1"/>
  <c r="P536" i="1"/>
  <c r="O536" i="1"/>
  <c r="N536" i="1"/>
  <c r="J536" i="1"/>
  <c r="I536" i="1"/>
  <c r="H536" i="1"/>
  <c r="G536" i="1"/>
  <c r="F536" i="1"/>
  <c r="E536" i="1"/>
  <c r="D536" i="1"/>
  <c r="C536" i="1"/>
  <c r="V535" i="1"/>
  <c r="Q535" i="1"/>
  <c r="P535" i="1"/>
  <c r="O535" i="1"/>
  <c r="N535" i="1"/>
  <c r="J535" i="1"/>
  <c r="I535" i="1"/>
  <c r="H535" i="1"/>
  <c r="G535" i="1"/>
  <c r="F535" i="1"/>
  <c r="E535" i="1"/>
  <c r="D535" i="1"/>
  <c r="C535" i="1"/>
  <c r="V534" i="1"/>
  <c r="Q534" i="1"/>
  <c r="P534" i="1"/>
  <c r="O534" i="1"/>
  <c r="N534" i="1"/>
  <c r="J534" i="1"/>
  <c r="I534" i="1"/>
  <c r="H534" i="1"/>
  <c r="G534" i="1"/>
  <c r="F534" i="1"/>
  <c r="E534" i="1"/>
  <c r="D534" i="1"/>
  <c r="C534" i="1"/>
  <c r="V533" i="1"/>
  <c r="Q533" i="1"/>
  <c r="P533" i="1"/>
  <c r="O533" i="1"/>
  <c r="N533" i="1"/>
  <c r="J533" i="1"/>
  <c r="I533" i="1"/>
  <c r="H533" i="1"/>
  <c r="G533" i="1"/>
  <c r="F533" i="1"/>
  <c r="E533" i="1"/>
  <c r="D533" i="1"/>
  <c r="C533" i="1"/>
  <c r="V532" i="1"/>
  <c r="Q532" i="1"/>
  <c r="P532" i="1"/>
  <c r="O532" i="1"/>
  <c r="N532" i="1"/>
  <c r="J532" i="1"/>
  <c r="I532" i="1"/>
  <c r="H532" i="1"/>
  <c r="G532" i="1"/>
  <c r="F532" i="1"/>
  <c r="E532" i="1"/>
  <c r="D532" i="1"/>
  <c r="C532" i="1"/>
  <c r="V531" i="1"/>
  <c r="Q531" i="1"/>
  <c r="P531" i="1"/>
  <c r="O531" i="1"/>
  <c r="N531" i="1"/>
  <c r="J531" i="1"/>
  <c r="I531" i="1"/>
  <c r="H531" i="1"/>
  <c r="G531" i="1"/>
  <c r="F531" i="1"/>
  <c r="E531" i="1"/>
  <c r="D531" i="1"/>
  <c r="C531" i="1"/>
  <c r="V530" i="1"/>
  <c r="Q530" i="1"/>
  <c r="P530" i="1"/>
  <c r="O530" i="1"/>
  <c r="N530" i="1"/>
  <c r="J530" i="1"/>
  <c r="I530" i="1"/>
  <c r="H530" i="1"/>
  <c r="G530" i="1"/>
  <c r="F530" i="1"/>
  <c r="E530" i="1"/>
  <c r="D530" i="1"/>
  <c r="C530" i="1"/>
  <c r="V529" i="1"/>
  <c r="Q529" i="1"/>
  <c r="P529" i="1"/>
  <c r="O529" i="1"/>
  <c r="N529" i="1"/>
  <c r="J529" i="1"/>
  <c r="I529" i="1"/>
  <c r="H529" i="1"/>
  <c r="G529" i="1"/>
  <c r="F529" i="1"/>
  <c r="E529" i="1"/>
  <c r="D529" i="1"/>
  <c r="C529" i="1"/>
  <c r="V528" i="1"/>
  <c r="Q528" i="1"/>
  <c r="P528" i="1"/>
  <c r="O528" i="1"/>
  <c r="N528" i="1"/>
  <c r="J528" i="1"/>
  <c r="I528" i="1"/>
  <c r="H528" i="1"/>
  <c r="G528" i="1"/>
  <c r="F528" i="1"/>
  <c r="E528" i="1"/>
  <c r="D528" i="1"/>
  <c r="C528" i="1"/>
  <c r="V527" i="1"/>
  <c r="Q527" i="1"/>
  <c r="P527" i="1"/>
  <c r="O527" i="1"/>
  <c r="N527" i="1"/>
  <c r="J527" i="1"/>
  <c r="I527" i="1"/>
  <c r="H527" i="1"/>
  <c r="G527" i="1"/>
  <c r="F527" i="1"/>
  <c r="E527" i="1"/>
  <c r="D527" i="1"/>
  <c r="C527" i="1"/>
  <c r="V526" i="1"/>
  <c r="Q526" i="1"/>
  <c r="P526" i="1"/>
  <c r="O526" i="1"/>
  <c r="N526" i="1"/>
  <c r="J526" i="1"/>
  <c r="I526" i="1"/>
  <c r="H526" i="1"/>
  <c r="G526" i="1"/>
  <c r="F526" i="1"/>
  <c r="E526" i="1"/>
  <c r="D526" i="1"/>
  <c r="C526" i="1"/>
  <c r="V525" i="1"/>
  <c r="Q525" i="1"/>
  <c r="P525" i="1"/>
  <c r="O525" i="1"/>
  <c r="N525" i="1"/>
  <c r="J525" i="1"/>
  <c r="I525" i="1"/>
  <c r="H525" i="1"/>
  <c r="G525" i="1"/>
  <c r="F525" i="1"/>
  <c r="E525" i="1"/>
  <c r="D525" i="1"/>
  <c r="C525" i="1"/>
  <c r="V524" i="1"/>
  <c r="Q524" i="1"/>
  <c r="P524" i="1"/>
  <c r="O524" i="1"/>
  <c r="N524" i="1"/>
  <c r="J524" i="1"/>
  <c r="I524" i="1"/>
  <c r="H524" i="1"/>
  <c r="G524" i="1"/>
  <c r="F524" i="1"/>
  <c r="E524" i="1"/>
  <c r="D524" i="1"/>
  <c r="C524" i="1"/>
  <c r="V523" i="1"/>
  <c r="Q523" i="1"/>
  <c r="P523" i="1"/>
  <c r="O523" i="1"/>
  <c r="N523" i="1"/>
  <c r="J523" i="1"/>
  <c r="I523" i="1"/>
  <c r="H523" i="1"/>
  <c r="G523" i="1"/>
  <c r="F523" i="1"/>
  <c r="E523" i="1"/>
  <c r="D523" i="1"/>
  <c r="C523" i="1"/>
  <c r="V522" i="1"/>
  <c r="Q522" i="1"/>
  <c r="P522" i="1"/>
  <c r="O522" i="1"/>
  <c r="N522" i="1"/>
  <c r="J522" i="1"/>
  <c r="I522" i="1"/>
  <c r="H522" i="1"/>
  <c r="G522" i="1"/>
  <c r="F522" i="1"/>
  <c r="E522" i="1"/>
  <c r="D522" i="1"/>
  <c r="C522" i="1"/>
  <c r="V521" i="1"/>
  <c r="Q521" i="1"/>
  <c r="P521" i="1"/>
  <c r="O521" i="1"/>
  <c r="N521" i="1"/>
  <c r="J521" i="1"/>
  <c r="I521" i="1"/>
  <c r="H521" i="1"/>
  <c r="G521" i="1"/>
  <c r="F521" i="1"/>
  <c r="E521" i="1"/>
  <c r="D521" i="1"/>
  <c r="C521" i="1"/>
  <c r="V520" i="1"/>
  <c r="Q520" i="1"/>
  <c r="P520" i="1"/>
  <c r="O520" i="1"/>
  <c r="N520" i="1"/>
  <c r="J520" i="1"/>
  <c r="I520" i="1"/>
  <c r="H520" i="1"/>
  <c r="G520" i="1"/>
  <c r="F520" i="1"/>
  <c r="E520" i="1"/>
  <c r="D520" i="1"/>
  <c r="C520" i="1"/>
  <c r="V519" i="1"/>
  <c r="Q519" i="1"/>
  <c r="P519" i="1"/>
  <c r="O519" i="1"/>
  <c r="N519" i="1"/>
  <c r="J519" i="1"/>
  <c r="I519" i="1"/>
  <c r="H519" i="1"/>
  <c r="G519" i="1"/>
  <c r="F519" i="1"/>
  <c r="E519" i="1"/>
  <c r="D519" i="1"/>
  <c r="C519" i="1"/>
  <c r="V518" i="1"/>
  <c r="Q518" i="1"/>
  <c r="P518" i="1"/>
  <c r="O518" i="1"/>
  <c r="N518" i="1"/>
  <c r="J518" i="1"/>
  <c r="I518" i="1"/>
  <c r="H518" i="1"/>
  <c r="G518" i="1"/>
  <c r="F518" i="1"/>
  <c r="E518" i="1"/>
  <c r="D518" i="1"/>
  <c r="C518" i="1"/>
  <c r="V517" i="1"/>
  <c r="Q517" i="1"/>
  <c r="P517" i="1"/>
  <c r="O517" i="1"/>
  <c r="N517" i="1"/>
  <c r="J517" i="1"/>
  <c r="I517" i="1"/>
  <c r="H517" i="1"/>
  <c r="G517" i="1"/>
  <c r="F517" i="1"/>
  <c r="E517" i="1"/>
  <c r="D517" i="1"/>
  <c r="C517" i="1"/>
  <c r="V516" i="1"/>
  <c r="Q516" i="1"/>
  <c r="P516" i="1"/>
  <c r="O516" i="1"/>
  <c r="N516" i="1"/>
  <c r="J516" i="1"/>
  <c r="I516" i="1"/>
  <c r="H516" i="1"/>
  <c r="G516" i="1"/>
  <c r="F516" i="1"/>
  <c r="E516" i="1"/>
  <c r="D516" i="1"/>
  <c r="C516" i="1"/>
  <c r="V515" i="1"/>
  <c r="Q515" i="1"/>
  <c r="P515" i="1"/>
  <c r="O515" i="1"/>
  <c r="N515" i="1"/>
  <c r="J515" i="1"/>
  <c r="I515" i="1"/>
  <c r="H515" i="1"/>
  <c r="G515" i="1"/>
  <c r="F515" i="1"/>
  <c r="E515" i="1"/>
  <c r="D515" i="1"/>
  <c r="C515" i="1"/>
  <c r="V514" i="1"/>
  <c r="Q514" i="1"/>
  <c r="P514" i="1"/>
  <c r="O514" i="1"/>
  <c r="N514" i="1"/>
  <c r="J514" i="1"/>
  <c r="I514" i="1"/>
  <c r="H514" i="1"/>
  <c r="G514" i="1"/>
  <c r="F514" i="1"/>
  <c r="E514" i="1"/>
  <c r="D514" i="1"/>
  <c r="C514" i="1"/>
  <c r="V513" i="1"/>
  <c r="Q513" i="1"/>
  <c r="P513" i="1"/>
  <c r="O513" i="1"/>
  <c r="N513" i="1"/>
  <c r="J513" i="1"/>
  <c r="I513" i="1"/>
  <c r="H513" i="1"/>
  <c r="G513" i="1"/>
  <c r="F513" i="1"/>
  <c r="E513" i="1"/>
  <c r="D513" i="1"/>
  <c r="C513" i="1"/>
  <c r="V512" i="1"/>
  <c r="Q512" i="1"/>
  <c r="P512" i="1"/>
  <c r="O512" i="1"/>
  <c r="N512" i="1"/>
  <c r="J512" i="1"/>
  <c r="I512" i="1"/>
  <c r="H512" i="1"/>
  <c r="G512" i="1"/>
  <c r="F512" i="1"/>
  <c r="E512" i="1"/>
  <c r="D512" i="1"/>
  <c r="C512" i="1"/>
  <c r="V511" i="1"/>
  <c r="Q511" i="1"/>
  <c r="P511" i="1"/>
  <c r="O511" i="1"/>
  <c r="N511" i="1"/>
  <c r="J511" i="1"/>
  <c r="I511" i="1"/>
  <c r="H511" i="1"/>
  <c r="G511" i="1"/>
  <c r="F511" i="1"/>
  <c r="E511" i="1"/>
  <c r="D511" i="1"/>
  <c r="C511" i="1"/>
  <c r="V510" i="1"/>
  <c r="Q510" i="1"/>
  <c r="P510" i="1"/>
  <c r="O510" i="1"/>
  <c r="N510" i="1"/>
  <c r="J510" i="1"/>
  <c r="I510" i="1"/>
  <c r="H510" i="1"/>
  <c r="G510" i="1"/>
  <c r="F510" i="1"/>
  <c r="E510" i="1"/>
  <c r="D510" i="1"/>
  <c r="C510" i="1"/>
  <c r="V509" i="1"/>
  <c r="Q509" i="1"/>
  <c r="P509" i="1"/>
  <c r="O509" i="1"/>
  <c r="N509" i="1"/>
  <c r="J509" i="1"/>
  <c r="I509" i="1"/>
  <c r="H509" i="1"/>
  <c r="G509" i="1"/>
  <c r="F509" i="1"/>
  <c r="E509" i="1"/>
  <c r="D509" i="1"/>
  <c r="C509" i="1"/>
  <c r="V508" i="1"/>
  <c r="Q508" i="1"/>
  <c r="P508" i="1"/>
  <c r="O508" i="1"/>
  <c r="N508" i="1"/>
  <c r="J508" i="1"/>
  <c r="I508" i="1"/>
  <c r="H508" i="1"/>
  <c r="G508" i="1"/>
  <c r="F508" i="1"/>
  <c r="E508" i="1"/>
  <c r="D508" i="1"/>
  <c r="C508" i="1"/>
  <c r="V507" i="1"/>
  <c r="Q507" i="1"/>
  <c r="P507" i="1"/>
  <c r="O507" i="1"/>
  <c r="N507" i="1"/>
  <c r="J507" i="1"/>
  <c r="I507" i="1"/>
  <c r="H507" i="1"/>
  <c r="G507" i="1"/>
  <c r="F507" i="1"/>
  <c r="E507" i="1"/>
  <c r="D507" i="1"/>
  <c r="C507" i="1"/>
  <c r="V506" i="1"/>
  <c r="Q506" i="1"/>
  <c r="P506" i="1"/>
  <c r="O506" i="1"/>
  <c r="N506" i="1"/>
  <c r="J506" i="1"/>
  <c r="I506" i="1"/>
  <c r="H506" i="1"/>
  <c r="G506" i="1"/>
  <c r="F506" i="1"/>
  <c r="E506" i="1"/>
  <c r="D506" i="1"/>
  <c r="C506" i="1"/>
  <c r="V505" i="1"/>
  <c r="Q505" i="1"/>
  <c r="P505" i="1"/>
  <c r="O505" i="1"/>
  <c r="N505" i="1"/>
  <c r="J505" i="1"/>
  <c r="I505" i="1"/>
  <c r="H505" i="1"/>
  <c r="G505" i="1"/>
  <c r="F505" i="1"/>
  <c r="E505" i="1"/>
  <c r="D505" i="1"/>
  <c r="C505" i="1"/>
  <c r="V504" i="1"/>
  <c r="Q504" i="1"/>
  <c r="P504" i="1"/>
  <c r="O504" i="1"/>
  <c r="N504" i="1"/>
  <c r="J504" i="1"/>
  <c r="I504" i="1"/>
  <c r="H504" i="1"/>
  <c r="G504" i="1"/>
  <c r="F504" i="1"/>
  <c r="E504" i="1"/>
  <c r="D504" i="1"/>
  <c r="C504" i="1"/>
  <c r="V503" i="1"/>
  <c r="Q503" i="1"/>
  <c r="P503" i="1"/>
  <c r="O503" i="1"/>
  <c r="N503" i="1"/>
  <c r="J503" i="1"/>
  <c r="I503" i="1"/>
  <c r="H503" i="1"/>
  <c r="G503" i="1"/>
  <c r="F503" i="1"/>
  <c r="E503" i="1"/>
  <c r="D503" i="1"/>
  <c r="C503" i="1"/>
  <c r="V502" i="1"/>
  <c r="Q502" i="1"/>
  <c r="P502" i="1"/>
  <c r="O502" i="1"/>
  <c r="N502" i="1"/>
  <c r="J502" i="1"/>
  <c r="I502" i="1"/>
  <c r="H502" i="1"/>
  <c r="G502" i="1"/>
  <c r="F502" i="1"/>
  <c r="E502" i="1"/>
  <c r="D502" i="1"/>
  <c r="C502" i="1"/>
  <c r="V501" i="1"/>
  <c r="Q501" i="1"/>
  <c r="P501" i="1"/>
  <c r="O501" i="1"/>
  <c r="N501" i="1"/>
  <c r="J501" i="1"/>
  <c r="I501" i="1"/>
  <c r="H501" i="1"/>
  <c r="G501" i="1"/>
  <c r="F501" i="1"/>
  <c r="E501" i="1"/>
  <c r="D501" i="1"/>
  <c r="C501" i="1"/>
  <c r="V500" i="1"/>
  <c r="Q500" i="1"/>
  <c r="P500" i="1"/>
  <c r="O500" i="1"/>
  <c r="N500" i="1"/>
  <c r="J500" i="1"/>
  <c r="I500" i="1"/>
  <c r="H500" i="1"/>
  <c r="G500" i="1"/>
  <c r="F500" i="1"/>
  <c r="E500" i="1"/>
  <c r="D500" i="1"/>
  <c r="C500" i="1"/>
  <c r="V499" i="1"/>
  <c r="Q499" i="1"/>
  <c r="P499" i="1"/>
  <c r="O499" i="1"/>
  <c r="N499" i="1"/>
  <c r="J499" i="1"/>
  <c r="I499" i="1"/>
  <c r="H499" i="1"/>
  <c r="G499" i="1"/>
  <c r="F499" i="1"/>
  <c r="E499" i="1"/>
  <c r="D499" i="1"/>
  <c r="C499" i="1"/>
  <c r="V498" i="1"/>
  <c r="Q498" i="1"/>
  <c r="P498" i="1"/>
  <c r="O498" i="1"/>
  <c r="N498" i="1"/>
  <c r="J498" i="1"/>
  <c r="I498" i="1"/>
  <c r="H498" i="1"/>
  <c r="G498" i="1"/>
  <c r="F498" i="1"/>
  <c r="E498" i="1"/>
  <c r="D498" i="1"/>
  <c r="C498" i="1"/>
  <c r="V497" i="1"/>
  <c r="Q497" i="1"/>
  <c r="P497" i="1"/>
  <c r="O497" i="1"/>
  <c r="N497" i="1"/>
  <c r="J497" i="1"/>
  <c r="I497" i="1"/>
  <c r="H497" i="1"/>
  <c r="G497" i="1"/>
  <c r="F497" i="1"/>
  <c r="E497" i="1"/>
  <c r="D497" i="1"/>
  <c r="C497" i="1"/>
  <c r="V496" i="1"/>
  <c r="Q496" i="1"/>
  <c r="P496" i="1"/>
  <c r="O496" i="1"/>
  <c r="N496" i="1"/>
  <c r="J496" i="1"/>
  <c r="I496" i="1"/>
  <c r="H496" i="1"/>
  <c r="G496" i="1"/>
  <c r="F496" i="1"/>
  <c r="E496" i="1"/>
  <c r="D496" i="1"/>
  <c r="C496" i="1"/>
  <c r="V495" i="1"/>
  <c r="Q495" i="1"/>
  <c r="P495" i="1"/>
  <c r="O495" i="1"/>
  <c r="N495" i="1"/>
  <c r="J495" i="1"/>
  <c r="I495" i="1"/>
  <c r="H495" i="1"/>
  <c r="G495" i="1"/>
  <c r="F495" i="1"/>
  <c r="E495" i="1"/>
  <c r="D495" i="1"/>
  <c r="C495" i="1"/>
  <c r="V494" i="1"/>
  <c r="Q494" i="1"/>
  <c r="P494" i="1"/>
  <c r="O494" i="1"/>
  <c r="N494" i="1"/>
  <c r="J494" i="1"/>
  <c r="I494" i="1"/>
  <c r="H494" i="1"/>
  <c r="G494" i="1"/>
  <c r="F494" i="1"/>
  <c r="E494" i="1"/>
  <c r="D494" i="1"/>
  <c r="C494" i="1"/>
  <c r="V493" i="1"/>
  <c r="Q493" i="1"/>
  <c r="P493" i="1"/>
  <c r="O493" i="1"/>
  <c r="N493" i="1"/>
  <c r="J493" i="1"/>
  <c r="I493" i="1"/>
  <c r="H493" i="1"/>
  <c r="G493" i="1"/>
  <c r="F493" i="1"/>
  <c r="E493" i="1"/>
  <c r="D493" i="1"/>
  <c r="C493" i="1"/>
  <c r="V492" i="1"/>
  <c r="Q492" i="1"/>
  <c r="P492" i="1"/>
  <c r="O492" i="1"/>
  <c r="N492" i="1"/>
  <c r="J492" i="1"/>
  <c r="I492" i="1"/>
  <c r="H492" i="1"/>
  <c r="G492" i="1"/>
  <c r="F492" i="1"/>
  <c r="E492" i="1"/>
  <c r="D492" i="1"/>
  <c r="C492" i="1"/>
  <c r="V491" i="1"/>
  <c r="Q491" i="1"/>
  <c r="P491" i="1"/>
  <c r="O491" i="1"/>
  <c r="N491" i="1"/>
  <c r="J491" i="1"/>
  <c r="I491" i="1"/>
  <c r="H491" i="1"/>
  <c r="G491" i="1"/>
  <c r="F491" i="1"/>
  <c r="E491" i="1"/>
  <c r="D491" i="1"/>
  <c r="C491" i="1"/>
  <c r="V490" i="1"/>
  <c r="Q490" i="1"/>
  <c r="P490" i="1"/>
  <c r="O490" i="1"/>
  <c r="N490" i="1"/>
  <c r="J490" i="1"/>
  <c r="I490" i="1"/>
  <c r="H490" i="1"/>
  <c r="G490" i="1"/>
  <c r="F490" i="1"/>
  <c r="E490" i="1"/>
  <c r="D490" i="1"/>
  <c r="C490" i="1"/>
  <c r="V489" i="1"/>
  <c r="Q489" i="1"/>
  <c r="P489" i="1"/>
  <c r="O489" i="1"/>
  <c r="N489" i="1"/>
  <c r="J489" i="1"/>
  <c r="I489" i="1"/>
  <c r="H489" i="1"/>
  <c r="G489" i="1"/>
  <c r="F489" i="1"/>
  <c r="E489" i="1"/>
  <c r="D489" i="1"/>
  <c r="C489" i="1"/>
  <c r="V488" i="1"/>
  <c r="Q488" i="1"/>
  <c r="P488" i="1"/>
  <c r="O488" i="1"/>
  <c r="N488" i="1"/>
  <c r="J488" i="1"/>
  <c r="I488" i="1"/>
  <c r="H488" i="1"/>
  <c r="G488" i="1"/>
  <c r="F488" i="1"/>
  <c r="E488" i="1"/>
  <c r="D488" i="1"/>
  <c r="C488" i="1"/>
  <c r="V487" i="1"/>
  <c r="Q487" i="1"/>
  <c r="P487" i="1"/>
  <c r="O487" i="1"/>
  <c r="N487" i="1"/>
  <c r="J487" i="1"/>
  <c r="I487" i="1"/>
  <c r="H487" i="1"/>
  <c r="G487" i="1"/>
  <c r="F487" i="1"/>
  <c r="E487" i="1"/>
  <c r="D487" i="1"/>
  <c r="C487" i="1"/>
  <c r="V486" i="1"/>
  <c r="Q486" i="1"/>
  <c r="P486" i="1"/>
  <c r="O486" i="1"/>
  <c r="N486" i="1"/>
  <c r="J486" i="1"/>
  <c r="I486" i="1"/>
  <c r="H486" i="1"/>
  <c r="G486" i="1"/>
  <c r="F486" i="1"/>
  <c r="E486" i="1"/>
  <c r="D486" i="1"/>
  <c r="C486" i="1"/>
  <c r="V485" i="1"/>
  <c r="Q485" i="1"/>
  <c r="P485" i="1"/>
  <c r="O485" i="1"/>
  <c r="N485" i="1"/>
  <c r="J485" i="1"/>
  <c r="I485" i="1"/>
  <c r="H485" i="1"/>
  <c r="G485" i="1"/>
  <c r="F485" i="1"/>
  <c r="E485" i="1"/>
  <c r="D485" i="1"/>
  <c r="C485" i="1"/>
  <c r="V484" i="1"/>
  <c r="Q484" i="1"/>
  <c r="P484" i="1"/>
  <c r="O484" i="1"/>
  <c r="N484" i="1"/>
  <c r="J484" i="1"/>
  <c r="I484" i="1"/>
  <c r="H484" i="1"/>
  <c r="G484" i="1"/>
  <c r="F484" i="1"/>
  <c r="E484" i="1"/>
  <c r="D484" i="1"/>
  <c r="C484" i="1"/>
  <c r="V483" i="1"/>
  <c r="Q483" i="1"/>
  <c r="P483" i="1"/>
  <c r="O483" i="1"/>
  <c r="N483" i="1"/>
  <c r="J483" i="1"/>
  <c r="I483" i="1"/>
  <c r="H483" i="1"/>
  <c r="G483" i="1"/>
  <c r="F483" i="1"/>
  <c r="E483" i="1"/>
  <c r="D483" i="1"/>
  <c r="C483" i="1"/>
  <c r="V482" i="1"/>
  <c r="Q482" i="1"/>
  <c r="P482" i="1"/>
  <c r="O482" i="1"/>
  <c r="N482" i="1"/>
  <c r="J482" i="1"/>
  <c r="I482" i="1"/>
  <c r="H482" i="1"/>
  <c r="G482" i="1"/>
  <c r="F482" i="1"/>
  <c r="E482" i="1"/>
  <c r="D482" i="1"/>
  <c r="C482" i="1"/>
  <c r="V481" i="1"/>
  <c r="Q481" i="1"/>
  <c r="P481" i="1"/>
  <c r="O481" i="1"/>
  <c r="N481" i="1"/>
  <c r="J481" i="1"/>
  <c r="I481" i="1"/>
  <c r="H481" i="1"/>
  <c r="G481" i="1"/>
  <c r="F481" i="1"/>
  <c r="E481" i="1"/>
  <c r="D481" i="1"/>
  <c r="C481" i="1"/>
  <c r="V480" i="1"/>
  <c r="Q480" i="1"/>
  <c r="P480" i="1"/>
  <c r="O480" i="1"/>
  <c r="N480" i="1"/>
  <c r="J480" i="1"/>
  <c r="I480" i="1"/>
  <c r="H480" i="1"/>
  <c r="G480" i="1"/>
  <c r="F480" i="1"/>
  <c r="E480" i="1"/>
  <c r="D480" i="1"/>
  <c r="C480" i="1"/>
  <c r="V479" i="1"/>
  <c r="Q479" i="1"/>
  <c r="P479" i="1"/>
  <c r="O479" i="1"/>
  <c r="N479" i="1"/>
  <c r="J479" i="1"/>
  <c r="I479" i="1"/>
  <c r="H479" i="1"/>
  <c r="G479" i="1"/>
  <c r="F479" i="1"/>
  <c r="E479" i="1"/>
  <c r="D479" i="1"/>
  <c r="C479" i="1"/>
  <c r="V478" i="1"/>
  <c r="Q478" i="1"/>
  <c r="P478" i="1"/>
  <c r="O478" i="1"/>
  <c r="N478" i="1"/>
  <c r="J478" i="1"/>
  <c r="I478" i="1"/>
  <c r="H478" i="1"/>
  <c r="G478" i="1"/>
  <c r="F478" i="1"/>
  <c r="E478" i="1"/>
  <c r="D478" i="1"/>
  <c r="C478" i="1"/>
  <c r="V477" i="1"/>
  <c r="Q477" i="1"/>
  <c r="P477" i="1"/>
  <c r="O477" i="1"/>
  <c r="N477" i="1"/>
  <c r="J477" i="1"/>
  <c r="I477" i="1"/>
  <c r="H477" i="1"/>
  <c r="G477" i="1"/>
  <c r="F477" i="1"/>
  <c r="E477" i="1"/>
  <c r="D477" i="1"/>
  <c r="C477" i="1"/>
  <c r="V476" i="1"/>
  <c r="Q476" i="1"/>
  <c r="P476" i="1"/>
  <c r="O476" i="1"/>
  <c r="N476" i="1"/>
  <c r="J476" i="1"/>
  <c r="I476" i="1"/>
  <c r="H476" i="1"/>
  <c r="G476" i="1"/>
  <c r="F476" i="1"/>
  <c r="E476" i="1"/>
  <c r="D476" i="1"/>
  <c r="C476" i="1"/>
  <c r="V475" i="1"/>
  <c r="Q475" i="1"/>
  <c r="P475" i="1"/>
  <c r="O475" i="1"/>
  <c r="N475" i="1"/>
  <c r="J475" i="1"/>
  <c r="I475" i="1"/>
  <c r="H475" i="1"/>
  <c r="G475" i="1"/>
  <c r="F475" i="1"/>
  <c r="E475" i="1"/>
  <c r="D475" i="1"/>
  <c r="C475" i="1"/>
  <c r="V474" i="1"/>
  <c r="R474" i="1"/>
  <c r="Q474" i="1"/>
  <c r="P474" i="1"/>
  <c r="O474" i="1"/>
  <c r="N474" i="1"/>
  <c r="J474" i="1"/>
  <c r="I474" i="1"/>
  <c r="H474" i="1"/>
  <c r="G474" i="1"/>
  <c r="F474" i="1"/>
  <c r="E474" i="1"/>
  <c r="D474" i="1"/>
  <c r="C474" i="1"/>
  <c r="V473" i="1"/>
  <c r="R473" i="1"/>
  <c r="Q473" i="1"/>
  <c r="P473" i="1"/>
  <c r="O473" i="1"/>
  <c r="N473" i="1"/>
  <c r="J473" i="1"/>
  <c r="I473" i="1"/>
  <c r="H473" i="1"/>
  <c r="G473" i="1"/>
  <c r="F473" i="1"/>
  <c r="E473" i="1"/>
  <c r="D473" i="1"/>
  <c r="C473" i="1"/>
  <c r="V472" i="1"/>
  <c r="R472" i="1"/>
  <c r="Q472" i="1"/>
  <c r="P472" i="1"/>
  <c r="O472" i="1"/>
  <c r="N472" i="1"/>
  <c r="J472" i="1"/>
  <c r="I472" i="1"/>
  <c r="H472" i="1"/>
  <c r="G472" i="1"/>
  <c r="F472" i="1"/>
  <c r="E472" i="1"/>
  <c r="D472" i="1"/>
  <c r="C472" i="1"/>
  <c r="V471" i="1"/>
  <c r="Q471" i="1"/>
  <c r="P471" i="1"/>
  <c r="O471" i="1"/>
  <c r="N471" i="1"/>
  <c r="J471" i="1"/>
  <c r="I471" i="1"/>
  <c r="H471" i="1"/>
  <c r="G471" i="1"/>
  <c r="F471" i="1"/>
  <c r="E471" i="1"/>
  <c r="D471" i="1"/>
  <c r="C471" i="1"/>
  <c r="V470" i="1"/>
  <c r="Q470" i="1"/>
  <c r="P470" i="1"/>
  <c r="O470" i="1"/>
  <c r="N470" i="1"/>
  <c r="J470" i="1"/>
  <c r="I470" i="1"/>
  <c r="H470" i="1"/>
  <c r="G470" i="1"/>
  <c r="F470" i="1"/>
  <c r="E470" i="1"/>
  <c r="D470" i="1"/>
  <c r="C470" i="1"/>
  <c r="V469" i="1"/>
  <c r="Q469" i="1"/>
  <c r="P469" i="1"/>
  <c r="O469" i="1"/>
  <c r="N469" i="1"/>
  <c r="J469" i="1"/>
  <c r="I469" i="1"/>
  <c r="H469" i="1"/>
  <c r="G469" i="1"/>
  <c r="F469" i="1"/>
  <c r="E469" i="1"/>
  <c r="D469" i="1"/>
  <c r="C469" i="1"/>
  <c r="V468" i="1"/>
  <c r="Q468" i="1"/>
  <c r="P468" i="1"/>
  <c r="O468" i="1"/>
  <c r="N468" i="1"/>
  <c r="J468" i="1"/>
  <c r="I468" i="1"/>
  <c r="H468" i="1"/>
  <c r="G468" i="1"/>
  <c r="F468" i="1"/>
  <c r="E468" i="1"/>
  <c r="D468" i="1"/>
  <c r="C468" i="1"/>
  <c r="V467" i="1"/>
  <c r="Q467" i="1"/>
  <c r="P467" i="1"/>
  <c r="O467" i="1"/>
  <c r="N467" i="1"/>
  <c r="J467" i="1"/>
  <c r="I467" i="1"/>
  <c r="H467" i="1"/>
  <c r="G467" i="1"/>
  <c r="F467" i="1"/>
  <c r="E467" i="1"/>
  <c r="D467" i="1"/>
  <c r="C467" i="1"/>
  <c r="V466" i="1"/>
  <c r="Q466" i="1"/>
  <c r="P466" i="1"/>
  <c r="O466" i="1"/>
  <c r="N466" i="1"/>
  <c r="J466" i="1"/>
  <c r="I466" i="1"/>
  <c r="H466" i="1"/>
  <c r="G466" i="1"/>
  <c r="F466" i="1"/>
  <c r="E466" i="1"/>
  <c r="D466" i="1"/>
  <c r="C466" i="1"/>
  <c r="V465" i="1"/>
  <c r="Q465" i="1"/>
  <c r="P465" i="1"/>
  <c r="O465" i="1"/>
  <c r="N465" i="1"/>
  <c r="J465" i="1"/>
  <c r="I465" i="1"/>
  <c r="H465" i="1"/>
  <c r="G465" i="1"/>
  <c r="F465" i="1"/>
  <c r="E465" i="1"/>
  <c r="D465" i="1"/>
  <c r="C465" i="1"/>
  <c r="V464" i="1"/>
  <c r="Q464" i="1"/>
  <c r="P464" i="1"/>
  <c r="O464" i="1"/>
  <c r="N464" i="1"/>
  <c r="J464" i="1"/>
  <c r="I464" i="1"/>
  <c r="H464" i="1"/>
  <c r="G464" i="1"/>
  <c r="F464" i="1"/>
  <c r="E464" i="1"/>
  <c r="D464" i="1"/>
  <c r="C464" i="1"/>
  <c r="V463" i="1"/>
  <c r="Q463" i="1"/>
  <c r="P463" i="1"/>
  <c r="O463" i="1"/>
  <c r="N463" i="1"/>
  <c r="J463" i="1"/>
  <c r="I463" i="1"/>
  <c r="H463" i="1"/>
  <c r="G463" i="1"/>
  <c r="F463" i="1"/>
  <c r="E463" i="1"/>
  <c r="D463" i="1"/>
  <c r="C463" i="1"/>
  <c r="V462" i="1"/>
  <c r="Q462" i="1"/>
  <c r="P462" i="1"/>
  <c r="O462" i="1"/>
  <c r="N462" i="1"/>
  <c r="J462" i="1"/>
  <c r="I462" i="1"/>
  <c r="H462" i="1"/>
  <c r="G462" i="1"/>
  <c r="F462" i="1"/>
  <c r="E462" i="1"/>
  <c r="D462" i="1"/>
  <c r="C462" i="1"/>
  <c r="V461" i="1"/>
  <c r="Q461" i="1"/>
  <c r="P461" i="1"/>
  <c r="O461" i="1"/>
  <c r="N461" i="1"/>
  <c r="J461" i="1"/>
  <c r="I461" i="1"/>
  <c r="H461" i="1"/>
  <c r="G461" i="1"/>
  <c r="F461" i="1"/>
  <c r="E461" i="1"/>
  <c r="D461" i="1"/>
  <c r="C461" i="1"/>
  <c r="V460" i="1"/>
  <c r="Q460" i="1"/>
  <c r="P460" i="1"/>
  <c r="O460" i="1"/>
  <c r="N460" i="1"/>
  <c r="J460" i="1"/>
  <c r="I460" i="1"/>
  <c r="H460" i="1"/>
  <c r="G460" i="1"/>
  <c r="F460" i="1"/>
  <c r="E460" i="1"/>
  <c r="D460" i="1"/>
  <c r="C460" i="1"/>
  <c r="V459" i="1"/>
  <c r="Q459" i="1"/>
  <c r="P459" i="1"/>
  <c r="O459" i="1"/>
  <c r="N459" i="1"/>
  <c r="J459" i="1"/>
  <c r="I459" i="1"/>
  <c r="H459" i="1"/>
  <c r="G459" i="1"/>
  <c r="F459" i="1"/>
  <c r="E459" i="1"/>
  <c r="D459" i="1"/>
  <c r="C459" i="1"/>
  <c r="V458" i="1"/>
  <c r="Q458" i="1"/>
  <c r="P458" i="1"/>
  <c r="O458" i="1"/>
  <c r="N458" i="1"/>
  <c r="J458" i="1"/>
  <c r="I458" i="1"/>
  <c r="H458" i="1"/>
  <c r="G458" i="1"/>
  <c r="F458" i="1"/>
  <c r="E458" i="1"/>
  <c r="D458" i="1"/>
  <c r="C458" i="1"/>
  <c r="V457" i="1"/>
  <c r="Q457" i="1"/>
  <c r="P457" i="1"/>
  <c r="O457" i="1"/>
  <c r="N457" i="1"/>
  <c r="J457" i="1"/>
  <c r="I457" i="1"/>
  <c r="H457" i="1"/>
  <c r="G457" i="1"/>
  <c r="F457" i="1"/>
  <c r="E457" i="1"/>
  <c r="D457" i="1"/>
  <c r="C457" i="1"/>
  <c r="V456" i="1"/>
  <c r="R456" i="1"/>
  <c r="Q456" i="1"/>
  <c r="P456" i="1"/>
  <c r="O456" i="1"/>
  <c r="N456" i="1"/>
  <c r="J456" i="1"/>
  <c r="I456" i="1"/>
  <c r="H456" i="1"/>
  <c r="G456" i="1"/>
  <c r="F456" i="1"/>
  <c r="E456" i="1"/>
  <c r="D456" i="1"/>
  <c r="C456" i="1"/>
  <c r="V455" i="1"/>
  <c r="R455" i="1"/>
  <c r="Q455" i="1"/>
  <c r="P455" i="1"/>
  <c r="O455" i="1"/>
  <c r="N455" i="1"/>
  <c r="J455" i="1"/>
  <c r="I455" i="1"/>
  <c r="H455" i="1"/>
  <c r="G455" i="1"/>
  <c r="F455" i="1"/>
  <c r="E455" i="1"/>
  <c r="D455" i="1"/>
  <c r="C455" i="1"/>
  <c r="V454" i="1"/>
  <c r="R454" i="1"/>
  <c r="Q454" i="1"/>
  <c r="P454" i="1"/>
  <c r="O454" i="1"/>
  <c r="N454" i="1"/>
  <c r="J454" i="1"/>
  <c r="I454" i="1"/>
  <c r="H454" i="1"/>
  <c r="G454" i="1"/>
  <c r="F454" i="1"/>
  <c r="E454" i="1"/>
  <c r="D454" i="1"/>
  <c r="C454" i="1"/>
  <c r="V453" i="1"/>
  <c r="R453" i="1"/>
  <c r="Q453" i="1"/>
  <c r="P453" i="1"/>
  <c r="O453" i="1"/>
  <c r="N453" i="1"/>
  <c r="J453" i="1"/>
  <c r="I453" i="1"/>
  <c r="H453" i="1"/>
  <c r="G453" i="1"/>
  <c r="F453" i="1"/>
  <c r="E453" i="1"/>
  <c r="D453" i="1"/>
  <c r="C453" i="1"/>
  <c r="V452" i="1"/>
  <c r="R452" i="1"/>
  <c r="Q452" i="1"/>
  <c r="P452" i="1"/>
  <c r="O452" i="1"/>
  <c r="N452" i="1"/>
  <c r="J452" i="1"/>
  <c r="I452" i="1"/>
  <c r="H452" i="1"/>
  <c r="G452" i="1"/>
  <c r="F452" i="1"/>
  <c r="E452" i="1"/>
  <c r="D452" i="1"/>
  <c r="C452" i="1"/>
  <c r="V451" i="1"/>
  <c r="R451" i="1"/>
  <c r="Q451" i="1"/>
  <c r="P451" i="1"/>
  <c r="O451" i="1"/>
  <c r="N451" i="1"/>
  <c r="J451" i="1"/>
  <c r="I451" i="1"/>
  <c r="H451" i="1"/>
  <c r="G451" i="1"/>
  <c r="F451" i="1"/>
  <c r="E451" i="1"/>
  <c r="D451" i="1"/>
  <c r="C451" i="1"/>
  <c r="V450" i="1"/>
  <c r="R450" i="1"/>
  <c r="Q450" i="1"/>
  <c r="P450" i="1"/>
  <c r="O450" i="1"/>
  <c r="N450" i="1"/>
  <c r="J450" i="1"/>
  <c r="I450" i="1"/>
  <c r="H450" i="1"/>
  <c r="G450" i="1"/>
  <c r="F450" i="1"/>
  <c r="E450" i="1"/>
  <c r="D450" i="1"/>
  <c r="C450" i="1"/>
  <c r="V449" i="1"/>
  <c r="R449" i="1"/>
  <c r="Q449" i="1"/>
  <c r="P449" i="1"/>
  <c r="O449" i="1"/>
  <c r="N449" i="1"/>
  <c r="J449" i="1"/>
  <c r="I449" i="1"/>
  <c r="H449" i="1"/>
  <c r="G449" i="1"/>
  <c r="F449" i="1"/>
  <c r="E449" i="1"/>
  <c r="D449" i="1"/>
  <c r="C449" i="1"/>
  <c r="V448" i="1"/>
  <c r="R448" i="1"/>
  <c r="Q448" i="1"/>
  <c r="P448" i="1"/>
  <c r="O448" i="1"/>
  <c r="N448" i="1"/>
  <c r="J448" i="1"/>
  <c r="I448" i="1"/>
  <c r="H448" i="1"/>
  <c r="G448" i="1"/>
  <c r="F448" i="1"/>
  <c r="E448" i="1"/>
  <c r="D448" i="1"/>
  <c r="C448" i="1"/>
  <c r="V447" i="1"/>
  <c r="R447" i="1"/>
  <c r="Q447" i="1"/>
  <c r="P447" i="1"/>
  <c r="O447" i="1"/>
  <c r="N447" i="1"/>
  <c r="J447" i="1"/>
  <c r="I447" i="1"/>
  <c r="H447" i="1"/>
  <c r="G447" i="1"/>
  <c r="F447" i="1"/>
  <c r="E447" i="1"/>
  <c r="D447" i="1"/>
  <c r="C447" i="1"/>
  <c r="V446" i="1"/>
  <c r="R446" i="1"/>
  <c r="Q446" i="1"/>
  <c r="P446" i="1"/>
  <c r="O446" i="1"/>
  <c r="N446" i="1"/>
  <c r="J446" i="1"/>
  <c r="I446" i="1"/>
  <c r="H446" i="1"/>
  <c r="G446" i="1"/>
  <c r="F446" i="1"/>
  <c r="E446" i="1"/>
  <c r="D446" i="1"/>
  <c r="C446" i="1"/>
  <c r="V445" i="1"/>
  <c r="R445" i="1"/>
  <c r="Q445" i="1"/>
  <c r="P445" i="1"/>
  <c r="O445" i="1"/>
  <c r="N445" i="1"/>
  <c r="J445" i="1"/>
  <c r="I445" i="1"/>
  <c r="H445" i="1"/>
  <c r="G445" i="1"/>
  <c r="F445" i="1"/>
  <c r="E445" i="1"/>
  <c r="D445" i="1"/>
  <c r="C445" i="1"/>
  <c r="V444" i="1"/>
  <c r="R444" i="1"/>
  <c r="Q444" i="1"/>
  <c r="P444" i="1"/>
  <c r="O444" i="1"/>
  <c r="N444" i="1"/>
  <c r="J444" i="1"/>
  <c r="I444" i="1"/>
  <c r="H444" i="1"/>
  <c r="G444" i="1"/>
  <c r="F444" i="1"/>
  <c r="E444" i="1"/>
  <c r="D444" i="1"/>
  <c r="C444" i="1"/>
  <c r="V443" i="1"/>
  <c r="R443" i="1"/>
  <c r="Q443" i="1"/>
  <c r="P443" i="1"/>
  <c r="O443" i="1"/>
  <c r="N443" i="1"/>
  <c r="J443" i="1"/>
  <c r="I443" i="1"/>
  <c r="H443" i="1"/>
  <c r="G443" i="1"/>
  <c r="F443" i="1"/>
  <c r="E443" i="1"/>
  <c r="D443" i="1"/>
  <c r="C443" i="1"/>
  <c r="V442" i="1"/>
  <c r="R442" i="1"/>
  <c r="Q442" i="1"/>
  <c r="P442" i="1"/>
  <c r="O442" i="1"/>
  <c r="N442" i="1"/>
  <c r="J442" i="1"/>
  <c r="I442" i="1"/>
  <c r="H442" i="1"/>
  <c r="G442" i="1"/>
  <c r="F442" i="1"/>
  <c r="E442" i="1"/>
  <c r="D442" i="1"/>
  <c r="C442" i="1"/>
  <c r="V441" i="1"/>
  <c r="R441" i="1"/>
  <c r="Q441" i="1"/>
  <c r="P441" i="1"/>
  <c r="O441" i="1"/>
  <c r="N441" i="1"/>
  <c r="J441" i="1"/>
  <c r="I441" i="1"/>
  <c r="H441" i="1"/>
  <c r="G441" i="1"/>
  <c r="F441" i="1"/>
  <c r="E441" i="1"/>
  <c r="D441" i="1"/>
  <c r="C441" i="1"/>
  <c r="V440" i="1"/>
  <c r="R440" i="1"/>
  <c r="Q440" i="1"/>
  <c r="P440" i="1"/>
  <c r="O440" i="1"/>
  <c r="N440" i="1"/>
  <c r="J440" i="1"/>
  <c r="I440" i="1"/>
  <c r="H440" i="1"/>
  <c r="G440" i="1"/>
  <c r="F440" i="1"/>
  <c r="E440" i="1"/>
  <c r="D440" i="1"/>
  <c r="C440" i="1"/>
  <c r="V439" i="1"/>
  <c r="R439" i="1"/>
  <c r="Q439" i="1"/>
  <c r="P439" i="1"/>
  <c r="O439" i="1"/>
  <c r="N439" i="1"/>
  <c r="J439" i="1"/>
  <c r="I439" i="1"/>
  <c r="H439" i="1"/>
  <c r="G439" i="1"/>
  <c r="F439" i="1"/>
  <c r="E439" i="1"/>
  <c r="D439" i="1"/>
  <c r="C439" i="1"/>
  <c r="V438" i="1"/>
  <c r="R438" i="1"/>
  <c r="Q438" i="1"/>
  <c r="P438" i="1"/>
  <c r="O438" i="1"/>
  <c r="N438" i="1"/>
  <c r="J438" i="1"/>
  <c r="I438" i="1"/>
  <c r="H438" i="1"/>
  <c r="G438" i="1"/>
  <c r="F438" i="1"/>
  <c r="E438" i="1"/>
  <c r="D438" i="1"/>
  <c r="C438" i="1"/>
  <c r="V437" i="1"/>
  <c r="R437" i="1"/>
  <c r="Q437" i="1"/>
  <c r="P437" i="1"/>
  <c r="O437" i="1"/>
  <c r="N437" i="1"/>
  <c r="J437" i="1"/>
  <c r="I437" i="1"/>
  <c r="H437" i="1"/>
  <c r="G437" i="1"/>
  <c r="F437" i="1"/>
  <c r="E437" i="1"/>
  <c r="D437" i="1"/>
  <c r="C437" i="1"/>
  <c r="V436" i="1"/>
  <c r="R436" i="1"/>
  <c r="Q436" i="1"/>
  <c r="P436" i="1"/>
  <c r="O436" i="1"/>
  <c r="N436" i="1"/>
  <c r="J436" i="1"/>
  <c r="I436" i="1"/>
  <c r="H436" i="1"/>
  <c r="G436" i="1"/>
  <c r="F436" i="1"/>
  <c r="E436" i="1"/>
  <c r="D436" i="1"/>
  <c r="C436" i="1"/>
  <c r="V435" i="1"/>
  <c r="R435" i="1"/>
  <c r="Q435" i="1"/>
  <c r="P435" i="1"/>
  <c r="O435" i="1"/>
  <c r="N435" i="1"/>
  <c r="J435" i="1"/>
  <c r="I435" i="1"/>
  <c r="H435" i="1"/>
  <c r="G435" i="1"/>
  <c r="F435" i="1"/>
  <c r="E435" i="1"/>
  <c r="D435" i="1"/>
  <c r="C435" i="1"/>
  <c r="V434" i="1"/>
  <c r="R434" i="1"/>
  <c r="Q434" i="1"/>
  <c r="P434" i="1"/>
  <c r="O434" i="1"/>
  <c r="N434" i="1"/>
  <c r="J434" i="1"/>
  <c r="I434" i="1"/>
  <c r="H434" i="1"/>
  <c r="G434" i="1"/>
  <c r="F434" i="1"/>
  <c r="E434" i="1"/>
  <c r="D434" i="1"/>
  <c r="C434" i="1"/>
  <c r="V433" i="1"/>
  <c r="R433" i="1"/>
  <c r="Q433" i="1"/>
  <c r="P433" i="1"/>
  <c r="O433" i="1"/>
  <c r="N433" i="1"/>
  <c r="J433" i="1"/>
  <c r="I433" i="1"/>
  <c r="H433" i="1"/>
  <c r="G433" i="1"/>
  <c r="F433" i="1"/>
  <c r="E433" i="1"/>
  <c r="D433" i="1"/>
  <c r="C433" i="1"/>
  <c r="V432" i="1"/>
  <c r="R432" i="1"/>
  <c r="Q432" i="1"/>
  <c r="P432" i="1"/>
  <c r="O432" i="1"/>
  <c r="N432" i="1"/>
  <c r="K432" i="1"/>
  <c r="J432" i="1"/>
  <c r="I432" i="1"/>
  <c r="H432" i="1"/>
  <c r="G432" i="1"/>
  <c r="F432" i="1"/>
  <c r="E432" i="1"/>
  <c r="D432" i="1"/>
  <c r="C432" i="1"/>
  <c r="V431" i="1"/>
  <c r="R431" i="1"/>
  <c r="Q431" i="1"/>
  <c r="P431" i="1"/>
  <c r="O431" i="1"/>
  <c r="N431" i="1"/>
  <c r="K431" i="1"/>
  <c r="J431" i="1"/>
  <c r="I431" i="1"/>
  <c r="H431" i="1"/>
  <c r="G431" i="1"/>
  <c r="F431" i="1"/>
  <c r="E431" i="1"/>
  <c r="D431" i="1"/>
  <c r="C431" i="1"/>
  <c r="V430" i="1"/>
  <c r="R430" i="1"/>
  <c r="Q430" i="1"/>
  <c r="P430" i="1"/>
  <c r="O430" i="1"/>
  <c r="N430" i="1"/>
  <c r="K430" i="1"/>
  <c r="J430" i="1"/>
  <c r="I430" i="1"/>
  <c r="H430" i="1"/>
  <c r="G430" i="1"/>
  <c r="F430" i="1"/>
  <c r="E430" i="1"/>
  <c r="D430" i="1"/>
  <c r="C430" i="1"/>
  <c r="V429" i="1"/>
  <c r="R429" i="1"/>
  <c r="Q429" i="1"/>
  <c r="P429" i="1"/>
  <c r="O429" i="1"/>
  <c r="N429" i="1"/>
  <c r="K429" i="1"/>
  <c r="J429" i="1"/>
  <c r="I429" i="1"/>
  <c r="H429" i="1"/>
  <c r="G429" i="1"/>
  <c r="F429" i="1"/>
  <c r="E429" i="1"/>
  <c r="D429" i="1"/>
  <c r="C429" i="1"/>
  <c r="V428" i="1"/>
  <c r="R428" i="1"/>
  <c r="Q428" i="1"/>
  <c r="P428" i="1"/>
  <c r="O428" i="1"/>
  <c r="N428" i="1"/>
  <c r="K428" i="1"/>
  <c r="J428" i="1"/>
  <c r="I428" i="1"/>
  <c r="H428" i="1"/>
  <c r="G428" i="1"/>
  <c r="F428" i="1"/>
  <c r="E428" i="1"/>
  <c r="D428" i="1"/>
  <c r="C428" i="1"/>
  <c r="V427" i="1"/>
  <c r="R427" i="1"/>
  <c r="Q427" i="1"/>
  <c r="P427" i="1"/>
  <c r="O427" i="1"/>
  <c r="N427" i="1"/>
  <c r="K427" i="1"/>
  <c r="J427" i="1"/>
  <c r="I427" i="1"/>
  <c r="H427" i="1"/>
  <c r="G427" i="1"/>
  <c r="F427" i="1"/>
  <c r="E427" i="1"/>
  <c r="D427" i="1"/>
  <c r="C427" i="1"/>
  <c r="V426" i="1"/>
  <c r="R426" i="1"/>
  <c r="Q426" i="1"/>
  <c r="P426" i="1"/>
  <c r="O426" i="1"/>
  <c r="N426" i="1"/>
  <c r="K426" i="1"/>
  <c r="J426" i="1"/>
  <c r="I426" i="1"/>
  <c r="H426" i="1"/>
  <c r="G426" i="1"/>
  <c r="F426" i="1"/>
  <c r="E426" i="1"/>
  <c r="D426" i="1"/>
  <c r="C426" i="1"/>
  <c r="V425" i="1"/>
  <c r="R425" i="1"/>
  <c r="Q425" i="1"/>
  <c r="P425" i="1"/>
  <c r="O425" i="1"/>
  <c r="N425" i="1"/>
  <c r="K425" i="1"/>
  <c r="J425" i="1"/>
  <c r="I425" i="1"/>
  <c r="H425" i="1"/>
  <c r="G425" i="1"/>
  <c r="F425" i="1"/>
  <c r="E425" i="1"/>
  <c r="D425" i="1"/>
  <c r="C425" i="1"/>
  <c r="V424" i="1"/>
  <c r="R424" i="1"/>
  <c r="Q424" i="1"/>
  <c r="P424" i="1"/>
  <c r="O424" i="1"/>
  <c r="N424" i="1"/>
  <c r="K424" i="1"/>
  <c r="J424" i="1"/>
  <c r="I424" i="1"/>
  <c r="H424" i="1"/>
  <c r="G424" i="1"/>
  <c r="F424" i="1"/>
  <c r="E424" i="1"/>
  <c r="D424" i="1"/>
  <c r="C424" i="1"/>
  <c r="V423" i="1"/>
  <c r="R423" i="1"/>
  <c r="Q423" i="1"/>
  <c r="P423" i="1"/>
  <c r="O423" i="1"/>
  <c r="N423" i="1"/>
  <c r="K423" i="1"/>
  <c r="J423" i="1"/>
  <c r="I423" i="1"/>
  <c r="H423" i="1"/>
  <c r="G423" i="1"/>
  <c r="F423" i="1"/>
  <c r="E423" i="1"/>
  <c r="D423" i="1"/>
  <c r="C423" i="1"/>
  <c r="V422" i="1"/>
  <c r="R422" i="1"/>
  <c r="Q422" i="1"/>
  <c r="P422" i="1"/>
  <c r="O422" i="1"/>
  <c r="N422" i="1"/>
  <c r="K422" i="1"/>
  <c r="J422" i="1"/>
  <c r="I422" i="1"/>
  <c r="H422" i="1"/>
  <c r="G422" i="1"/>
  <c r="F422" i="1"/>
  <c r="E422" i="1"/>
  <c r="D422" i="1"/>
  <c r="C422" i="1"/>
  <c r="V421" i="1"/>
  <c r="R421" i="1"/>
  <c r="Q421" i="1"/>
  <c r="P421" i="1"/>
  <c r="O421" i="1"/>
  <c r="N421" i="1"/>
  <c r="K421" i="1"/>
  <c r="J421" i="1"/>
  <c r="I421" i="1"/>
  <c r="H421" i="1"/>
  <c r="G421" i="1"/>
  <c r="F421" i="1"/>
  <c r="E421" i="1"/>
  <c r="D421" i="1"/>
  <c r="C421" i="1"/>
  <c r="V420" i="1"/>
  <c r="R420" i="1"/>
  <c r="Q420" i="1"/>
  <c r="P420" i="1"/>
  <c r="O420" i="1"/>
  <c r="N420" i="1"/>
  <c r="K420" i="1"/>
  <c r="J420" i="1"/>
  <c r="I420" i="1"/>
  <c r="H420" i="1"/>
  <c r="G420" i="1"/>
  <c r="F420" i="1"/>
  <c r="E420" i="1"/>
  <c r="D420" i="1"/>
  <c r="C420" i="1"/>
  <c r="V419" i="1"/>
  <c r="R419" i="1"/>
  <c r="Q419" i="1"/>
  <c r="P419" i="1"/>
  <c r="O419" i="1"/>
  <c r="N419" i="1"/>
  <c r="K419" i="1"/>
  <c r="J419" i="1"/>
  <c r="I419" i="1"/>
  <c r="H419" i="1"/>
  <c r="G419" i="1"/>
  <c r="F419" i="1"/>
  <c r="E419" i="1"/>
  <c r="D419" i="1"/>
  <c r="C419" i="1"/>
  <c r="V418" i="1"/>
  <c r="R418" i="1"/>
  <c r="Q418" i="1"/>
  <c r="P418" i="1"/>
  <c r="O418" i="1"/>
  <c r="N418" i="1"/>
  <c r="K418" i="1"/>
  <c r="J418" i="1"/>
  <c r="I418" i="1"/>
  <c r="H418" i="1"/>
  <c r="G418" i="1"/>
  <c r="F418" i="1"/>
  <c r="E418" i="1"/>
  <c r="D418" i="1"/>
  <c r="C418" i="1"/>
  <c r="V417" i="1"/>
  <c r="R417" i="1"/>
  <c r="Q417" i="1"/>
  <c r="P417" i="1"/>
  <c r="O417" i="1"/>
  <c r="N417" i="1"/>
  <c r="K417" i="1"/>
  <c r="J417" i="1"/>
  <c r="I417" i="1"/>
  <c r="H417" i="1"/>
  <c r="G417" i="1"/>
  <c r="F417" i="1"/>
  <c r="E417" i="1"/>
  <c r="D417" i="1"/>
  <c r="C417" i="1"/>
  <c r="V416" i="1"/>
  <c r="R416" i="1"/>
  <c r="Q416" i="1"/>
  <c r="P416" i="1"/>
  <c r="O416" i="1"/>
  <c r="N416" i="1"/>
  <c r="K416" i="1"/>
  <c r="J416" i="1"/>
  <c r="I416" i="1"/>
  <c r="H416" i="1"/>
  <c r="G416" i="1"/>
  <c r="F416" i="1"/>
  <c r="E416" i="1"/>
  <c r="D416" i="1"/>
  <c r="C416" i="1"/>
  <c r="V415" i="1"/>
  <c r="R415" i="1"/>
  <c r="Q415" i="1"/>
  <c r="P415" i="1"/>
  <c r="O415" i="1"/>
  <c r="N415" i="1"/>
  <c r="K415" i="1"/>
  <c r="J415" i="1"/>
  <c r="I415" i="1"/>
  <c r="H415" i="1"/>
  <c r="G415" i="1"/>
  <c r="F415" i="1"/>
  <c r="E415" i="1"/>
  <c r="D415" i="1"/>
  <c r="C415" i="1"/>
  <c r="V414" i="1"/>
  <c r="R414" i="1"/>
  <c r="Q414" i="1"/>
  <c r="P414" i="1"/>
  <c r="O414" i="1"/>
  <c r="N414" i="1"/>
  <c r="K414" i="1"/>
  <c r="J414" i="1"/>
  <c r="I414" i="1"/>
  <c r="H414" i="1"/>
  <c r="G414" i="1"/>
  <c r="F414" i="1"/>
  <c r="E414" i="1"/>
  <c r="D414" i="1"/>
  <c r="C414" i="1"/>
  <c r="V413" i="1"/>
  <c r="R413" i="1"/>
  <c r="Q413" i="1"/>
  <c r="P413" i="1"/>
  <c r="O413" i="1"/>
  <c r="N413" i="1"/>
  <c r="K413" i="1"/>
  <c r="J413" i="1"/>
  <c r="I413" i="1"/>
  <c r="H413" i="1"/>
  <c r="G413" i="1"/>
  <c r="F413" i="1"/>
  <c r="E413" i="1"/>
  <c r="D413" i="1"/>
  <c r="C413" i="1"/>
  <c r="V412" i="1"/>
  <c r="R412" i="1"/>
  <c r="Q412" i="1"/>
  <c r="P412" i="1"/>
  <c r="O412" i="1"/>
  <c r="N412" i="1"/>
  <c r="K412" i="1"/>
  <c r="J412" i="1"/>
  <c r="I412" i="1"/>
  <c r="H412" i="1"/>
  <c r="G412" i="1"/>
  <c r="F412" i="1"/>
  <c r="E412" i="1"/>
  <c r="D412" i="1"/>
  <c r="C412" i="1"/>
  <c r="V411" i="1"/>
  <c r="R411" i="1"/>
  <c r="Q411" i="1"/>
  <c r="P411" i="1"/>
  <c r="O411" i="1"/>
  <c r="N411" i="1"/>
  <c r="K411" i="1"/>
  <c r="J411" i="1"/>
  <c r="I411" i="1"/>
  <c r="H411" i="1"/>
  <c r="G411" i="1"/>
  <c r="F411" i="1"/>
  <c r="E411" i="1"/>
  <c r="D411" i="1"/>
  <c r="C411" i="1"/>
  <c r="V410" i="1"/>
  <c r="R410" i="1"/>
  <c r="Q410" i="1"/>
  <c r="P410" i="1"/>
  <c r="O410" i="1"/>
  <c r="N410" i="1"/>
  <c r="K410" i="1"/>
  <c r="J410" i="1"/>
  <c r="I410" i="1"/>
  <c r="H410" i="1"/>
  <c r="G410" i="1"/>
  <c r="F410" i="1"/>
  <c r="E410" i="1"/>
  <c r="D410" i="1"/>
  <c r="C410" i="1"/>
  <c r="V409" i="1"/>
  <c r="R409" i="1"/>
  <c r="Q409" i="1"/>
  <c r="P409" i="1"/>
  <c r="O409" i="1"/>
  <c r="N409" i="1"/>
  <c r="K409" i="1"/>
  <c r="J409" i="1"/>
  <c r="I409" i="1"/>
  <c r="H409" i="1"/>
  <c r="G409" i="1"/>
  <c r="F409" i="1"/>
  <c r="E409" i="1"/>
  <c r="D409" i="1"/>
  <c r="C409" i="1"/>
  <c r="V408" i="1"/>
  <c r="R408" i="1"/>
  <c r="Q408" i="1"/>
  <c r="P408" i="1"/>
  <c r="O408" i="1"/>
  <c r="N408" i="1"/>
  <c r="K408" i="1"/>
  <c r="J408" i="1"/>
  <c r="I408" i="1"/>
  <c r="H408" i="1"/>
  <c r="G408" i="1"/>
  <c r="F408" i="1"/>
  <c r="E408" i="1"/>
  <c r="D408" i="1"/>
  <c r="C408" i="1"/>
  <c r="V407" i="1"/>
  <c r="R407" i="1"/>
  <c r="Q407" i="1"/>
  <c r="P407" i="1"/>
  <c r="O407" i="1"/>
  <c r="N407" i="1"/>
  <c r="K407" i="1"/>
  <c r="J407" i="1"/>
  <c r="I407" i="1"/>
  <c r="H407" i="1"/>
  <c r="G407" i="1"/>
  <c r="F407" i="1"/>
  <c r="E407" i="1"/>
  <c r="D407" i="1"/>
  <c r="C407" i="1"/>
  <c r="V406" i="1"/>
  <c r="R406" i="1"/>
  <c r="Q406" i="1"/>
  <c r="P406" i="1"/>
  <c r="O406" i="1"/>
  <c r="N406" i="1"/>
  <c r="K406" i="1"/>
  <c r="J406" i="1"/>
  <c r="I406" i="1"/>
  <c r="H406" i="1"/>
  <c r="G406" i="1"/>
  <c r="F406" i="1"/>
  <c r="E406" i="1"/>
  <c r="D406" i="1"/>
  <c r="C406" i="1"/>
  <c r="V405" i="1"/>
  <c r="R405" i="1"/>
  <c r="Q405" i="1"/>
  <c r="P405" i="1"/>
  <c r="O405" i="1"/>
  <c r="N405" i="1"/>
  <c r="K405" i="1"/>
  <c r="J405" i="1"/>
  <c r="I405" i="1"/>
  <c r="H405" i="1"/>
  <c r="G405" i="1"/>
  <c r="F405" i="1"/>
  <c r="E405" i="1"/>
  <c r="D405" i="1"/>
  <c r="C405" i="1"/>
  <c r="V404" i="1"/>
  <c r="R404" i="1"/>
  <c r="Q404" i="1"/>
  <c r="P404" i="1"/>
  <c r="O404" i="1"/>
  <c r="N404" i="1"/>
  <c r="K404" i="1"/>
  <c r="J404" i="1"/>
  <c r="I404" i="1"/>
  <c r="H404" i="1"/>
  <c r="G404" i="1"/>
  <c r="F404" i="1"/>
  <c r="E404" i="1"/>
  <c r="D404" i="1"/>
  <c r="C404" i="1"/>
  <c r="V403" i="1"/>
  <c r="R403" i="1"/>
  <c r="Q403" i="1"/>
  <c r="P403" i="1"/>
  <c r="O403" i="1"/>
  <c r="N403" i="1"/>
  <c r="K403" i="1"/>
  <c r="J403" i="1"/>
  <c r="I403" i="1"/>
  <c r="H403" i="1"/>
  <c r="G403" i="1"/>
  <c r="F403" i="1"/>
  <c r="E403" i="1"/>
  <c r="D403" i="1"/>
  <c r="C403" i="1"/>
  <c r="V402" i="1"/>
  <c r="R402" i="1"/>
  <c r="Q402" i="1"/>
  <c r="P402" i="1"/>
  <c r="O402" i="1"/>
  <c r="N402" i="1"/>
  <c r="K402" i="1"/>
  <c r="J402" i="1"/>
  <c r="I402" i="1"/>
  <c r="H402" i="1"/>
  <c r="G402" i="1"/>
  <c r="F402" i="1"/>
  <c r="E402" i="1"/>
  <c r="D402" i="1"/>
  <c r="C402" i="1"/>
  <c r="V401" i="1"/>
  <c r="R401" i="1"/>
  <c r="Q401" i="1"/>
  <c r="P401" i="1"/>
  <c r="O401" i="1"/>
  <c r="N401" i="1"/>
  <c r="K401" i="1"/>
  <c r="J401" i="1"/>
  <c r="I401" i="1"/>
  <c r="H401" i="1"/>
  <c r="G401" i="1"/>
  <c r="F401" i="1"/>
  <c r="E401" i="1"/>
  <c r="D401" i="1"/>
  <c r="C401" i="1"/>
  <c r="V400" i="1"/>
  <c r="R400" i="1"/>
  <c r="Q400" i="1"/>
  <c r="P400" i="1"/>
  <c r="O400" i="1"/>
  <c r="N400" i="1"/>
  <c r="K400" i="1"/>
  <c r="J400" i="1"/>
  <c r="I400" i="1"/>
  <c r="H400" i="1"/>
  <c r="G400" i="1"/>
  <c r="F400" i="1"/>
  <c r="E400" i="1"/>
  <c r="D400" i="1"/>
  <c r="C400" i="1"/>
  <c r="V399" i="1"/>
  <c r="R399" i="1"/>
  <c r="Q399" i="1"/>
  <c r="P399" i="1"/>
  <c r="O399" i="1"/>
  <c r="N399" i="1"/>
  <c r="K399" i="1"/>
  <c r="J399" i="1"/>
  <c r="I399" i="1"/>
  <c r="H399" i="1"/>
  <c r="G399" i="1"/>
  <c r="F399" i="1"/>
  <c r="E399" i="1"/>
  <c r="D399" i="1"/>
  <c r="C399" i="1"/>
  <c r="V398" i="1"/>
  <c r="R398" i="1"/>
  <c r="Q398" i="1"/>
  <c r="P398" i="1"/>
  <c r="O398" i="1"/>
  <c r="N398" i="1"/>
  <c r="K398" i="1"/>
  <c r="J398" i="1"/>
  <c r="I398" i="1"/>
  <c r="H398" i="1"/>
  <c r="G398" i="1"/>
  <c r="F398" i="1"/>
  <c r="E398" i="1"/>
  <c r="D398" i="1"/>
  <c r="C398" i="1"/>
  <c r="V397" i="1"/>
  <c r="R397" i="1"/>
  <c r="Q397" i="1"/>
  <c r="P397" i="1"/>
  <c r="O397" i="1"/>
  <c r="N397" i="1"/>
  <c r="K397" i="1"/>
  <c r="J397" i="1"/>
  <c r="I397" i="1"/>
  <c r="H397" i="1"/>
  <c r="G397" i="1"/>
  <c r="F397" i="1"/>
  <c r="E397" i="1"/>
  <c r="D397" i="1"/>
  <c r="C397" i="1"/>
  <c r="V396" i="1"/>
  <c r="R396" i="1"/>
  <c r="Q396" i="1"/>
  <c r="P396" i="1"/>
  <c r="O396" i="1"/>
  <c r="N396" i="1"/>
  <c r="K396" i="1"/>
  <c r="J396" i="1"/>
  <c r="I396" i="1"/>
  <c r="H396" i="1"/>
  <c r="G396" i="1"/>
  <c r="F396" i="1"/>
  <c r="E396" i="1"/>
  <c r="D396" i="1"/>
  <c r="C396" i="1"/>
  <c r="V395" i="1"/>
  <c r="R395" i="1"/>
  <c r="Q395" i="1"/>
  <c r="P395" i="1"/>
  <c r="O395" i="1"/>
  <c r="N395" i="1"/>
  <c r="K395" i="1"/>
  <c r="J395" i="1"/>
  <c r="I395" i="1"/>
  <c r="H395" i="1"/>
  <c r="G395" i="1"/>
  <c r="F395" i="1"/>
  <c r="E395" i="1"/>
  <c r="D395" i="1"/>
  <c r="C395" i="1"/>
  <c r="V394" i="1"/>
  <c r="R394" i="1"/>
  <c r="Q394" i="1"/>
  <c r="P394" i="1"/>
  <c r="O394" i="1"/>
  <c r="N394" i="1"/>
  <c r="K394" i="1"/>
  <c r="J394" i="1"/>
  <c r="I394" i="1"/>
  <c r="H394" i="1"/>
  <c r="G394" i="1"/>
  <c r="F394" i="1"/>
  <c r="E394" i="1"/>
  <c r="D394" i="1"/>
  <c r="C394" i="1"/>
  <c r="V393" i="1"/>
  <c r="R393" i="1"/>
  <c r="Q393" i="1"/>
  <c r="P393" i="1"/>
  <c r="O393" i="1"/>
  <c r="N393" i="1"/>
  <c r="K393" i="1"/>
  <c r="J393" i="1"/>
  <c r="I393" i="1"/>
  <c r="H393" i="1"/>
  <c r="G393" i="1"/>
  <c r="F393" i="1"/>
  <c r="E393" i="1"/>
  <c r="D393" i="1"/>
  <c r="C393" i="1"/>
  <c r="V392" i="1"/>
  <c r="R392" i="1"/>
  <c r="Q392" i="1"/>
  <c r="P392" i="1"/>
  <c r="O392" i="1"/>
  <c r="N392" i="1"/>
  <c r="K392" i="1"/>
  <c r="J392" i="1"/>
  <c r="I392" i="1"/>
  <c r="H392" i="1"/>
  <c r="G392" i="1"/>
  <c r="F392" i="1"/>
  <c r="E392" i="1"/>
  <c r="D392" i="1"/>
  <c r="C392" i="1"/>
  <c r="V391" i="1"/>
  <c r="R391" i="1"/>
  <c r="Q391" i="1"/>
  <c r="P391" i="1"/>
  <c r="O391" i="1"/>
  <c r="N391" i="1"/>
  <c r="K391" i="1"/>
  <c r="J391" i="1"/>
  <c r="I391" i="1"/>
  <c r="H391" i="1"/>
  <c r="G391" i="1"/>
  <c r="F391" i="1"/>
  <c r="E391" i="1"/>
  <c r="D391" i="1"/>
  <c r="C391" i="1"/>
  <c r="V390" i="1"/>
  <c r="R390" i="1"/>
  <c r="Q390" i="1"/>
  <c r="P390" i="1"/>
  <c r="O390" i="1"/>
  <c r="N390" i="1"/>
  <c r="K390" i="1"/>
  <c r="J390" i="1"/>
  <c r="I390" i="1"/>
  <c r="H390" i="1"/>
  <c r="G390" i="1"/>
  <c r="F390" i="1"/>
  <c r="E390" i="1"/>
  <c r="D390" i="1"/>
  <c r="C390" i="1"/>
  <c r="V389" i="1"/>
  <c r="R389" i="1"/>
  <c r="Q389" i="1"/>
  <c r="P389" i="1"/>
  <c r="O389" i="1"/>
  <c r="N389" i="1"/>
  <c r="K389" i="1"/>
  <c r="J389" i="1"/>
  <c r="I389" i="1"/>
  <c r="H389" i="1"/>
  <c r="G389" i="1"/>
  <c r="F389" i="1"/>
  <c r="E389" i="1"/>
  <c r="D389" i="1"/>
  <c r="C389" i="1"/>
  <c r="V388" i="1"/>
  <c r="R388" i="1"/>
  <c r="Q388" i="1"/>
  <c r="P388" i="1"/>
  <c r="O388" i="1"/>
  <c r="N388" i="1"/>
  <c r="K388" i="1"/>
  <c r="J388" i="1"/>
  <c r="I388" i="1"/>
  <c r="H388" i="1"/>
  <c r="G388" i="1"/>
  <c r="F388" i="1"/>
  <c r="E388" i="1"/>
  <c r="D388" i="1"/>
  <c r="C388" i="1"/>
  <c r="V387" i="1"/>
  <c r="R387" i="1"/>
  <c r="Q387" i="1"/>
  <c r="P387" i="1"/>
  <c r="O387" i="1"/>
  <c r="N387" i="1"/>
  <c r="K387" i="1"/>
  <c r="J387" i="1"/>
  <c r="I387" i="1"/>
  <c r="H387" i="1"/>
  <c r="G387" i="1"/>
  <c r="F387" i="1"/>
  <c r="E387" i="1"/>
  <c r="D387" i="1"/>
  <c r="C387" i="1"/>
  <c r="V386" i="1"/>
  <c r="R386" i="1"/>
  <c r="Q386" i="1"/>
  <c r="P386" i="1"/>
  <c r="O386" i="1"/>
  <c r="N386" i="1"/>
  <c r="K386" i="1"/>
  <c r="J386" i="1"/>
  <c r="I386" i="1"/>
  <c r="H386" i="1"/>
  <c r="G386" i="1"/>
  <c r="F386" i="1"/>
  <c r="E386" i="1"/>
  <c r="D386" i="1"/>
  <c r="C386" i="1"/>
  <c r="V385" i="1"/>
  <c r="R385" i="1"/>
  <c r="Q385" i="1"/>
  <c r="P385" i="1"/>
  <c r="O385" i="1"/>
  <c r="N385" i="1"/>
  <c r="K385" i="1"/>
  <c r="J385" i="1"/>
  <c r="I385" i="1"/>
  <c r="H385" i="1"/>
  <c r="G385" i="1"/>
  <c r="F385" i="1"/>
  <c r="E385" i="1"/>
  <c r="D385" i="1"/>
  <c r="C385" i="1"/>
  <c r="V384" i="1"/>
  <c r="R384" i="1"/>
  <c r="Q384" i="1"/>
  <c r="P384" i="1"/>
  <c r="O384" i="1"/>
  <c r="N384" i="1"/>
  <c r="K384" i="1"/>
  <c r="J384" i="1"/>
  <c r="I384" i="1"/>
  <c r="H384" i="1"/>
  <c r="G384" i="1"/>
  <c r="F384" i="1"/>
  <c r="E384" i="1"/>
  <c r="D384" i="1"/>
  <c r="C384" i="1"/>
  <c r="V383" i="1"/>
  <c r="R383" i="1"/>
  <c r="Q383" i="1"/>
  <c r="P383" i="1"/>
  <c r="O383" i="1"/>
  <c r="N383" i="1"/>
  <c r="K383" i="1"/>
  <c r="J383" i="1"/>
  <c r="I383" i="1"/>
  <c r="H383" i="1"/>
  <c r="G383" i="1"/>
  <c r="F383" i="1"/>
  <c r="E383" i="1"/>
  <c r="D383" i="1"/>
  <c r="C383" i="1"/>
  <c r="V382" i="1"/>
  <c r="R382" i="1"/>
  <c r="Q382" i="1"/>
  <c r="P382" i="1"/>
  <c r="O382" i="1"/>
  <c r="N382" i="1"/>
  <c r="K382" i="1"/>
  <c r="J382" i="1"/>
  <c r="I382" i="1"/>
  <c r="H382" i="1"/>
  <c r="G382" i="1"/>
  <c r="F382" i="1"/>
  <c r="E382" i="1"/>
  <c r="D382" i="1"/>
  <c r="C382" i="1"/>
  <c r="V381" i="1"/>
  <c r="R381" i="1"/>
  <c r="Q381" i="1"/>
  <c r="P381" i="1"/>
  <c r="O381" i="1"/>
  <c r="N381" i="1"/>
  <c r="K381" i="1"/>
  <c r="J381" i="1"/>
  <c r="I381" i="1"/>
  <c r="H381" i="1"/>
  <c r="G381" i="1"/>
  <c r="F381" i="1"/>
  <c r="E381" i="1"/>
  <c r="D381" i="1"/>
  <c r="C381" i="1"/>
  <c r="V380" i="1"/>
  <c r="R380" i="1"/>
  <c r="Q380" i="1"/>
  <c r="P380" i="1"/>
  <c r="O380" i="1"/>
  <c r="N380" i="1"/>
  <c r="K380" i="1"/>
  <c r="J380" i="1"/>
  <c r="I380" i="1"/>
  <c r="H380" i="1"/>
  <c r="G380" i="1"/>
  <c r="F380" i="1"/>
  <c r="E380" i="1"/>
  <c r="D380" i="1"/>
  <c r="C380" i="1"/>
  <c r="V379" i="1"/>
  <c r="R379" i="1"/>
  <c r="Q379" i="1"/>
  <c r="P379" i="1"/>
  <c r="O379" i="1"/>
  <c r="N379" i="1"/>
  <c r="K379" i="1"/>
  <c r="J379" i="1"/>
  <c r="I379" i="1"/>
  <c r="H379" i="1"/>
  <c r="G379" i="1"/>
  <c r="F379" i="1"/>
  <c r="E379" i="1"/>
  <c r="D379" i="1"/>
  <c r="C379" i="1"/>
  <c r="V378" i="1"/>
  <c r="R378" i="1"/>
  <c r="Q378" i="1"/>
  <c r="P378" i="1"/>
  <c r="O378" i="1"/>
  <c r="N378" i="1"/>
  <c r="K378" i="1"/>
  <c r="J378" i="1"/>
  <c r="I378" i="1"/>
  <c r="H378" i="1"/>
  <c r="G378" i="1"/>
  <c r="F378" i="1"/>
  <c r="E378" i="1"/>
  <c r="D378" i="1"/>
  <c r="C378" i="1"/>
  <c r="V377" i="1"/>
  <c r="R377" i="1"/>
  <c r="Q377" i="1"/>
  <c r="P377" i="1"/>
  <c r="O377" i="1"/>
  <c r="N377" i="1"/>
  <c r="K377" i="1"/>
  <c r="J377" i="1"/>
  <c r="I377" i="1"/>
  <c r="H377" i="1"/>
  <c r="G377" i="1"/>
  <c r="F377" i="1"/>
  <c r="E377" i="1"/>
  <c r="D377" i="1"/>
  <c r="C377" i="1"/>
  <c r="V376" i="1"/>
  <c r="R376" i="1"/>
  <c r="Q376" i="1"/>
  <c r="P376" i="1"/>
  <c r="O376" i="1"/>
  <c r="N376" i="1"/>
  <c r="K376" i="1"/>
  <c r="J376" i="1"/>
  <c r="I376" i="1"/>
  <c r="H376" i="1"/>
  <c r="G376" i="1"/>
  <c r="F376" i="1"/>
  <c r="E376" i="1"/>
  <c r="D376" i="1"/>
  <c r="C376" i="1"/>
  <c r="V375" i="1"/>
  <c r="R375" i="1"/>
  <c r="Q375" i="1"/>
  <c r="P375" i="1"/>
  <c r="O375" i="1"/>
  <c r="N375" i="1"/>
  <c r="K375" i="1"/>
  <c r="J375" i="1"/>
  <c r="I375" i="1"/>
  <c r="H375" i="1"/>
  <c r="G375" i="1"/>
  <c r="F375" i="1"/>
  <c r="E375" i="1"/>
  <c r="D375" i="1"/>
  <c r="C375" i="1"/>
  <c r="V374" i="1"/>
  <c r="R374" i="1"/>
  <c r="Q374" i="1"/>
  <c r="P374" i="1"/>
  <c r="O374" i="1"/>
  <c r="N374" i="1"/>
  <c r="K374" i="1"/>
  <c r="J374" i="1"/>
  <c r="I374" i="1"/>
  <c r="H374" i="1"/>
  <c r="G374" i="1"/>
  <c r="F374" i="1"/>
  <c r="E374" i="1"/>
  <c r="D374" i="1"/>
  <c r="C374" i="1"/>
  <c r="V373" i="1"/>
  <c r="R373" i="1"/>
  <c r="Q373" i="1"/>
  <c r="P373" i="1"/>
  <c r="O373" i="1"/>
  <c r="N373" i="1"/>
  <c r="K373" i="1"/>
  <c r="J373" i="1"/>
  <c r="I373" i="1"/>
  <c r="H373" i="1"/>
  <c r="G373" i="1"/>
  <c r="F373" i="1"/>
  <c r="E373" i="1"/>
  <c r="D373" i="1"/>
  <c r="C373" i="1"/>
  <c r="V372" i="1"/>
  <c r="R372" i="1"/>
  <c r="Q372" i="1"/>
  <c r="P372" i="1"/>
  <c r="O372" i="1"/>
  <c r="N372" i="1"/>
  <c r="K372" i="1"/>
  <c r="J372" i="1"/>
  <c r="I372" i="1"/>
  <c r="H372" i="1"/>
  <c r="G372" i="1"/>
  <c r="F372" i="1"/>
  <c r="E372" i="1"/>
  <c r="D372" i="1"/>
  <c r="C372" i="1"/>
  <c r="V371" i="1"/>
  <c r="R371" i="1"/>
  <c r="Q371" i="1"/>
  <c r="P371" i="1"/>
  <c r="O371" i="1"/>
  <c r="N371" i="1"/>
  <c r="K371" i="1"/>
  <c r="J371" i="1"/>
  <c r="I371" i="1"/>
  <c r="H371" i="1"/>
  <c r="G371" i="1"/>
  <c r="F371" i="1"/>
  <c r="E371" i="1"/>
  <c r="D371" i="1"/>
  <c r="C371" i="1"/>
  <c r="V370" i="1"/>
  <c r="R370" i="1"/>
  <c r="Q370" i="1"/>
  <c r="P370" i="1"/>
  <c r="O370" i="1"/>
  <c r="N370" i="1"/>
  <c r="K370" i="1"/>
  <c r="J370" i="1"/>
  <c r="I370" i="1"/>
  <c r="H370" i="1"/>
  <c r="G370" i="1"/>
  <c r="F370" i="1"/>
  <c r="E370" i="1"/>
  <c r="D370" i="1"/>
  <c r="C370" i="1"/>
  <c r="V369" i="1"/>
  <c r="R369" i="1"/>
  <c r="Q369" i="1"/>
  <c r="P369" i="1"/>
  <c r="O369" i="1"/>
  <c r="N369" i="1"/>
  <c r="K369" i="1"/>
  <c r="J369" i="1"/>
  <c r="I369" i="1"/>
  <c r="H369" i="1"/>
  <c r="G369" i="1"/>
  <c r="F369" i="1"/>
  <c r="E369" i="1"/>
  <c r="D369" i="1"/>
  <c r="C369" i="1"/>
  <c r="V368" i="1"/>
  <c r="R368" i="1"/>
  <c r="Q368" i="1"/>
  <c r="P368" i="1"/>
  <c r="O368" i="1"/>
  <c r="N368" i="1"/>
  <c r="K368" i="1"/>
  <c r="J368" i="1"/>
  <c r="I368" i="1"/>
  <c r="H368" i="1"/>
  <c r="G368" i="1"/>
  <c r="F368" i="1"/>
  <c r="E368" i="1"/>
  <c r="D368" i="1"/>
  <c r="C368" i="1"/>
  <c r="V367" i="1"/>
  <c r="R367" i="1"/>
  <c r="Q367" i="1"/>
  <c r="P367" i="1"/>
  <c r="O367" i="1"/>
  <c r="N367" i="1"/>
  <c r="K367" i="1"/>
  <c r="J367" i="1"/>
  <c r="I367" i="1"/>
  <c r="H367" i="1"/>
  <c r="G367" i="1"/>
  <c r="F367" i="1"/>
  <c r="E367" i="1"/>
  <c r="D367" i="1"/>
  <c r="C367" i="1"/>
  <c r="V366" i="1"/>
  <c r="R366" i="1"/>
  <c r="Q366" i="1"/>
  <c r="P366" i="1"/>
  <c r="O366" i="1"/>
  <c r="N366" i="1"/>
  <c r="K366" i="1"/>
  <c r="J366" i="1"/>
  <c r="I366" i="1"/>
  <c r="H366" i="1"/>
  <c r="G366" i="1"/>
  <c r="F366" i="1"/>
  <c r="E366" i="1"/>
  <c r="D366" i="1"/>
  <c r="C366" i="1"/>
  <c r="V365" i="1"/>
  <c r="R365" i="1"/>
  <c r="Q365" i="1"/>
  <c r="P365" i="1"/>
  <c r="O365" i="1"/>
  <c r="N365" i="1"/>
  <c r="K365" i="1"/>
  <c r="J365" i="1"/>
  <c r="I365" i="1"/>
  <c r="H365" i="1"/>
  <c r="G365" i="1"/>
  <c r="F365" i="1"/>
  <c r="E365" i="1"/>
  <c r="D365" i="1"/>
  <c r="C365" i="1"/>
  <c r="V364" i="1"/>
  <c r="R364" i="1"/>
  <c r="Q364" i="1"/>
  <c r="P364" i="1"/>
  <c r="O364" i="1"/>
  <c r="N364" i="1"/>
  <c r="K364" i="1"/>
  <c r="J364" i="1"/>
  <c r="I364" i="1"/>
  <c r="H364" i="1"/>
  <c r="G364" i="1"/>
  <c r="F364" i="1"/>
  <c r="E364" i="1"/>
  <c r="D364" i="1"/>
  <c r="C364" i="1"/>
  <c r="V363" i="1"/>
  <c r="R363" i="1"/>
  <c r="Q363" i="1"/>
  <c r="P363" i="1"/>
  <c r="O363" i="1"/>
  <c r="N363" i="1"/>
  <c r="K363" i="1"/>
  <c r="J363" i="1"/>
  <c r="I363" i="1"/>
  <c r="H363" i="1"/>
  <c r="G363" i="1"/>
  <c r="F363" i="1"/>
  <c r="E363" i="1"/>
  <c r="D363" i="1"/>
  <c r="C363" i="1"/>
  <c r="V362" i="1"/>
  <c r="R362" i="1"/>
  <c r="Q362" i="1"/>
  <c r="P362" i="1"/>
  <c r="O362" i="1"/>
  <c r="N362" i="1"/>
  <c r="K362" i="1"/>
  <c r="J362" i="1"/>
  <c r="I362" i="1"/>
  <c r="H362" i="1"/>
  <c r="G362" i="1"/>
  <c r="F362" i="1"/>
  <c r="E362" i="1"/>
  <c r="D362" i="1"/>
  <c r="C362" i="1"/>
  <c r="V361" i="1"/>
  <c r="R361" i="1"/>
  <c r="Q361" i="1"/>
  <c r="P361" i="1"/>
  <c r="O361" i="1"/>
  <c r="N361" i="1"/>
  <c r="K361" i="1"/>
  <c r="J361" i="1"/>
  <c r="I361" i="1"/>
  <c r="H361" i="1"/>
  <c r="G361" i="1"/>
  <c r="F361" i="1"/>
  <c r="E361" i="1"/>
  <c r="D361" i="1"/>
  <c r="C361" i="1"/>
  <c r="V360" i="1"/>
  <c r="R360" i="1"/>
  <c r="Q360" i="1"/>
  <c r="P360" i="1"/>
  <c r="O360" i="1"/>
  <c r="N360" i="1"/>
  <c r="K360" i="1"/>
  <c r="J360" i="1"/>
  <c r="I360" i="1"/>
  <c r="H360" i="1"/>
  <c r="G360" i="1"/>
  <c r="F360" i="1"/>
  <c r="E360" i="1"/>
  <c r="D360" i="1"/>
  <c r="C360" i="1"/>
  <c r="V359" i="1"/>
  <c r="R359" i="1"/>
  <c r="Q359" i="1"/>
  <c r="P359" i="1"/>
  <c r="O359" i="1"/>
  <c r="N359" i="1"/>
  <c r="K359" i="1"/>
  <c r="J359" i="1"/>
  <c r="I359" i="1"/>
  <c r="H359" i="1"/>
  <c r="G359" i="1"/>
  <c r="F359" i="1"/>
  <c r="E359" i="1"/>
  <c r="D359" i="1"/>
  <c r="C359" i="1"/>
  <c r="V358" i="1"/>
  <c r="R358" i="1"/>
  <c r="Q358" i="1"/>
  <c r="P358" i="1"/>
  <c r="O358" i="1"/>
  <c r="N358" i="1"/>
  <c r="K358" i="1"/>
  <c r="J358" i="1"/>
  <c r="I358" i="1"/>
  <c r="H358" i="1"/>
  <c r="G358" i="1"/>
  <c r="F358" i="1"/>
  <c r="E358" i="1"/>
  <c r="D358" i="1"/>
  <c r="C358" i="1"/>
  <c r="V357" i="1"/>
  <c r="R357" i="1"/>
  <c r="Q357" i="1"/>
  <c r="P357" i="1"/>
  <c r="O357" i="1"/>
  <c r="N357" i="1"/>
  <c r="K357" i="1"/>
  <c r="J357" i="1"/>
  <c r="I357" i="1"/>
  <c r="H357" i="1"/>
  <c r="G357" i="1"/>
  <c r="F357" i="1"/>
  <c r="E357" i="1"/>
  <c r="D357" i="1"/>
  <c r="C357" i="1"/>
  <c r="V356" i="1"/>
  <c r="R356" i="1"/>
  <c r="Q356" i="1"/>
  <c r="P356" i="1"/>
  <c r="O356" i="1"/>
  <c r="N356" i="1"/>
  <c r="K356" i="1"/>
  <c r="J356" i="1"/>
  <c r="I356" i="1"/>
  <c r="H356" i="1"/>
  <c r="G356" i="1"/>
  <c r="F356" i="1"/>
  <c r="E356" i="1"/>
  <c r="D356" i="1"/>
  <c r="C356" i="1"/>
  <c r="V355" i="1"/>
  <c r="R355" i="1"/>
  <c r="Q355" i="1"/>
  <c r="P355" i="1"/>
  <c r="O355" i="1"/>
  <c r="N355" i="1"/>
  <c r="K355" i="1"/>
  <c r="J355" i="1"/>
  <c r="I355" i="1"/>
  <c r="H355" i="1"/>
  <c r="G355" i="1"/>
  <c r="F355" i="1"/>
  <c r="E355" i="1"/>
  <c r="D355" i="1"/>
  <c r="C355" i="1"/>
  <c r="V354" i="1"/>
  <c r="R354" i="1"/>
  <c r="Q354" i="1"/>
  <c r="P354" i="1"/>
  <c r="O354" i="1"/>
  <c r="N354" i="1"/>
  <c r="K354" i="1"/>
  <c r="J354" i="1"/>
  <c r="I354" i="1"/>
  <c r="H354" i="1"/>
  <c r="G354" i="1"/>
  <c r="F354" i="1"/>
  <c r="E354" i="1"/>
  <c r="D354" i="1"/>
  <c r="C354" i="1"/>
  <c r="V353" i="1"/>
  <c r="R353" i="1"/>
  <c r="Q353" i="1"/>
  <c r="P353" i="1"/>
  <c r="O353" i="1"/>
  <c r="N353" i="1"/>
  <c r="K353" i="1"/>
  <c r="J353" i="1"/>
  <c r="I353" i="1"/>
  <c r="H353" i="1"/>
  <c r="G353" i="1"/>
  <c r="F353" i="1"/>
  <c r="E353" i="1"/>
  <c r="D353" i="1"/>
  <c r="C353" i="1"/>
  <c r="V352" i="1"/>
  <c r="R352" i="1"/>
  <c r="Q352" i="1"/>
  <c r="P352" i="1"/>
  <c r="O352" i="1"/>
  <c r="N352" i="1"/>
  <c r="K352" i="1"/>
  <c r="J352" i="1"/>
  <c r="I352" i="1"/>
  <c r="H352" i="1"/>
  <c r="G352" i="1"/>
  <c r="F352" i="1"/>
  <c r="E352" i="1"/>
  <c r="D352" i="1"/>
  <c r="C352" i="1"/>
  <c r="V351" i="1"/>
  <c r="R351" i="1"/>
  <c r="Q351" i="1"/>
  <c r="P351" i="1"/>
  <c r="O351" i="1"/>
  <c r="N351" i="1"/>
  <c r="K351" i="1"/>
  <c r="J351" i="1"/>
  <c r="I351" i="1"/>
  <c r="H351" i="1"/>
  <c r="G351" i="1"/>
  <c r="F351" i="1"/>
  <c r="E351" i="1"/>
  <c r="D351" i="1"/>
  <c r="C351" i="1"/>
  <c r="V350" i="1"/>
  <c r="R350" i="1"/>
  <c r="Q350" i="1"/>
  <c r="P350" i="1"/>
  <c r="O350" i="1"/>
  <c r="N350" i="1"/>
  <c r="K350" i="1"/>
  <c r="J350" i="1"/>
  <c r="I350" i="1"/>
  <c r="H350" i="1"/>
  <c r="G350" i="1"/>
  <c r="F350" i="1"/>
  <c r="E350" i="1"/>
  <c r="D350" i="1"/>
  <c r="C350" i="1"/>
  <c r="V349" i="1"/>
  <c r="R349" i="1"/>
  <c r="Q349" i="1"/>
  <c r="P349" i="1"/>
  <c r="O349" i="1"/>
  <c r="N349" i="1"/>
  <c r="K349" i="1"/>
  <c r="J349" i="1"/>
  <c r="I349" i="1"/>
  <c r="H349" i="1"/>
  <c r="G349" i="1"/>
  <c r="F349" i="1"/>
  <c r="E349" i="1"/>
  <c r="D349" i="1"/>
  <c r="C349" i="1"/>
  <c r="V348" i="1"/>
  <c r="R348" i="1"/>
  <c r="Q348" i="1"/>
  <c r="P348" i="1"/>
  <c r="O348" i="1"/>
  <c r="N348" i="1"/>
  <c r="K348" i="1"/>
  <c r="J348" i="1"/>
  <c r="I348" i="1"/>
  <c r="H348" i="1"/>
  <c r="G348" i="1"/>
  <c r="F348" i="1"/>
  <c r="E348" i="1"/>
  <c r="D348" i="1"/>
  <c r="C348" i="1"/>
  <c r="V347" i="1"/>
  <c r="R347" i="1"/>
  <c r="Q347" i="1"/>
  <c r="P347" i="1"/>
  <c r="O347" i="1"/>
  <c r="N347" i="1"/>
  <c r="K347" i="1"/>
  <c r="J347" i="1"/>
  <c r="I347" i="1"/>
  <c r="H347" i="1"/>
  <c r="G347" i="1"/>
  <c r="F347" i="1"/>
  <c r="E347" i="1"/>
  <c r="D347" i="1"/>
  <c r="C347" i="1"/>
  <c r="V346" i="1"/>
  <c r="R346" i="1"/>
  <c r="Q346" i="1"/>
  <c r="P346" i="1"/>
  <c r="O346" i="1"/>
  <c r="N346" i="1"/>
  <c r="K346" i="1"/>
  <c r="J346" i="1"/>
  <c r="I346" i="1"/>
  <c r="H346" i="1"/>
  <c r="G346" i="1"/>
  <c r="F346" i="1"/>
  <c r="E346" i="1"/>
  <c r="D346" i="1"/>
  <c r="C346" i="1"/>
  <c r="V345" i="1"/>
  <c r="R345" i="1"/>
  <c r="Q345" i="1"/>
  <c r="P345" i="1"/>
  <c r="O345" i="1"/>
  <c r="N345" i="1"/>
  <c r="K345" i="1"/>
  <c r="J345" i="1"/>
  <c r="I345" i="1"/>
  <c r="H345" i="1"/>
  <c r="G345" i="1"/>
  <c r="F345" i="1"/>
  <c r="E345" i="1"/>
  <c r="D345" i="1"/>
  <c r="C345" i="1"/>
  <c r="V344" i="1"/>
  <c r="R344" i="1"/>
  <c r="Q344" i="1"/>
  <c r="P344" i="1"/>
  <c r="O344" i="1"/>
  <c r="N344" i="1"/>
  <c r="K344" i="1"/>
  <c r="J344" i="1"/>
  <c r="I344" i="1"/>
  <c r="H344" i="1"/>
  <c r="G344" i="1"/>
  <c r="F344" i="1"/>
  <c r="E344" i="1"/>
  <c r="D344" i="1"/>
  <c r="C344" i="1"/>
  <c r="V343" i="1"/>
  <c r="R343" i="1"/>
  <c r="Q343" i="1"/>
  <c r="P343" i="1"/>
  <c r="O343" i="1"/>
  <c r="N343" i="1"/>
  <c r="K343" i="1"/>
  <c r="J343" i="1"/>
  <c r="I343" i="1"/>
  <c r="H343" i="1"/>
  <c r="G343" i="1"/>
  <c r="F343" i="1"/>
  <c r="E343" i="1"/>
  <c r="D343" i="1"/>
  <c r="C343" i="1"/>
  <c r="V342" i="1"/>
  <c r="R342" i="1"/>
  <c r="Q342" i="1"/>
  <c r="P342" i="1"/>
  <c r="O342" i="1"/>
  <c r="N342" i="1"/>
  <c r="K342" i="1"/>
  <c r="J342" i="1"/>
  <c r="I342" i="1"/>
  <c r="H342" i="1"/>
  <c r="G342" i="1"/>
  <c r="F342" i="1"/>
  <c r="E342" i="1"/>
  <c r="D342" i="1"/>
  <c r="C342" i="1"/>
  <c r="V341" i="1"/>
  <c r="R341" i="1"/>
  <c r="Q341" i="1"/>
  <c r="P341" i="1"/>
  <c r="O341" i="1"/>
  <c r="N341" i="1"/>
  <c r="K341" i="1"/>
  <c r="J341" i="1"/>
  <c r="I341" i="1"/>
  <c r="H341" i="1"/>
  <c r="G341" i="1"/>
  <c r="F341" i="1"/>
  <c r="E341" i="1"/>
  <c r="D341" i="1"/>
  <c r="C341" i="1"/>
  <c r="V340" i="1"/>
  <c r="R340" i="1"/>
  <c r="Q340" i="1"/>
  <c r="P340" i="1"/>
  <c r="O340" i="1"/>
  <c r="N340" i="1"/>
  <c r="K340" i="1"/>
  <c r="J340" i="1"/>
  <c r="I340" i="1"/>
  <c r="H340" i="1"/>
  <c r="G340" i="1"/>
  <c r="F340" i="1"/>
  <c r="E340" i="1"/>
  <c r="D340" i="1"/>
  <c r="C340" i="1"/>
  <c r="V339" i="1"/>
  <c r="R339" i="1"/>
  <c r="Q339" i="1"/>
  <c r="P339" i="1"/>
  <c r="O339" i="1"/>
  <c r="N339" i="1"/>
  <c r="K339" i="1"/>
  <c r="J339" i="1"/>
  <c r="I339" i="1"/>
  <c r="H339" i="1"/>
  <c r="G339" i="1"/>
  <c r="F339" i="1"/>
  <c r="E339" i="1"/>
  <c r="D339" i="1"/>
  <c r="C339" i="1"/>
  <c r="V338" i="1"/>
  <c r="R338" i="1"/>
  <c r="Q338" i="1"/>
  <c r="P338" i="1"/>
  <c r="O338" i="1"/>
  <c r="N338" i="1"/>
  <c r="K338" i="1"/>
  <c r="J338" i="1"/>
  <c r="I338" i="1"/>
  <c r="H338" i="1"/>
  <c r="G338" i="1"/>
  <c r="F338" i="1"/>
  <c r="E338" i="1"/>
  <c r="D338" i="1"/>
  <c r="C338" i="1"/>
  <c r="V337" i="1"/>
  <c r="R337" i="1"/>
  <c r="Q337" i="1"/>
  <c r="P337" i="1"/>
  <c r="O337" i="1"/>
  <c r="N337" i="1"/>
  <c r="K337" i="1"/>
  <c r="J337" i="1"/>
  <c r="I337" i="1"/>
  <c r="H337" i="1"/>
  <c r="G337" i="1"/>
  <c r="F337" i="1"/>
  <c r="E337" i="1"/>
  <c r="D337" i="1"/>
  <c r="C337" i="1"/>
  <c r="V336" i="1"/>
  <c r="R336" i="1"/>
  <c r="Q336" i="1"/>
  <c r="P336" i="1"/>
  <c r="O336" i="1"/>
  <c r="N336" i="1"/>
  <c r="K336" i="1"/>
  <c r="J336" i="1"/>
  <c r="I336" i="1"/>
  <c r="H336" i="1"/>
  <c r="G336" i="1"/>
  <c r="F336" i="1"/>
  <c r="E336" i="1"/>
  <c r="D336" i="1"/>
  <c r="C336" i="1"/>
  <c r="V335" i="1"/>
  <c r="R335" i="1"/>
  <c r="Q335" i="1"/>
  <c r="P335" i="1"/>
  <c r="O335" i="1"/>
  <c r="N335" i="1"/>
  <c r="K335" i="1"/>
  <c r="J335" i="1"/>
  <c r="I335" i="1"/>
  <c r="H335" i="1"/>
  <c r="G335" i="1"/>
  <c r="F335" i="1"/>
  <c r="E335" i="1"/>
  <c r="D335" i="1"/>
  <c r="C335" i="1"/>
  <c r="V334" i="1"/>
  <c r="R334" i="1"/>
  <c r="Q334" i="1"/>
  <c r="P334" i="1"/>
  <c r="O334" i="1"/>
  <c r="N334" i="1"/>
  <c r="K334" i="1"/>
  <c r="J334" i="1"/>
  <c r="I334" i="1"/>
  <c r="H334" i="1"/>
  <c r="G334" i="1"/>
  <c r="F334" i="1"/>
  <c r="E334" i="1"/>
  <c r="D334" i="1"/>
  <c r="C334" i="1"/>
  <c r="V333" i="1"/>
  <c r="R333" i="1"/>
  <c r="Q333" i="1"/>
  <c r="P333" i="1"/>
  <c r="O333" i="1"/>
  <c r="N333" i="1"/>
  <c r="K333" i="1"/>
  <c r="J333" i="1"/>
  <c r="I333" i="1"/>
  <c r="H333" i="1"/>
  <c r="G333" i="1"/>
  <c r="F333" i="1"/>
  <c r="E333" i="1"/>
  <c r="D333" i="1"/>
  <c r="C333" i="1"/>
  <c r="V332" i="1"/>
  <c r="R332" i="1"/>
  <c r="Q332" i="1"/>
  <c r="P332" i="1"/>
  <c r="O332" i="1"/>
  <c r="N332" i="1"/>
  <c r="K332" i="1"/>
  <c r="J332" i="1"/>
  <c r="I332" i="1"/>
  <c r="H332" i="1"/>
  <c r="G332" i="1"/>
  <c r="F332" i="1"/>
  <c r="E332" i="1"/>
  <c r="D332" i="1"/>
  <c r="C332" i="1"/>
  <c r="V331" i="1"/>
  <c r="R331" i="1"/>
  <c r="Q331" i="1"/>
  <c r="P331" i="1"/>
  <c r="O331" i="1"/>
  <c r="N331" i="1"/>
  <c r="K331" i="1"/>
  <c r="J331" i="1"/>
  <c r="I331" i="1"/>
  <c r="H331" i="1"/>
  <c r="G331" i="1"/>
  <c r="F331" i="1"/>
  <c r="E331" i="1"/>
  <c r="D331" i="1"/>
  <c r="C331" i="1"/>
  <c r="V330" i="1"/>
  <c r="R330" i="1"/>
  <c r="Q330" i="1"/>
  <c r="P330" i="1"/>
  <c r="O330" i="1"/>
  <c r="N330" i="1"/>
  <c r="K330" i="1"/>
  <c r="J330" i="1"/>
  <c r="I330" i="1"/>
  <c r="H330" i="1"/>
  <c r="G330" i="1"/>
  <c r="F330" i="1"/>
  <c r="E330" i="1"/>
  <c r="D330" i="1"/>
  <c r="C330" i="1"/>
  <c r="V329" i="1"/>
  <c r="R329" i="1"/>
  <c r="Q329" i="1"/>
  <c r="P329" i="1"/>
  <c r="O329" i="1"/>
  <c r="N329" i="1"/>
  <c r="K329" i="1"/>
  <c r="J329" i="1"/>
  <c r="I329" i="1"/>
  <c r="H329" i="1"/>
  <c r="G329" i="1"/>
  <c r="F329" i="1"/>
  <c r="E329" i="1"/>
  <c r="D329" i="1"/>
  <c r="C329" i="1"/>
  <c r="V328" i="1"/>
  <c r="R328" i="1"/>
  <c r="Q328" i="1"/>
  <c r="P328" i="1"/>
  <c r="O328" i="1"/>
  <c r="N328" i="1"/>
  <c r="K328" i="1"/>
  <c r="J328" i="1"/>
  <c r="I328" i="1"/>
  <c r="H328" i="1"/>
  <c r="G328" i="1"/>
  <c r="F328" i="1"/>
  <c r="E328" i="1"/>
  <c r="D328" i="1"/>
  <c r="C328" i="1"/>
  <c r="V327" i="1"/>
  <c r="R327" i="1"/>
  <c r="Q327" i="1"/>
  <c r="P327" i="1"/>
  <c r="O327" i="1"/>
  <c r="N327" i="1"/>
  <c r="K327" i="1"/>
  <c r="J327" i="1"/>
  <c r="I327" i="1"/>
  <c r="H327" i="1"/>
  <c r="G327" i="1"/>
  <c r="F327" i="1"/>
  <c r="E327" i="1"/>
  <c r="D327" i="1"/>
  <c r="C327" i="1"/>
  <c r="V326" i="1"/>
  <c r="R326" i="1"/>
  <c r="Q326" i="1"/>
  <c r="P326" i="1"/>
  <c r="O326" i="1"/>
  <c r="N326" i="1"/>
  <c r="K326" i="1"/>
  <c r="J326" i="1"/>
  <c r="I326" i="1"/>
  <c r="H326" i="1"/>
  <c r="G326" i="1"/>
  <c r="F326" i="1"/>
  <c r="E326" i="1"/>
  <c r="D326" i="1"/>
  <c r="C326" i="1"/>
  <c r="V325" i="1"/>
  <c r="R325" i="1"/>
  <c r="Q325" i="1"/>
  <c r="P325" i="1"/>
  <c r="O325" i="1"/>
  <c r="N325" i="1"/>
  <c r="K325" i="1"/>
  <c r="J325" i="1"/>
  <c r="I325" i="1"/>
  <c r="H325" i="1"/>
  <c r="G325" i="1"/>
  <c r="F325" i="1"/>
  <c r="E325" i="1"/>
  <c r="D325" i="1"/>
  <c r="C325" i="1"/>
  <c r="V324" i="1"/>
  <c r="R324" i="1"/>
  <c r="Q324" i="1"/>
  <c r="P324" i="1"/>
  <c r="O324" i="1"/>
  <c r="N324" i="1"/>
  <c r="K324" i="1"/>
  <c r="J324" i="1"/>
  <c r="I324" i="1"/>
  <c r="H324" i="1"/>
  <c r="G324" i="1"/>
  <c r="F324" i="1"/>
  <c r="E324" i="1"/>
  <c r="D324" i="1"/>
  <c r="C324" i="1"/>
  <c r="V323" i="1"/>
  <c r="R323" i="1"/>
  <c r="Q323" i="1"/>
  <c r="P323" i="1"/>
  <c r="O323" i="1"/>
  <c r="N323" i="1"/>
  <c r="K323" i="1"/>
  <c r="J323" i="1"/>
  <c r="I323" i="1"/>
  <c r="H323" i="1"/>
  <c r="G323" i="1"/>
  <c r="F323" i="1"/>
  <c r="E323" i="1"/>
  <c r="D323" i="1"/>
  <c r="C323" i="1"/>
  <c r="V322" i="1"/>
  <c r="R322" i="1"/>
  <c r="Q322" i="1"/>
  <c r="P322" i="1"/>
  <c r="O322" i="1"/>
  <c r="N322" i="1"/>
  <c r="K322" i="1"/>
  <c r="J322" i="1"/>
  <c r="I322" i="1"/>
  <c r="H322" i="1"/>
  <c r="G322" i="1"/>
  <c r="F322" i="1"/>
  <c r="E322" i="1"/>
  <c r="D322" i="1"/>
  <c r="C322" i="1"/>
  <c r="V321" i="1"/>
  <c r="R321" i="1"/>
  <c r="Q321" i="1"/>
  <c r="P321" i="1"/>
  <c r="O321" i="1"/>
  <c r="N321" i="1"/>
  <c r="K321" i="1"/>
  <c r="J321" i="1"/>
  <c r="I321" i="1"/>
  <c r="H321" i="1"/>
  <c r="G321" i="1"/>
  <c r="F321" i="1"/>
  <c r="E321" i="1"/>
  <c r="D321" i="1"/>
  <c r="C321" i="1"/>
  <c r="V320" i="1"/>
  <c r="R320" i="1"/>
  <c r="Q320" i="1"/>
  <c r="P320" i="1"/>
  <c r="O320" i="1"/>
  <c r="N320" i="1"/>
  <c r="K320" i="1"/>
  <c r="J320" i="1"/>
  <c r="I320" i="1"/>
  <c r="H320" i="1"/>
  <c r="G320" i="1"/>
  <c r="F320" i="1"/>
  <c r="E320" i="1"/>
  <c r="D320" i="1"/>
  <c r="C320" i="1"/>
  <c r="V319" i="1"/>
  <c r="R319" i="1"/>
  <c r="Q319" i="1"/>
  <c r="P319" i="1"/>
  <c r="O319" i="1"/>
  <c r="N319" i="1"/>
  <c r="K319" i="1"/>
  <c r="J319" i="1"/>
  <c r="I319" i="1"/>
  <c r="H319" i="1"/>
  <c r="G319" i="1"/>
  <c r="F319" i="1"/>
  <c r="E319" i="1"/>
  <c r="D319" i="1"/>
  <c r="C319" i="1"/>
  <c r="V318" i="1"/>
  <c r="R318" i="1"/>
  <c r="Q318" i="1"/>
  <c r="P318" i="1"/>
  <c r="O318" i="1"/>
  <c r="N318" i="1"/>
  <c r="K318" i="1"/>
  <c r="J318" i="1"/>
  <c r="I318" i="1"/>
  <c r="H318" i="1"/>
  <c r="G318" i="1"/>
  <c r="F318" i="1"/>
  <c r="E318" i="1"/>
  <c r="D318" i="1"/>
  <c r="C318" i="1"/>
  <c r="V317" i="1"/>
  <c r="R317" i="1"/>
  <c r="Q317" i="1"/>
  <c r="P317" i="1"/>
  <c r="O317" i="1"/>
  <c r="N317" i="1"/>
  <c r="K317" i="1"/>
  <c r="J317" i="1"/>
  <c r="I317" i="1"/>
  <c r="H317" i="1"/>
  <c r="G317" i="1"/>
  <c r="F317" i="1"/>
  <c r="E317" i="1"/>
  <c r="D317" i="1"/>
  <c r="C317" i="1"/>
  <c r="V316" i="1"/>
  <c r="R316" i="1"/>
  <c r="Q316" i="1"/>
  <c r="P316" i="1"/>
  <c r="O316" i="1"/>
  <c r="N316" i="1"/>
  <c r="K316" i="1"/>
  <c r="J316" i="1"/>
  <c r="I316" i="1"/>
  <c r="H316" i="1"/>
  <c r="G316" i="1"/>
  <c r="F316" i="1"/>
  <c r="E316" i="1"/>
  <c r="D316" i="1"/>
  <c r="C316" i="1"/>
  <c r="V315" i="1"/>
  <c r="R315" i="1"/>
  <c r="Q315" i="1"/>
  <c r="P315" i="1"/>
  <c r="O315" i="1"/>
  <c r="N315" i="1"/>
  <c r="K315" i="1"/>
  <c r="J315" i="1"/>
  <c r="I315" i="1"/>
  <c r="H315" i="1"/>
  <c r="G315" i="1"/>
  <c r="F315" i="1"/>
  <c r="E315" i="1"/>
  <c r="D315" i="1"/>
  <c r="C315" i="1"/>
  <c r="V314" i="1"/>
  <c r="R314" i="1"/>
  <c r="Q314" i="1"/>
  <c r="P314" i="1"/>
  <c r="O314" i="1"/>
  <c r="N314" i="1"/>
  <c r="K314" i="1"/>
  <c r="J314" i="1"/>
  <c r="I314" i="1"/>
  <c r="H314" i="1"/>
  <c r="G314" i="1"/>
  <c r="F314" i="1"/>
  <c r="E314" i="1"/>
  <c r="D314" i="1"/>
  <c r="C314" i="1"/>
  <c r="V313" i="1"/>
  <c r="R313" i="1"/>
  <c r="Q313" i="1"/>
  <c r="P313" i="1"/>
  <c r="O313" i="1"/>
  <c r="N313" i="1"/>
  <c r="K313" i="1"/>
  <c r="J313" i="1"/>
  <c r="I313" i="1"/>
  <c r="H313" i="1"/>
  <c r="G313" i="1"/>
  <c r="F313" i="1"/>
  <c r="E313" i="1"/>
  <c r="D313" i="1"/>
  <c r="C313" i="1"/>
  <c r="V312" i="1"/>
  <c r="R312" i="1"/>
  <c r="Q312" i="1"/>
  <c r="P312" i="1"/>
  <c r="O312" i="1"/>
  <c r="N312" i="1"/>
  <c r="K312" i="1"/>
  <c r="J312" i="1"/>
  <c r="I312" i="1"/>
  <c r="H312" i="1"/>
  <c r="G312" i="1"/>
  <c r="F312" i="1"/>
  <c r="E312" i="1"/>
  <c r="D312" i="1"/>
  <c r="C312" i="1"/>
  <c r="V311" i="1"/>
  <c r="R311" i="1"/>
  <c r="Q311" i="1"/>
  <c r="P311" i="1"/>
  <c r="O311" i="1"/>
  <c r="N311" i="1"/>
  <c r="K311" i="1"/>
  <c r="J311" i="1"/>
  <c r="I311" i="1"/>
  <c r="H311" i="1"/>
  <c r="G311" i="1"/>
  <c r="F311" i="1"/>
  <c r="E311" i="1"/>
  <c r="D311" i="1"/>
  <c r="C311" i="1"/>
  <c r="V310" i="1"/>
  <c r="R310" i="1"/>
  <c r="Q310" i="1"/>
  <c r="P310" i="1"/>
  <c r="O310" i="1"/>
  <c r="N310" i="1"/>
  <c r="K310" i="1"/>
  <c r="J310" i="1"/>
  <c r="I310" i="1"/>
  <c r="H310" i="1"/>
  <c r="G310" i="1"/>
  <c r="F310" i="1"/>
  <c r="E310" i="1"/>
  <c r="D310" i="1"/>
  <c r="C310" i="1"/>
  <c r="V309" i="1"/>
  <c r="R309" i="1"/>
  <c r="Q309" i="1"/>
  <c r="P309" i="1"/>
  <c r="O309" i="1"/>
  <c r="N309" i="1"/>
  <c r="K309" i="1"/>
  <c r="J309" i="1"/>
  <c r="I309" i="1"/>
  <c r="H309" i="1"/>
  <c r="G309" i="1"/>
  <c r="F309" i="1"/>
  <c r="E309" i="1"/>
  <c r="D309" i="1"/>
  <c r="C309" i="1"/>
  <c r="V308" i="1"/>
  <c r="R308" i="1"/>
  <c r="Q308" i="1"/>
  <c r="P308" i="1"/>
  <c r="O308" i="1"/>
  <c r="N308" i="1"/>
  <c r="K308" i="1"/>
  <c r="J308" i="1"/>
  <c r="I308" i="1"/>
  <c r="H308" i="1"/>
  <c r="G308" i="1"/>
  <c r="F308" i="1"/>
  <c r="E308" i="1"/>
  <c r="D308" i="1"/>
  <c r="C308" i="1"/>
  <c r="V307" i="1"/>
  <c r="R307" i="1"/>
  <c r="Q307" i="1"/>
  <c r="P307" i="1"/>
  <c r="O307" i="1"/>
  <c r="N307" i="1"/>
  <c r="K307" i="1"/>
  <c r="J307" i="1"/>
  <c r="I307" i="1"/>
  <c r="H307" i="1"/>
  <c r="G307" i="1"/>
  <c r="F307" i="1"/>
  <c r="E307" i="1"/>
  <c r="D307" i="1"/>
  <c r="C307" i="1"/>
  <c r="V306" i="1"/>
  <c r="R306" i="1"/>
  <c r="Q306" i="1"/>
  <c r="P306" i="1"/>
  <c r="O306" i="1"/>
  <c r="N306" i="1"/>
  <c r="K306" i="1"/>
  <c r="J306" i="1"/>
  <c r="I306" i="1"/>
  <c r="H306" i="1"/>
  <c r="G306" i="1"/>
  <c r="F306" i="1"/>
  <c r="E306" i="1"/>
  <c r="D306" i="1"/>
  <c r="C306" i="1"/>
  <c r="V305" i="1"/>
  <c r="R305" i="1"/>
  <c r="Q305" i="1"/>
  <c r="P305" i="1"/>
  <c r="O305" i="1"/>
  <c r="N305" i="1"/>
  <c r="K305" i="1"/>
  <c r="J305" i="1"/>
  <c r="I305" i="1"/>
  <c r="H305" i="1"/>
  <c r="G305" i="1"/>
  <c r="F305" i="1"/>
  <c r="E305" i="1"/>
  <c r="D305" i="1"/>
  <c r="C305" i="1"/>
  <c r="V304" i="1"/>
  <c r="R304" i="1"/>
  <c r="Q304" i="1"/>
  <c r="P304" i="1"/>
  <c r="O304" i="1"/>
  <c r="N304" i="1"/>
  <c r="K304" i="1"/>
  <c r="J304" i="1"/>
  <c r="I304" i="1"/>
  <c r="H304" i="1"/>
  <c r="G304" i="1"/>
  <c r="F304" i="1"/>
  <c r="E304" i="1"/>
  <c r="D304" i="1"/>
  <c r="C304" i="1"/>
  <c r="V303" i="1"/>
  <c r="R303" i="1"/>
  <c r="Q303" i="1"/>
  <c r="P303" i="1"/>
  <c r="O303" i="1"/>
  <c r="N303" i="1"/>
  <c r="K303" i="1"/>
  <c r="J303" i="1"/>
  <c r="I303" i="1"/>
  <c r="H303" i="1"/>
  <c r="G303" i="1"/>
  <c r="F303" i="1"/>
  <c r="E303" i="1"/>
  <c r="D303" i="1"/>
  <c r="C303" i="1"/>
  <c r="V302" i="1"/>
  <c r="R302" i="1"/>
  <c r="Q302" i="1"/>
  <c r="P302" i="1"/>
  <c r="O302" i="1"/>
  <c r="N302" i="1"/>
  <c r="K302" i="1"/>
  <c r="J302" i="1"/>
  <c r="I302" i="1"/>
  <c r="H302" i="1"/>
  <c r="G302" i="1"/>
  <c r="F302" i="1"/>
  <c r="E302" i="1"/>
  <c r="D302" i="1"/>
  <c r="C302" i="1"/>
  <c r="V301" i="1"/>
  <c r="R301" i="1"/>
  <c r="Q301" i="1"/>
  <c r="P301" i="1"/>
  <c r="O301" i="1"/>
  <c r="N301" i="1"/>
  <c r="K301" i="1"/>
  <c r="J301" i="1"/>
  <c r="I301" i="1"/>
  <c r="H301" i="1"/>
  <c r="G301" i="1"/>
  <c r="F301" i="1"/>
  <c r="E301" i="1"/>
  <c r="D301" i="1"/>
  <c r="C301" i="1"/>
  <c r="V300" i="1"/>
  <c r="R300" i="1"/>
  <c r="Q300" i="1"/>
  <c r="P300" i="1"/>
  <c r="O300" i="1"/>
  <c r="N300" i="1"/>
  <c r="K300" i="1"/>
  <c r="J300" i="1"/>
  <c r="I300" i="1"/>
  <c r="H300" i="1"/>
  <c r="G300" i="1"/>
  <c r="F300" i="1"/>
  <c r="E300" i="1"/>
  <c r="D300" i="1"/>
  <c r="C300" i="1"/>
  <c r="V299" i="1"/>
  <c r="R299" i="1"/>
  <c r="Q299" i="1"/>
  <c r="P299" i="1"/>
  <c r="O299" i="1"/>
  <c r="N299" i="1"/>
  <c r="K299" i="1"/>
  <c r="J299" i="1"/>
  <c r="I299" i="1"/>
  <c r="H299" i="1"/>
  <c r="G299" i="1"/>
  <c r="F299" i="1"/>
  <c r="E299" i="1"/>
  <c r="D299" i="1"/>
  <c r="C299" i="1"/>
  <c r="V298" i="1"/>
  <c r="R298" i="1"/>
  <c r="Q298" i="1"/>
  <c r="P298" i="1"/>
  <c r="O298" i="1"/>
  <c r="N298" i="1"/>
  <c r="K298" i="1"/>
  <c r="J298" i="1"/>
  <c r="I298" i="1"/>
  <c r="H298" i="1"/>
  <c r="G298" i="1"/>
  <c r="F298" i="1"/>
  <c r="E298" i="1"/>
  <c r="D298" i="1"/>
  <c r="C298" i="1"/>
  <c r="V297" i="1"/>
  <c r="R297" i="1"/>
  <c r="Q297" i="1"/>
  <c r="P297" i="1"/>
  <c r="O297" i="1"/>
  <c r="N297" i="1"/>
  <c r="K297" i="1"/>
  <c r="J297" i="1"/>
  <c r="I297" i="1"/>
  <c r="H297" i="1"/>
  <c r="G297" i="1"/>
  <c r="F297" i="1"/>
  <c r="E297" i="1"/>
  <c r="D297" i="1"/>
  <c r="C297" i="1"/>
  <c r="V296" i="1"/>
  <c r="R296" i="1"/>
  <c r="Q296" i="1"/>
  <c r="P296" i="1"/>
  <c r="O296" i="1"/>
  <c r="N296" i="1"/>
  <c r="K296" i="1"/>
  <c r="J296" i="1"/>
  <c r="I296" i="1"/>
  <c r="H296" i="1"/>
  <c r="G296" i="1"/>
  <c r="F296" i="1"/>
  <c r="E296" i="1"/>
  <c r="D296" i="1"/>
  <c r="C296" i="1"/>
  <c r="V295" i="1"/>
  <c r="R295" i="1"/>
  <c r="Q295" i="1"/>
  <c r="P295" i="1"/>
  <c r="O295" i="1"/>
  <c r="N295" i="1"/>
  <c r="K295" i="1"/>
  <c r="J295" i="1"/>
  <c r="I295" i="1"/>
  <c r="H295" i="1"/>
  <c r="G295" i="1"/>
  <c r="F295" i="1"/>
  <c r="E295" i="1"/>
  <c r="D295" i="1"/>
  <c r="C295" i="1"/>
  <c r="V294" i="1"/>
  <c r="R294" i="1"/>
  <c r="Q294" i="1"/>
  <c r="P294" i="1"/>
  <c r="O294" i="1"/>
  <c r="N294" i="1"/>
  <c r="K294" i="1"/>
  <c r="J294" i="1"/>
  <c r="I294" i="1"/>
  <c r="H294" i="1"/>
  <c r="G294" i="1"/>
  <c r="F294" i="1"/>
  <c r="E294" i="1"/>
  <c r="D294" i="1"/>
  <c r="C294" i="1"/>
  <c r="V293" i="1"/>
  <c r="R293" i="1"/>
  <c r="Q293" i="1"/>
  <c r="P293" i="1"/>
  <c r="O293" i="1"/>
  <c r="N293" i="1"/>
  <c r="K293" i="1"/>
  <c r="J293" i="1"/>
  <c r="I293" i="1"/>
  <c r="H293" i="1"/>
  <c r="G293" i="1"/>
  <c r="F293" i="1"/>
  <c r="E293" i="1"/>
  <c r="D293" i="1"/>
  <c r="C293" i="1"/>
  <c r="V292" i="1"/>
  <c r="R292" i="1"/>
  <c r="Q292" i="1"/>
  <c r="P292" i="1"/>
  <c r="O292" i="1"/>
  <c r="N292" i="1"/>
  <c r="K292" i="1"/>
  <c r="J292" i="1"/>
  <c r="I292" i="1"/>
  <c r="H292" i="1"/>
  <c r="G292" i="1"/>
  <c r="F292" i="1"/>
  <c r="E292" i="1"/>
  <c r="D292" i="1"/>
  <c r="C292" i="1"/>
  <c r="V291" i="1"/>
  <c r="R291" i="1"/>
  <c r="Q291" i="1"/>
  <c r="P291" i="1"/>
  <c r="O291" i="1"/>
  <c r="N291" i="1"/>
  <c r="K291" i="1"/>
  <c r="J291" i="1"/>
  <c r="I291" i="1"/>
  <c r="H291" i="1"/>
  <c r="G291" i="1"/>
  <c r="F291" i="1"/>
  <c r="E291" i="1"/>
  <c r="D291" i="1"/>
  <c r="C291" i="1"/>
  <c r="V290" i="1"/>
  <c r="R290" i="1"/>
  <c r="Q290" i="1"/>
  <c r="P290" i="1"/>
  <c r="O290" i="1"/>
  <c r="N290" i="1"/>
  <c r="K290" i="1"/>
  <c r="J290" i="1"/>
  <c r="I290" i="1"/>
  <c r="H290" i="1"/>
  <c r="G290" i="1"/>
  <c r="F290" i="1"/>
  <c r="E290" i="1"/>
  <c r="D290" i="1"/>
  <c r="C290" i="1"/>
  <c r="V289" i="1"/>
  <c r="R289" i="1"/>
  <c r="Q289" i="1"/>
  <c r="P289" i="1"/>
  <c r="O289" i="1"/>
  <c r="N289" i="1"/>
  <c r="K289" i="1"/>
  <c r="J289" i="1"/>
  <c r="I289" i="1"/>
  <c r="H289" i="1"/>
  <c r="G289" i="1"/>
  <c r="F289" i="1"/>
  <c r="E289" i="1"/>
  <c r="D289" i="1"/>
  <c r="C289" i="1"/>
  <c r="V288" i="1"/>
  <c r="R288" i="1"/>
  <c r="Q288" i="1"/>
  <c r="P288" i="1"/>
  <c r="O288" i="1"/>
  <c r="N288" i="1"/>
  <c r="K288" i="1"/>
  <c r="J288" i="1"/>
  <c r="I288" i="1"/>
  <c r="H288" i="1"/>
  <c r="G288" i="1"/>
  <c r="F288" i="1"/>
  <c r="E288" i="1"/>
  <c r="D288" i="1"/>
  <c r="C288" i="1"/>
  <c r="V287" i="1"/>
  <c r="R287" i="1"/>
  <c r="Q287" i="1"/>
  <c r="P287" i="1"/>
  <c r="O287" i="1"/>
  <c r="N287" i="1"/>
  <c r="K287" i="1"/>
  <c r="J287" i="1"/>
  <c r="I287" i="1"/>
  <c r="H287" i="1"/>
  <c r="G287" i="1"/>
  <c r="F287" i="1"/>
  <c r="E287" i="1"/>
  <c r="D287" i="1"/>
  <c r="C287" i="1"/>
  <c r="V286" i="1"/>
  <c r="R286" i="1"/>
  <c r="Q286" i="1"/>
  <c r="P286" i="1"/>
  <c r="O286" i="1"/>
  <c r="N286" i="1"/>
  <c r="K286" i="1"/>
  <c r="J286" i="1"/>
  <c r="I286" i="1"/>
  <c r="H286" i="1"/>
  <c r="G286" i="1"/>
  <c r="F286" i="1"/>
  <c r="E286" i="1"/>
  <c r="D286" i="1"/>
  <c r="C286" i="1"/>
  <c r="V285" i="1"/>
  <c r="R285" i="1"/>
  <c r="Q285" i="1"/>
  <c r="P285" i="1"/>
  <c r="O285" i="1"/>
  <c r="N285" i="1"/>
  <c r="K285" i="1"/>
  <c r="J285" i="1"/>
  <c r="I285" i="1"/>
  <c r="H285" i="1"/>
  <c r="G285" i="1"/>
  <c r="F285" i="1"/>
  <c r="E285" i="1"/>
  <c r="D285" i="1"/>
  <c r="C285" i="1"/>
  <c r="V284" i="1"/>
  <c r="R284" i="1"/>
  <c r="Q284" i="1"/>
  <c r="P284" i="1"/>
  <c r="O284" i="1"/>
  <c r="N284" i="1"/>
  <c r="K284" i="1"/>
  <c r="J284" i="1"/>
  <c r="I284" i="1"/>
  <c r="H284" i="1"/>
  <c r="G284" i="1"/>
  <c r="F284" i="1"/>
  <c r="E284" i="1"/>
  <c r="D284" i="1"/>
  <c r="C284" i="1"/>
  <c r="V283" i="1"/>
  <c r="R283" i="1"/>
  <c r="Q283" i="1"/>
  <c r="P283" i="1"/>
  <c r="O283" i="1"/>
  <c r="N283" i="1"/>
  <c r="K283" i="1"/>
  <c r="J283" i="1"/>
  <c r="I283" i="1"/>
  <c r="H283" i="1"/>
  <c r="G283" i="1"/>
  <c r="F283" i="1"/>
  <c r="E283" i="1"/>
  <c r="D283" i="1"/>
  <c r="C283" i="1"/>
  <c r="V282" i="1"/>
  <c r="R282" i="1"/>
  <c r="Q282" i="1"/>
  <c r="P282" i="1"/>
  <c r="O282" i="1"/>
  <c r="N282" i="1"/>
  <c r="K282" i="1"/>
  <c r="J282" i="1"/>
  <c r="I282" i="1"/>
  <c r="H282" i="1"/>
  <c r="G282" i="1"/>
  <c r="F282" i="1"/>
  <c r="E282" i="1"/>
  <c r="D282" i="1"/>
  <c r="C282" i="1"/>
  <c r="V281" i="1"/>
  <c r="R281" i="1"/>
  <c r="Q281" i="1"/>
  <c r="P281" i="1"/>
  <c r="O281" i="1"/>
  <c r="N281" i="1"/>
  <c r="K281" i="1"/>
  <c r="J281" i="1"/>
  <c r="I281" i="1"/>
  <c r="H281" i="1"/>
  <c r="G281" i="1"/>
  <c r="F281" i="1"/>
  <c r="E281" i="1"/>
  <c r="D281" i="1"/>
  <c r="C281" i="1"/>
  <c r="V280" i="1"/>
  <c r="R280" i="1"/>
  <c r="Q280" i="1"/>
  <c r="P280" i="1"/>
  <c r="O280" i="1"/>
  <c r="N280" i="1"/>
  <c r="K280" i="1"/>
  <c r="J280" i="1"/>
  <c r="I280" i="1"/>
  <c r="H280" i="1"/>
  <c r="G280" i="1"/>
  <c r="F280" i="1"/>
  <c r="E280" i="1"/>
  <c r="D280" i="1"/>
  <c r="C280" i="1"/>
  <c r="V279" i="1"/>
  <c r="R279" i="1"/>
  <c r="Q279" i="1"/>
  <c r="P279" i="1"/>
  <c r="O279" i="1"/>
  <c r="N279" i="1"/>
  <c r="K279" i="1"/>
  <c r="J279" i="1"/>
  <c r="I279" i="1"/>
  <c r="H279" i="1"/>
  <c r="G279" i="1"/>
  <c r="F279" i="1"/>
  <c r="E279" i="1"/>
  <c r="D279" i="1"/>
  <c r="C279" i="1"/>
  <c r="V278" i="1"/>
  <c r="R278" i="1"/>
  <c r="Q278" i="1"/>
  <c r="P278" i="1"/>
  <c r="O278" i="1"/>
  <c r="N278" i="1"/>
  <c r="K278" i="1"/>
  <c r="J278" i="1"/>
  <c r="I278" i="1"/>
  <c r="H278" i="1"/>
  <c r="G278" i="1"/>
  <c r="F278" i="1"/>
  <c r="E278" i="1"/>
  <c r="D278" i="1"/>
  <c r="C278" i="1"/>
  <c r="V277" i="1"/>
  <c r="R277" i="1"/>
  <c r="Q277" i="1"/>
  <c r="P277" i="1"/>
  <c r="O277" i="1"/>
  <c r="N277" i="1"/>
  <c r="K277" i="1"/>
  <c r="J277" i="1"/>
  <c r="I277" i="1"/>
  <c r="H277" i="1"/>
  <c r="G277" i="1"/>
  <c r="F277" i="1"/>
  <c r="E277" i="1"/>
  <c r="D277" i="1"/>
  <c r="C277" i="1"/>
  <c r="V276" i="1"/>
  <c r="R276" i="1"/>
  <c r="Q276" i="1"/>
  <c r="P276" i="1"/>
  <c r="O276" i="1"/>
  <c r="N276" i="1"/>
  <c r="K276" i="1"/>
  <c r="J276" i="1"/>
  <c r="I276" i="1"/>
  <c r="H276" i="1"/>
  <c r="G276" i="1"/>
  <c r="F276" i="1"/>
  <c r="E276" i="1"/>
  <c r="D276" i="1"/>
  <c r="C276" i="1"/>
  <c r="V275" i="1"/>
  <c r="R275" i="1"/>
  <c r="Q275" i="1"/>
  <c r="P275" i="1"/>
  <c r="O275" i="1"/>
  <c r="N275" i="1"/>
  <c r="K275" i="1"/>
  <c r="J275" i="1"/>
  <c r="I275" i="1"/>
  <c r="H275" i="1"/>
  <c r="G275" i="1"/>
  <c r="F275" i="1"/>
  <c r="E275" i="1"/>
  <c r="D275" i="1"/>
  <c r="C275" i="1"/>
  <c r="V274" i="1"/>
  <c r="R274" i="1"/>
  <c r="Q274" i="1"/>
  <c r="P274" i="1"/>
  <c r="O274" i="1"/>
  <c r="N274" i="1"/>
  <c r="K274" i="1"/>
  <c r="J274" i="1"/>
  <c r="I274" i="1"/>
  <c r="H274" i="1"/>
  <c r="G274" i="1"/>
  <c r="F274" i="1"/>
  <c r="E274" i="1"/>
  <c r="D274" i="1"/>
  <c r="C274" i="1"/>
  <c r="V273" i="1"/>
  <c r="R273" i="1"/>
  <c r="Q273" i="1"/>
  <c r="P273" i="1"/>
  <c r="O273" i="1"/>
  <c r="N273" i="1"/>
  <c r="K273" i="1"/>
  <c r="J273" i="1"/>
  <c r="I273" i="1"/>
  <c r="H273" i="1"/>
  <c r="G273" i="1"/>
  <c r="F273" i="1"/>
  <c r="E273" i="1"/>
  <c r="D273" i="1"/>
  <c r="C273" i="1"/>
  <c r="V272" i="1"/>
  <c r="R272" i="1"/>
  <c r="Q272" i="1"/>
  <c r="P272" i="1"/>
  <c r="O272" i="1"/>
  <c r="N272" i="1"/>
  <c r="K272" i="1"/>
  <c r="J272" i="1"/>
  <c r="I272" i="1"/>
  <c r="H272" i="1"/>
  <c r="G272" i="1"/>
  <c r="F272" i="1"/>
  <c r="E272" i="1"/>
  <c r="D272" i="1"/>
  <c r="C272" i="1"/>
  <c r="V271" i="1"/>
  <c r="R271" i="1"/>
  <c r="Q271" i="1"/>
  <c r="P271" i="1"/>
  <c r="O271" i="1"/>
  <c r="N271" i="1"/>
  <c r="K271" i="1"/>
  <c r="J271" i="1"/>
  <c r="I271" i="1"/>
  <c r="H271" i="1"/>
  <c r="G271" i="1"/>
  <c r="F271" i="1"/>
  <c r="E271" i="1"/>
  <c r="D271" i="1"/>
  <c r="C271" i="1"/>
  <c r="V270" i="1"/>
  <c r="R270" i="1"/>
  <c r="Q270" i="1"/>
  <c r="P270" i="1"/>
  <c r="O270" i="1"/>
  <c r="N270" i="1"/>
  <c r="K270" i="1"/>
  <c r="J270" i="1"/>
  <c r="I270" i="1"/>
  <c r="H270" i="1"/>
  <c r="G270" i="1"/>
  <c r="F270" i="1"/>
  <c r="E270" i="1"/>
  <c r="D270" i="1"/>
  <c r="C270" i="1"/>
  <c r="V269" i="1"/>
  <c r="R269" i="1"/>
  <c r="Q269" i="1"/>
  <c r="P269" i="1"/>
  <c r="O269" i="1"/>
  <c r="N269" i="1"/>
  <c r="K269" i="1"/>
  <c r="J269" i="1"/>
  <c r="I269" i="1"/>
  <c r="H269" i="1"/>
  <c r="G269" i="1"/>
  <c r="F269" i="1"/>
  <c r="E269" i="1"/>
  <c r="D269" i="1"/>
  <c r="C269" i="1"/>
  <c r="V268" i="1"/>
  <c r="R268" i="1"/>
  <c r="Q268" i="1"/>
  <c r="P268" i="1"/>
  <c r="O268" i="1"/>
  <c r="N268" i="1"/>
  <c r="K268" i="1"/>
  <c r="J268" i="1"/>
  <c r="I268" i="1"/>
  <c r="H268" i="1"/>
  <c r="G268" i="1"/>
  <c r="F268" i="1"/>
  <c r="E268" i="1"/>
  <c r="D268" i="1"/>
  <c r="C268" i="1"/>
  <c r="V267" i="1"/>
  <c r="R267" i="1"/>
  <c r="Q267" i="1"/>
  <c r="P267" i="1"/>
  <c r="O267" i="1"/>
  <c r="N267" i="1"/>
  <c r="K267" i="1"/>
  <c r="J267" i="1"/>
  <c r="I267" i="1"/>
  <c r="H267" i="1"/>
  <c r="G267" i="1"/>
  <c r="F267" i="1"/>
  <c r="E267" i="1"/>
  <c r="D267" i="1"/>
  <c r="C267" i="1"/>
  <c r="V266" i="1"/>
  <c r="R266" i="1"/>
  <c r="Q266" i="1"/>
  <c r="P266" i="1"/>
  <c r="O266" i="1"/>
  <c r="N266" i="1"/>
  <c r="K266" i="1"/>
  <c r="J266" i="1"/>
  <c r="I266" i="1"/>
  <c r="H266" i="1"/>
  <c r="G266" i="1"/>
  <c r="F266" i="1"/>
  <c r="E266" i="1"/>
  <c r="D266" i="1"/>
  <c r="C266" i="1"/>
  <c r="V265" i="1"/>
  <c r="R265" i="1"/>
  <c r="Q265" i="1"/>
  <c r="P265" i="1"/>
  <c r="O265" i="1"/>
  <c r="N265" i="1"/>
  <c r="K265" i="1"/>
  <c r="J265" i="1"/>
  <c r="I265" i="1"/>
  <c r="H265" i="1"/>
  <c r="G265" i="1"/>
  <c r="F265" i="1"/>
  <c r="E265" i="1"/>
  <c r="D265" i="1"/>
  <c r="C265" i="1"/>
  <c r="V264" i="1"/>
  <c r="R264" i="1"/>
  <c r="Q264" i="1"/>
  <c r="P264" i="1"/>
  <c r="O264" i="1"/>
  <c r="N264" i="1"/>
  <c r="K264" i="1"/>
  <c r="J264" i="1"/>
  <c r="I264" i="1"/>
  <c r="H264" i="1"/>
  <c r="G264" i="1"/>
  <c r="F264" i="1"/>
  <c r="E264" i="1"/>
  <c r="D264" i="1"/>
  <c r="C264" i="1"/>
  <c r="V263" i="1"/>
  <c r="R263" i="1"/>
  <c r="Q263" i="1"/>
  <c r="P263" i="1"/>
  <c r="O263" i="1"/>
  <c r="N263" i="1"/>
  <c r="K263" i="1"/>
  <c r="J263" i="1"/>
  <c r="I263" i="1"/>
  <c r="H263" i="1"/>
  <c r="G263" i="1"/>
  <c r="F263" i="1"/>
  <c r="E263" i="1"/>
  <c r="D263" i="1"/>
  <c r="C263" i="1"/>
  <c r="V262" i="1"/>
  <c r="R262" i="1"/>
  <c r="Q262" i="1"/>
  <c r="P262" i="1"/>
  <c r="O262" i="1"/>
  <c r="N262" i="1"/>
  <c r="K262" i="1"/>
  <c r="J262" i="1"/>
  <c r="I262" i="1"/>
  <c r="H262" i="1"/>
  <c r="G262" i="1"/>
  <c r="F262" i="1"/>
  <c r="E262" i="1"/>
  <c r="D262" i="1"/>
  <c r="C262" i="1"/>
  <c r="V261" i="1"/>
  <c r="R261" i="1"/>
  <c r="Q261" i="1"/>
  <c r="P261" i="1"/>
  <c r="O261" i="1"/>
  <c r="N261" i="1"/>
  <c r="K261" i="1"/>
  <c r="J261" i="1"/>
  <c r="I261" i="1"/>
  <c r="H261" i="1"/>
  <c r="G261" i="1"/>
  <c r="F261" i="1"/>
  <c r="E261" i="1"/>
  <c r="D261" i="1"/>
  <c r="C261" i="1"/>
  <c r="V260" i="1"/>
  <c r="R260" i="1"/>
  <c r="Q260" i="1"/>
  <c r="P260" i="1"/>
  <c r="O260" i="1"/>
  <c r="N260" i="1"/>
  <c r="L260" i="1"/>
  <c r="K260" i="1"/>
  <c r="J260" i="1"/>
  <c r="I260" i="1"/>
  <c r="H260" i="1"/>
  <c r="G260" i="1"/>
  <c r="F260" i="1"/>
  <c r="E260" i="1"/>
  <c r="D260" i="1"/>
  <c r="C260" i="1"/>
  <c r="V259" i="1"/>
  <c r="R259" i="1"/>
  <c r="Q259" i="1"/>
  <c r="P259" i="1"/>
  <c r="O259" i="1"/>
  <c r="N259" i="1"/>
  <c r="L259" i="1"/>
  <c r="K259" i="1"/>
  <c r="J259" i="1"/>
  <c r="I259" i="1"/>
  <c r="H259" i="1"/>
  <c r="G259" i="1"/>
  <c r="F259" i="1"/>
  <c r="E259" i="1"/>
  <c r="D259" i="1"/>
  <c r="C259" i="1"/>
  <c r="V258" i="1"/>
  <c r="R258" i="1"/>
  <c r="Q258" i="1"/>
  <c r="P258" i="1"/>
  <c r="O258" i="1"/>
  <c r="N258" i="1"/>
  <c r="L258" i="1"/>
  <c r="K258" i="1"/>
  <c r="J258" i="1"/>
  <c r="I258" i="1"/>
  <c r="H258" i="1"/>
  <c r="G258" i="1"/>
  <c r="F258" i="1"/>
  <c r="E258" i="1"/>
  <c r="D258" i="1"/>
  <c r="C258" i="1"/>
  <c r="V257" i="1"/>
  <c r="R257" i="1"/>
  <c r="Q257" i="1"/>
  <c r="P257" i="1"/>
  <c r="O257" i="1"/>
  <c r="N257" i="1"/>
  <c r="L257" i="1"/>
  <c r="K257" i="1"/>
  <c r="J257" i="1"/>
  <c r="I257" i="1"/>
  <c r="H257" i="1"/>
  <c r="G257" i="1"/>
  <c r="F257" i="1"/>
  <c r="E257" i="1"/>
  <c r="D257" i="1"/>
  <c r="C257" i="1"/>
  <c r="V256" i="1"/>
  <c r="R256" i="1"/>
  <c r="Q256" i="1"/>
  <c r="P256" i="1"/>
  <c r="O256" i="1"/>
  <c r="N256" i="1"/>
  <c r="L256" i="1"/>
  <c r="K256" i="1"/>
  <c r="J256" i="1"/>
  <c r="I256" i="1"/>
  <c r="H256" i="1"/>
  <c r="G256" i="1"/>
  <c r="F256" i="1"/>
  <c r="E256" i="1"/>
  <c r="D256" i="1"/>
  <c r="C256" i="1"/>
  <c r="V255" i="1"/>
  <c r="R255" i="1"/>
  <c r="Q255" i="1"/>
  <c r="P255" i="1"/>
  <c r="O255" i="1"/>
  <c r="N255" i="1"/>
  <c r="L255" i="1"/>
  <c r="K255" i="1"/>
  <c r="J255" i="1"/>
  <c r="I255" i="1"/>
  <c r="H255" i="1"/>
  <c r="G255" i="1"/>
  <c r="F255" i="1"/>
  <c r="E255" i="1"/>
  <c r="D255" i="1"/>
  <c r="C255" i="1"/>
  <c r="V254" i="1"/>
  <c r="R254" i="1"/>
  <c r="Q254" i="1"/>
  <c r="P254" i="1"/>
  <c r="O254" i="1"/>
  <c r="N254" i="1"/>
  <c r="L254" i="1"/>
  <c r="K254" i="1"/>
  <c r="J254" i="1"/>
  <c r="I254" i="1"/>
  <c r="H254" i="1"/>
  <c r="G254" i="1"/>
  <c r="F254" i="1"/>
  <c r="E254" i="1"/>
  <c r="D254" i="1"/>
  <c r="C254" i="1"/>
  <c r="V253" i="1"/>
  <c r="R253" i="1"/>
  <c r="Q253" i="1"/>
  <c r="P253" i="1"/>
  <c r="O253" i="1"/>
  <c r="N253" i="1"/>
  <c r="L253" i="1"/>
  <c r="K253" i="1"/>
  <c r="J253" i="1"/>
  <c r="I253" i="1"/>
  <c r="H253" i="1"/>
  <c r="G253" i="1"/>
  <c r="F253" i="1"/>
  <c r="E253" i="1"/>
  <c r="D253" i="1"/>
  <c r="C253" i="1"/>
  <c r="V252" i="1"/>
  <c r="R252" i="1"/>
  <c r="Q252" i="1"/>
  <c r="P252" i="1"/>
  <c r="O252" i="1"/>
  <c r="N252" i="1"/>
  <c r="L252" i="1"/>
  <c r="K252" i="1"/>
  <c r="J252" i="1"/>
  <c r="I252" i="1"/>
  <c r="H252" i="1"/>
  <c r="G252" i="1"/>
  <c r="F252" i="1"/>
  <c r="E252" i="1"/>
  <c r="D252" i="1"/>
  <c r="C252" i="1"/>
  <c r="V251" i="1"/>
  <c r="R251" i="1"/>
  <c r="Q251" i="1"/>
  <c r="P251" i="1"/>
  <c r="O251" i="1"/>
  <c r="N251" i="1"/>
  <c r="L251" i="1"/>
  <c r="K251" i="1"/>
  <c r="J251" i="1"/>
  <c r="I251" i="1"/>
  <c r="H251" i="1"/>
  <c r="G251" i="1"/>
  <c r="F251" i="1"/>
  <c r="E251" i="1"/>
  <c r="D251" i="1"/>
  <c r="C251" i="1"/>
  <c r="V250" i="1"/>
  <c r="R250" i="1"/>
  <c r="Q250" i="1"/>
  <c r="P250" i="1"/>
  <c r="O250" i="1"/>
  <c r="N250" i="1"/>
  <c r="L250" i="1"/>
  <c r="K250" i="1"/>
  <c r="J250" i="1"/>
  <c r="I250" i="1"/>
  <c r="H250" i="1"/>
  <c r="G250" i="1"/>
  <c r="F250" i="1"/>
  <c r="E250" i="1"/>
  <c r="D250" i="1"/>
  <c r="C250" i="1"/>
  <c r="V249" i="1"/>
  <c r="R249" i="1"/>
  <c r="Q249" i="1"/>
  <c r="P249" i="1"/>
  <c r="O249" i="1"/>
  <c r="N249" i="1"/>
  <c r="L249" i="1"/>
  <c r="K249" i="1"/>
  <c r="J249" i="1"/>
  <c r="I249" i="1"/>
  <c r="H249" i="1"/>
  <c r="G249" i="1"/>
  <c r="F249" i="1"/>
  <c r="E249" i="1"/>
  <c r="D249" i="1"/>
  <c r="C249" i="1"/>
  <c r="V248" i="1"/>
  <c r="R248" i="1"/>
  <c r="Q248" i="1"/>
  <c r="P248" i="1"/>
  <c r="O248" i="1"/>
  <c r="N248" i="1"/>
  <c r="L248" i="1"/>
  <c r="K248" i="1"/>
  <c r="J248" i="1"/>
  <c r="I248" i="1"/>
  <c r="H248" i="1"/>
  <c r="G248" i="1"/>
  <c r="F248" i="1"/>
  <c r="E248" i="1"/>
  <c r="D248" i="1"/>
  <c r="C248" i="1"/>
  <c r="V247" i="1"/>
  <c r="R247" i="1"/>
  <c r="Q247" i="1"/>
  <c r="P247" i="1"/>
  <c r="O247" i="1"/>
  <c r="N247" i="1"/>
  <c r="L247" i="1"/>
  <c r="K247" i="1"/>
  <c r="J247" i="1"/>
  <c r="I247" i="1"/>
  <c r="H247" i="1"/>
  <c r="G247" i="1"/>
  <c r="F247" i="1"/>
  <c r="E247" i="1"/>
  <c r="D247" i="1"/>
  <c r="C247" i="1"/>
  <c r="V246" i="1"/>
  <c r="R246" i="1"/>
  <c r="Q246" i="1"/>
  <c r="P246" i="1"/>
  <c r="O246" i="1"/>
  <c r="N246" i="1"/>
  <c r="L246" i="1"/>
  <c r="K246" i="1"/>
  <c r="J246" i="1"/>
  <c r="I246" i="1"/>
  <c r="H246" i="1"/>
  <c r="G246" i="1"/>
  <c r="F246" i="1"/>
  <c r="E246" i="1"/>
  <c r="D246" i="1"/>
  <c r="C246" i="1"/>
  <c r="V245" i="1"/>
  <c r="R245" i="1"/>
  <c r="Q245" i="1"/>
  <c r="P245" i="1"/>
  <c r="O245" i="1"/>
  <c r="N245" i="1"/>
  <c r="L245" i="1"/>
  <c r="K245" i="1"/>
  <c r="J245" i="1"/>
  <c r="I245" i="1"/>
  <c r="H245" i="1"/>
  <c r="G245" i="1"/>
  <c r="F245" i="1"/>
  <c r="E245" i="1"/>
  <c r="D245" i="1"/>
  <c r="C245" i="1"/>
  <c r="V244" i="1"/>
  <c r="R244" i="1"/>
  <c r="Q244" i="1"/>
  <c r="P244" i="1"/>
  <c r="O244" i="1"/>
  <c r="N244" i="1"/>
  <c r="L244" i="1"/>
  <c r="K244" i="1"/>
  <c r="J244" i="1"/>
  <c r="I244" i="1"/>
  <c r="H244" i="1"/>
  <c r="G244" i="1"/>
  <c r="F244" i="1"/>
  <c r="E244" i="1"/>
  <c r="D244" i="1"/>
  <c r="C244" i="1"/>
  <c r="V243" i="1"/>
  <c r="R243" i="1"/>
  <c r="Q243" i="1"/>
  <c r="P243" i="1"/>
  <c r="O243" i="1"/>
  <c r="N243" i="1"/>
  <c r="L243" i="1"/>
  <c r="K243" i="1"/>
  <c r="J243" i="1"/>
  <c r="I243" i="1"/>
  <c r="H243" i="1"/>
  <c r="G243" i="1"/>
  <c r="F243" i="1"/>
  <c r="E243" i="1"/>
  <c r="D243" i="1"/>
  <c r="C243" i="1"/>
  <c r="V242" i="1"/>
  <c r="R242" i="1"/>
  <c r="Q242" i="1"/>
  <c r="P242" i="1"/>
  <c r="O242" i="1"/>
  <c r="N242" i="1"/>
  <c r="L242" i="1"/>
  <c r="K242" i="1"/>
  <c r="J242" i="1"/>
  <c r="I242" i="1"/>
  <c r="H242" i="1"/>
  <c r="G242" i="1"/>
  <c r="F242" i="1"/>
  <c r="E242" i="1"/>
  <c r="D242" i="1"/>
  <c r="C242" i="1"/>
  <c r="V241" i="1"/>
  <c r="R241" i="1"/>
  <c r="Q241" i="1"/>
  <c r="P241" i="1"/>
  <c r="O241" i="1"/>
  <c r="N241" i="1"/>
  <c r="L241" i="1"/>
  <c r="K241" i="1"/>
  <c r="J241" i="1"/>
  <c r="I241" i="1"/>
  <c r="H241" i="1"/>
  <c r="G241" i="1"/>
  <c r="F241" i="1"/>
  <c r="E241" i="1"/>
  <c r="D241" i="1"/>
  <c r="C241" i="1"/>
  <c r="V240" i="1"/>
  <c r="R240" i="1"/>
  <c r="Q240" i="1"/>
  <c r="P240" i="1"/>
  <c r="O240" i="1"/>
  <c r="N240" i="1"/>
  <c r="L240" i="1"/>
  <c r="K240" i="1"/>
  <c r="J240" i="1"/>
  <c r="I240" i="1"/>
  <c r="H240" i="1"/>
  <c r="G240" i="1"/>
  <c r="F240" i="1"/>
  <c r="E240" i="1"/>
  <c r="D240" i="1"/>
  <c r="C240" i="1"/>
  <c r="V239" i="1"/>
  <c r="R239" i="1"/>
  <c r="Q239" i="1"/>
  <c r="P239" i="1"/>
  <c r="O239" i="1"/>
  <c r="N239" i="1"/>
  <c r="L239" i="1"/>
  <c r="K239" i="1"/>
  <c r="J239" i="1"/>
  <c r="I239" i="1"/>
  <c r="H239" i="1"/>
  <c r="G239" i="1"/>
  <c r="F239" i="1"/>
  <c r="E239" i="1"/>
  <c r="D239" i="1"/>
  <c r="C239" i="1"/>
  <c r="V238" i="1"/>
  <c r="R238" i="1"/>
  <c r="Q238" i="1"/>
  <c r="P238" i="1"/>
  <c r="O238" i="1"/>
  <c r="N238" i="1"/>
  <c r="L238" i="1"/>
  <c r="K238" i="1"/>
  <c r="J238" i="1"/>
  <c r="I238" i="1"/>
  <c r="H238" i="1"/>
  <c r="G238" i="1"/>
  <c r="F238" i="1"/>
  <c r="E238" i="1"/>
  <c r="D238" i="1"/>
  <c r="C238" i="1"/>
  <c r="V237" i="1"/>
  <c r="R237" i="1"/>
  <c r="Q237" i="1"/>
  <c r="P237" i="1"/>
  <c r="O237" i="1"/>
  <c r="N237" i="1"/>
  <c r="L237" i="1"/>
  <c r="K237" i="1"/>
  <c r="J237" i="1"/>
  <c r="I237" i="1"/>
  <c r="H237" i="1"/>
  <c r="G237" i="1"/>
  <c r="F237" i="1"/>
  <c r="E237" i="1"/>
  <c r="D237" i="1"/>
  <c r="C237" i="1"/>
  <c r="V236" i="1"/>
  <c r="R236" i="1"/>
  <c r="Q236" i="1"/>
  <c r="P236" i="1"/>
  <c r="O236" i="1"/>
  <c r="N236" i="1"/>
  <c r="L236" i="1"/>
  <c r="K236" i="1"/>
  <c r="J236" i="1"/>
  <c r="I236" i="1"/>
  <c r="H236" i="1"/>
  <c r="G236" i="1"/>
  <c r="F236" i="1"/>
  <c r="E236" i="1"/>
  <c r="D236" i="1"/>
  <c r="C236" i="1"/>
  <c r="V235" i="1"/>
  <c r="R235" i="1"/>
  <c r="Q235" i="1"/>
  <c r="P235" i="1"/>
  <c r="O235" i="1"/>
  <c r="N235" i="1"/>
  <c r="L235" i="1"/>
  <c r="K235" i="1"/>
  <c r="J235" i="1"/>
  <c r="I235" i="1"/>
  <c r="H235" i="1"/>
  <c r="G235" i="1"/>
  <c r="F235" i="1"/>
  <c r="E235" i="1"/>
  <c r="D235" i="1"/>
  <c r="C235" i="1"/>
  <c r="V234" i="1"/>
  <c r="R234" i="1"/>
  <c r="Q234" i="1"/>
  <c r="P234" i="1"/>
  <c r="O234" i="1"/>
  <c r="N234" i="1"/>
  <c r="L234" i="1"/>
  <c r="K234" i="1"/>
  <c r="J234" i="1"/>
  <c r="I234" i="1"/>
  <c r="H234" i="1"/>
  <c r="G234" i="1"/>
  <c r="F234" i="1"/>
  <c r="E234" i="1"/>
  <c r="D234" i="1"/>
  <c r="C234" i="1"/>
  <c r="V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V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V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V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V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V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V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V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V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V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V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V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V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V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V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V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V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V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V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V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V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V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V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V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V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V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V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V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V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V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V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V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V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V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V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V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V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V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V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V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V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V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V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V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V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V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V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V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V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V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V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V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V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V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V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V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V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V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V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V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V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V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V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V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V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V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V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V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V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V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V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V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V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V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V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V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V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V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V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V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V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V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V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V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V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V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V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V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V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V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V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V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V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V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V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V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V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V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V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V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V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V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V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V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V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V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V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V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V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V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V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V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V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V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V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V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V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V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V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V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V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V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V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V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V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V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V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V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V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V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V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V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V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V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V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V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V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V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V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V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V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V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V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V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V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V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V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V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V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V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V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V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V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V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V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V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V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V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V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V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V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V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V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V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V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V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V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V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V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V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V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V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V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V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V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V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V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V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V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V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V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V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V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V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V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V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V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V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V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R40" i="1"/>
  <c r="Q40" i="1"/>
  <c r="P40" i="1"/>
  <c r="O40" i="1"/>
  <c r="N40" i="1"/>
  <c r="L40" i="1"/>
  <c r="K40" i="1"/>
  <c r="J40" i="1"/>
  <c r="I40" i="1"/>
  <c r="H40" i="1"/>
  <c r="G40" i="1"/>
  <c r="F40" i="1"/>
  <c r="E40" i="1"/>
  <c r="D40" i="1"/>
  <c r="C40" i="1"/>
  <c r="V39" i="1"/>
  <c r="R39" i="1"/>
  <c r="Q39" i="1"/>
  <c r="P39" i="1"/>
  <c r="O39" i="1"/>
  <c r="N39" i="1"/>
  <c r="L39" i="1"/>
  <c r="K39" i="1"/>
  <c r="J39" i="1"/>
  <c r="I39" i="1"/>
  <c r="H39" i="1"/>
  <c r="G39" i="1"/>
  <c r="F39" i="1"/>
  <c r="E39" i="1"/>
  <c r="D39" i="1"/>
  <c r="C39" i="1"/>
  <c r="V38" i="1"/>
  <c r="R38" i="1"/>
  <c r="Q38" i="1"/>
  <c r="P38" i="1"/>
  <c r="O38" i="1"/>
  <c r="N38" i="1"/>
  <c r="L38" i="1"/>
  <c r="K38" i="1"/>
  <c r="J38" i="1"/>
  <c r="I38" i="1"/>
  <c r="H38" i="1"/>
  <c r="G38" i="1"/>
  <c r="F38" i="1"/>
  <c r="E38" i="1"/>
  <c r="D38" i="1"/>
  <c r="C38" i="1"/>
  <c r="V37" i="1"/>
  <c r="R37" i="1"/>
  <c r="Q37" i="1"/>
  <c r="P37" i="1"/>
  <c r="O37" i="1"/>
  <c r="N37" i="1"/>
  <c r="L37" i="1"/>
  <c r="K37" i="1"/>
  <c r="J37" i="1"/>
  <c r="I37" i="1"/>
  <c r="H37" i="1"/>
  <c r="G37" i="1"/>
  <c r="F37" i="1"/>
  <c r="E37" i="1"/>
  <c r="D37" i="1"/>
  <c r="C37" i="1"/>
  <c r="V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V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V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V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V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V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R26" i="1"/>
  <c r="Q26" i="1"/>
  <c r="P26" i="1"/>
  <c r="O26" i="1"/>
  <c r="N26" i="1"/>
  <c r="M26" i="1"/>
  <c r="K26" i="1"/>
  <c r="J26" i="1"/>
  <c r="I26" i="1"/>
  <c r="H26" i="1"/>
  <c r="G26" i="1"/>
  <c r="F26" i="1"/>
  <c r="E26" i="1"/>
  <c r="D26" i="1"/>
  <c r="C26" i="1"/>
  <c r="V25" i="1"/>
  <c r="R25" i="1"/>
  <c r="Q25" i="1"/>
  <c r="P25" i="1"/>
  <c r="O25" i="1"/>
  <c r="N25" i="1"/>
  <c r="M25" i="1"/>
  <c r="K25" i="1"/>
  <c r="J25" i="1"/>
  <c r="I25" i="1"/>
  <c r="H25" i="1"/>
  <c r="G25" i="1"/>
  <c r="F25" i="1"/>
  <c r="E25" i="1"/>
  <c r="D25" i="1"/>
  <c r="C25" i="1"/>
  <c r="V24" i="1"/>
  <c r="R24" i="1"/>
  <c r="Q24" i="1"/>
  <c r="P24" i="1"/>
  <c r="O24" i="1"/>
  <c r="N24" i="1"/>
  <c r="M24" i="1"/>
  <c r="K24" i="1"/>
  <c r="J24" i="1"/>
  <c r="I24" i="1"/>
  <c r="H24" i="1"/>
  <c r="G24" i="1"/>
  <c r="F24" i="1"/>
  <c r="E24" i="1"/>
  <c r="D24" i="1"/>
  <c r="C24" i="1"/>
  <c r="V23" i="1"/>
  <c r="R23" i="1"/>
  <c r="Q23" i="1"/>
  <c r="P23" i="1"/>
  <c r="O23" i="1"/>
  <c r="N23" i="1"/>
  <c r="M23" i="1"/>
  <c r="J23" i="1"/>
  <c r="I23" i="1"/>
  <c r="H23" i="1"/>
  <c r="G23" i="1"/>
  <c r="F23" i="1"/>
  <c r="E23" i="1"/>
  <c r="D23" i="1"/>
  <c r="C23" i="1"/>
  <c r="V22" i="1"/>
  <c r="R22" i="1"/>
  <c r="Q22" i="1"/>
  <c r="P22" i="1"/>
  <c r="O22" i="1"/>
  <c r="N22" i="1"/>
  <c r="M22" i="1"/>
  <c r="J22" i="1"/>
  <c r="I22" i="1"/>
  <c r="H22" i="1"/>
  <c r="G22" i="1"/>
  <c r="F22" i="1"/>
  <c r="E22" i="1"/>
  <c r="D22" i="1"/>
  <c r="C22" i="1"/>
  <c r="V21" i="1"/>
  <c r="R21" i="1"/>
  <c r="Q21" i="1"/>
  <c r="P21" i="1"/>
  <c r="O21" i="1"/>
  <c r="N21" i="1"/>
  <c r="M21" i="1"/>
  <c r="J21" i="1"/>
  <c r="I21" i="1"/>
  <c r="H21" i="1"/>
  <c r="G21" i="1"/>
  <c r="F21" i="1"/>
  <c r="E21" i="1"/>
  <c r="D21" i="1"/>
  <c r="C21" i="1"/>
  <c r="V20" i="1"/>
  <c r="R20" i="1"/>
  <c r="Q20" i="1"/>
  <c r="P20" i="1"/>
  <c r="O20" i="1"/>
  <c r="N20" i="1"/>
  <c r="M20" i="1"/>
  <c r="J20" i="1"/>
  <c r="I20" i="1"/>
  <c r="H20" i="1"/>
  <c r="G20" i="1"/>
  <c r="F20" i="1"/>
  <c r="E20" i="1"/>
  <c r="D20" i="1"/>
  <c r="C20" i="1"/>
  <c r="V19" i="1"/>
  <c r="R19" i="1"/>
  <c r="Q19" i="1"/>
  <c r="P19" i="1"/>
  <c r="O19" i="1"/>
  <c r="N19" i="1"/>
  <c r="M19" i="1"/>
  <c r="J19" i="1"/>
  <c r="I19" i="1"/>
  <c r="H19" i="1"/>
  <c r="G19" i="1"/>
  <c r="F19" i="1"/>
  <c r="E19" i="1"/>
  <c r="D19" i="1"/>
  <c r="C19" i="1"/>
  <c r="V18" i="1"/>
  <c r="R18" i="1"/>
  <c r="Q18" i="1"/>
  <c r="P18" i="1"/>
  <c r="O18" i="1"/>
  <c r="N18" i="1"/>
  <c r="M18" i="1"/>
  <c r="J18" i="1"/>
  <c r="I18" i="1"/>
  <c r="H18" i="1"/>
  <c r="G18" i="1"/>
  <c r="F18" i="1"/>
  <c r="E18" i="1"/>
  <c r="D18" i="1"/>
  <c r="C18" i="1"/>
  <c r="V17" i="1"/>
  <c r="R17" i="1"/>
  <c r="Q17" i="1"/>
  <c r="P17" i="1"/>
  <c r="O17" i="1"/>
  <c r="N17" i="1"/>
  <c r="M17" i="1"/>
  <c r="J17" i="1"/>
  <c r="I17" i="1"/>
  <c r="H17" i="1"/>
  <c r="G17" i="1"/>
  <c r="F17" i="1"/>
  <c r="E17" i="1"/>
  <c r="D17" i="1"/>
  <c r="C17" i="1"/>
  <c r="V16" i="1"/>
  <c r="R16" i="1"/>
  <c r="Q16" i="1"/>
  <c r="P16" i="1"/>
  <c r="O16" i="1"/>
  <c r="N16" i="1"/>
  <c r="M16" i="1"/>
  <c r="J16" i="1"/>
  <c r="I16" i="1"/>
  <c r="H16" i="1"/>
  <c r="G16" i="1"/>
  <c r="F16" i="1"/>
  <c r="E16" i="1"/>
  <c r="D16" i="1"/>
  <c r="C16" i="1"/>
  <c r="V15" i="1"/>
  <c r="R15" i="1"/>
  <c r="Q15" i="1"/>
  <c r="P15" i="1"/>
  <c r="O15" i="1"/>
  <c r="N15" i="1"/>
  <c r="M15" i="1"/>
  <c r="J15" i="1"/>
  <c r="I15" i="1"/>
  <c r="H15" i="1"/>
  <c r="G15" i="1"/>
  <c r="F15" i="1"/>
  <c r="E15" i="1"/>
  <c r="D15" i="1"/>
  <c r="C15" i="1"/>
  <c r="V14" i="1"/>
  <c r="R14" i="1"/>
  <c r="Q14" i="1"/>
  <c r="P14" i="1"/>
  <c r="O14" i="1"/>
  <c r="N14" i="1"/>
  <c r="M14" i="1"/>
  <c r="J14" i="1"/>
  <c r="I14" i="1"/>
  <c r="H14" i="1"/>
  <c r="G14" i="1"/>
  <c r="F14" i="1"/>
  <c r="E14" i="1"/>
  <c r="D14" i="1"/>
  <c r="C14" i="1"/>
  <c r="V13" i="1"/>
  <c r="R13" i="1"/>
  <c r="Q13" i="1"/>
  <c r="P13" i="1"/>
  <c r="O13" i="1"/>
  <c r="N13" i="1"/>
  <c r="M13" i="1"/>
  <c r="J13" i="1"/>
  <c r="I13" i="1"/>
  <c r="H13" i="1"/>
  <c r="G13" i="1"/>
  <c r="F13" i="1"/>
  <c r="E13" i="1"/>
  <c r="D13" i="1"/>
  <c r="C13" i="1"/>
  <c r="V12" i="1"/>
  <c r="R12" i="1"/>
  <c r="Q12" i="1"/>
  <c r="P12" i="1"/>
  <c r="O12" i="1"/>
  <c r="N12" i="1"/>
  <c r="M12" i="1"/>
  <c r="J12" i="1"/>
  <c r="I12" i="1"/>
  <c r="H12" i="1"/>
  <c r="G12" i="1"/>
  <c r="F12" i="1"/>
  <c r="E12" i="1"/>
  <c r="D12" i="1"/>
  <c r="C12" i="1"/>
  <c r="V11" i="1"/>
  <c r="R11" i="1"/>
  <c r="Q11" i="1"/>
  <c r="P11" i="1"/>
  <c r="O11" i="1"/>
  <c r="N11" i="1"/>
  <c r="M11" i="1"/>
  <c r="J11" i="1"/>
  <c r="I11" i="1"/>
  <c r="H11" i="1"/>
  <c r="G11" i="1"/>
  <c r="F11" i="1"/>
  <c r="E11" i="1"/>
  <c r="D11" i="1"/>
  <c r="C11" i="1"/>
  <c r="V10" i="1"/>
  <c r="R10" i="1"/>
  <c r="Q10" i="1"/>
  <c r="P10" i="1"/>
  <c r="O10" i="1"/>
  <c r="N10" i="1"/>
  <c r="M10" i="1"/>
  <c r="J10" i="1"/>
  <c r="I10" i="1"/>
  <c r="H10" i="1"/>
  <c r="G10" i="1"/>
  <c r="F10" i="1"/>
  <c r="E10" i="1"/>
  <c r="D10" i="1"/>
  <c r="C10" i="1"/>
  <c r="V9" i="1"/>
  <c r="R9" i="1"/>
  <c r="Q9" i="1"/>
  <c r="P9" i="1"/>
  <c r="O9" i="1"/>
  <c r="N9" i="1"/>
  <c r="M9" i="1"/>
  <c r="J9" i="1"/>
  <c r="I9" i="1"/>
  <c r="H9" i="1"/>
  <c r="G9" i="1"/>
  <c r="F9" i="1"/>
  <c r="E9" i="1"/>
  <c r="D9" i="1"/>
  <c r="C9" i="1"/>
  <c r="V8" i="1"/>
  <c r="R8" i="1"/>
  <c r="Q8" i="1"/>
  <c r="P8" i="1"/>
  <c r="O8" i="1"/>
  <c r="N8" i="1"/>
  <c r="M8" i="1"/>
  <c r="J8" i="1"/>
  <c r="I8" i="1"/>
  <c r="H8" i="1"/>
  <c r="G8" i="1"/>
  <c r="F8" i="1"/>
  <c r="E8" i="1"/>
  <c r="D8" i="1"/>
  <c r="C8" i="1"/>
  <c r="V7" i="1"/>
  <c r="R7" i="1"/>
  <c r="Q7" i="1"/>
  <c r="P7" i="1"/>
  <c r="O7" i="1"/>
  <c r="N7" i="1"/>
  <c r="M7" i="1"/>
  <c r="J7" i="1"/>
  <c r="I7" i="1"/>
  <c r="H7" i="1"/>
  <c r="G7" i="1"/>
  <c r="F7" i="1"/>
  <c r="E7" i="1"/>
  <c r="D7" i="1"/>
  <c r="C7" i="1"/>
  <c r="V6" i="1"/>
  <c r="R6" i="1"/>
  <c r="Q6" i="1"/>
  <c r="P6" i="1"/>
  <c r="O6" i="1"/>
  <c r="N6" i="1"/>
  <c r="M6" i="1"/>
  <c r="J6" i="1"/>
  <c r="I6" i="1"/>
  <c r="H6" i="1"/>
  <c r="G6" i="1"/>
  <c r="F6" i="1"/>
  <c r="E6" i="1"/>
  <c r="D6" i="1"/>
  <c r="C6" i="1"/>
  <c r="V5" i="1"/>
  <c r="R5" i="1"/>
  <c r="Q5" i="1"/>
  <c r="P5" i="1"/>
  <c r="O5" i="1"/>
  <c r="N5" i="1"/>
  <c r="M5" i="1"/>
  <c r="J5" i="1"/>
  <c r="I5" i="1"/>
  <c r="H5" i="1"/>
  <c r="G5" i="1"/>
  <c r="F5" i="1"/>
  <c r="E5" i="1"/>
  <c r="D5" i="1"/>
  <c r="C5" i="1"/>
  <c r="V4" i="1"/>
  <c r="R4" i="1"/>
  <c r="Q4" i="1"/>
  <c r="P4" i="1"/>
  <c r="O4" i="1"/>
  <c r="N4" i="1"/>
  <c r="M4" i="1"/>
  <c r="J4" i="1"/>
  <c r="I4" i="1"/>
  <c r="H4" i="1"/>
  <c r="G4" i="1"/>
  <c r="F4" i="1"/>
  <c r="E4" i="1"/>
  <c r="D4" i="1"/>
  <c r="C4" i="1"/>
  <c r="V3" i="1"/>
  <c r="R3" i="1"/>
  <c r="Q3" i="1"/>
  <c r="P3" i="1"/>
  <c r="O3" i="1"/>
  <c r="N3" i="1"/>
  <c r="M3" i="1"/>
  <c r="J3" i="1"/>
  <c r="I3" i="1"/>
  <c r="H3" i="1"/>
  <c r="G3" i="1"/>
  <c r="F3" i="1"/>
  <c r="E3" i="1"/>
  <c r="D3" i="1"/>
  <c r="C3" i="1"/>
  <c r="V2" i="1"/>
  <c r="R2" i="1"/>
  <c r="Q2" i="1"/>
  <c r="P2" i="1"/>
  <c r="O2" i="1"/>
  <c r="N2" i="1"/>
  <c r="M2" i="1"/>
  <c r="J2" i="1"/>
  <c r="I2" i="1"/>
  <c r="H2" i="1"/>
  <c r="G2" i="1"/>
  <c r="F2" i="1"/>
  <c r="E2" i="1"/>
  <c r="D2" i="1"/>
  <c r="C2" i="1"/>
  <c r="V1" i="1"/>
  <c r="R1" i="1"/>
  <c r="Q1" i="1"/>
  <c r="P1" i="1"/>
  <c r="O1" i="1"/>
  <c r="N1" i="1"/>
  <c r="M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<sst xmlns="http://schemas.openxmlformats.org/spreadsheetml/2006/main" count="38904" uniqueCount="38801">
  <si>
    <t>9763-20170724T104931.012489300.bin</t>
  </si>
  <si>
    <t>-618.802664673029 24.8870965989477 -501.714355452875</t>
  </si>
  <si>
    <t>-669.69493180012 65.847256824203 -214.793693977056</t>
  </si>
  <si>
    <t>-555.045842078349 -63.0561960602374 315.565693325436</t>
  </si>
  <si>
    <t>-616.200263120718 -66.5686910067723 758.999147230183</t>
  </si>
  <si>
    <t>-471.04235524941 -72.5913232807936 822.087905691823</t>
  </si>
  <si>
    <t>-415.659243943787 -275.369190142278 293.235596283216</t>
  </si>
  <si>
    <t>-501.009801189471 -295.880974851627 732.841133900262</t>
  </si>
  <si>
    <t>-418.004792004312 -405.726919281548 811.144098563802</t>
  </si>
  <si>
    <t>9763-20170724T104931.047091300.bin</t>
  </si>
  <si>
    <t>-619.18737967788 24.6486806620235 -501.619828703692</t>
  </si>
  <si>
    <t>-670.28419966934 64.280458721415 -214.549139136029</t>
  </si>
  <si>
    <t>-554.535743847141 -63.0475304411357 315.671915920223</t>
  </si>
  <si>
    <t>-616.234517522878 -66.6588975509644 759.012213888924</t>
  </si>
  <si>
    <t>-471.076636368794 -72.6842262906978 822.101006656437</t>
  </si>
  <si>
    <t>-414.92230850059 -275.616988718817 293.315717248522</t>
  </si>
  <si>
    <t>-501.00445785212 -296.009457829811 732.817035889755</t>
  </si>
  <si>
    <t>-417.714068975923 -405.591336515991 811.186676894367</t>
  </si>
  <si>
    <t>9763-20170724T104931.112281800.bin</t>
  </si>
  <si>
    <t>-619.804262655819 24.0009616787102 -501.424114251257</t>
  </si>
  <si>
    <t>-670.24983285544 63.0116474126216 -214.153188580541</t>
  </si>
  <si>
    <t>-553.133996184983 -63.3694717904766 315.945899888961</t>
  </si>
  <si>
    <t>-616.427749211325 -66.5371310091289 759.077946777161</t>
  </si>
  <si>
    <t>-471.272969032573 -72.9417493022327 822.1363124101</t>
  </si>
  <si>
    <t>-413.457627427101 -275.852716927964 293.589551674239</t>
  </si>
  <si>
    <t>-500.680738455422 -295.766461967532 732.829696104835</t>
  </si>
  <si>
    <t>-417.323048734589 -405.22986443643 811.293464649004</t>
  </si>
  <si>
    <t>9763-20170724T104931.145702500.bin</t>
  </si>
  <si>
    <t>-619.889623648751 23.6525557623379 -501.343349452177</t>
  </si>
  <si>
    <t>-670.270520705043 62.9175142618792 -214.095674900966</t>
  </si>
  <si>
    <t>-552.345683614877 -63.6052177447434 316.101882958366</t>
  </si>
  <si>
    <t>-616.497986379948 -66.6039509539937 759.130988723408</t>
  </si>
  <si>
    <t>-471.33447247254 -73.1030585643184 822.159760586877</t>
  </si>
  <si>
    <t>-412.649749349813 -276.149276713599 293.747801850035</t>
  </si>
  <si>
    <t>-500.55451477316 -295.662327612404 732.868347504591</t>
  </si>
  <si>
    <t>-417.481528234731 -405.316504885292 811.367480860337</t>
  </si>
  <si>
    <t>9763-20170724T104931.212388400.bin</t>
  </si>
  <si>
    <t>-619.566537348097 22.8408997747172 -501.15766189447</t>
  </si>
  <si>
    <t>-669.447086593738 63.8321348820325 -214.063936812288</t>
  </si>
  <si>
    <t>-551.020669188032 -64.0143439214232 316.405845869364</t>
  </si>
  <si>
    <t>-616.680431586084 -66.601776033059 759.22932840199</t>
  </si>
  <si>
    <t>-471.493307491869 -73.3226593212162 822.180469017012</t>
  </si>
  <si>
    <t>-411.468840870496 -276.717633807654 294.037045303945</t>
  </si>
  <si>
    <t>-500.263253040012 -295.357418251555 732.950854046898</t>
  </si>
  <si>
    <t>-417.400635041038 -405.145849116117 811.484799860583</t>
  </si>
  <si>
    <t>9763-20170724T104931.245633500.bin</t>
  </si>
  <si>
    <t>-619.128677053116 22.8071618141416 -501.01904520862</t>
  </si>
  <si>
    <t>-668.600740828282 64.411280080943 -213.942703879507</t>
  </si>
  <si>
    <t>-550.484134615295 -64.1975362045071 316.549061662811</t>
  </si>
  <si>
    <t>-616.760334118132 -66.6624815835428 759.290752588113</t>
  </si>
  <si>
    <t>-471.583390193034 -73.8839886548096 822.2096870418</t>
  </si>
  <si>
    <t>-411.247654989899 -277.122913316873 294.159742001265</t>
  </si>
  <si>
    <t>-500.276019365321 -295.403078817616 733.010259951568</t>
  </si>
  <si>
    <t>-417.007106881422 -404.889582117875 811.53603222002</t>
  </si>
  <si>
    <t>9763-20170724T104931.311310900.bin</t>
  </si>
  <si>
    <t>-617.990683237419 24.3076557352333 -500.2704727166</t>
  </si>
  <si>
    <t>-665.849239890048 67.0863368994501 -213.09334745638</t>
  </si>
  <si>
    <t>-549.690894001765 -64.5474014323331 316.736737553273</t>
  </si>
  <si>
    <t>-616.889224804957 -66.732325297585 759.380495118576</t>
  </si>
  <si>
    <t>-471.688951532499 -73.9640881214905 822.244641136051</t>
  </si>
  <si>
    <t>-411.443181856893 -277.285536169895 294.379168506387</t>
  </si>
  <si>
    <t>-500.198096961677 -295.262438255436 733.224320069468</t>
  </si>
  <si>
    <t>-417.572241479473 -405.248321141305 811.731386862295</t>
  </si>
  <si>
    <t>9763-20170724T104931.348488400.bin</t>
  </si>
  <si>
    <t>-617.647501597723 25.5586313541774 -499.652247701708</t>
  </si>
  <si>
    <t>-664.508172309439 68.3452085695096 -212.311639427246</t>
  </si>
  <si>
    <t>-549.500142479845 -64.5991111839778 316.810691234009</t>
  </si>
  <si>
    <t>-616.924611035882 -66.8055235958809 759.422807412128</t>
  </si>
  <si>
    <t>-471.70329700036 -73.7727462457829 822.267834177225</t>
  </si>
  <si>
    <t>-411.766290704597 -277.283415750155 294.417775546146</t>
  </si>
  <si>
    <t>-500.08196555607 -294.987754530433 733.387557757345</t>
  </si>
  <si>
    <t>-417.924059095378 -405.393282247315 811.796828431282</t>
  </si>
  <si>
    <t>9763-20170724T104931.412161900.bin</t>
  </si>
  <si>
    <t>-617.371350976899 27.2765131488704 -498.438892835867</t>
  </si>
  <si>
    <t>-663.76591447981 69.1238305658856 -210.884545034313</t>
  </si>
  <si>
    <t>-549.666163461169 -64.883982880533 316.99535565609</t>
  </si>
  <si>
    <t>-616.986229808542 -66.980069379799 759.525622506975</t>
  </si>
  <si>
    <t>-471.756753218424 -73.8157994841395 822.366516396062</t>
  </si>
  <si>
    <t>-413.301591435899 -277.907580732493 294.424958519682</t>
  </si>
  <si>
    <t>-500.865530329889 -295.55576545456 733.701962743198</t>
  </si>
  <si>
    <t>-417.733381224297 -405.554097619748 811.655259371772</t>
  </si>
  <si>
    <t>9763-20170724T104931.448372900.bin</t>
  </si>
  <si>
    <t>-617.244792921694 28.411327850831 -498.061467174304</t>
  </si>
  <si>
    <t>-664.612840140546 69.526037365853 -210.560050296889</t>
  </si>
  <si>
    <t>-549.892499028296 -64.844882088458 317.040674729293</t>
  </si>
  <si>
    <t>-617.045007874758 -66.9272983895323 759.573328576031</t>
  </si>
  <si>
    <t>-471.835397291348 -74.0424153677263 822.428917134908</t>
  </si>
  <si>
    <t>-414.256717091106 -278.034016586402 294.411630734206</t>
  </si>
  <si>
    <t>-501.08175786167 -295.600281371565 733.839498487416</t>
  </si>
  <si>
    <t>-418.284271675999 -406.022268660855 811.549648673619</t>
  </si>
  <si>
    <t>9763-20170724T104931.512547500.bin</t>
  </si>
  <si>
    <t>-618.334013174364 31.6014502358298 -498.009038269757</t>
  </si>
  <si>
    <t>-667.677903072504 71.3817554022985 -210.652199830683</t>
  </si>
  <si>
    <t>-550.95902812819 -64.195574364137 316.945713312262</t>
  </si>
  <si>
    <t>-617.145403678335 -66.8429862546063 759.594327394511</t>
  </si>
  <si>
    <t>-471.952828613376 -74.037775413899 822.480244767725</t>
  </si>
  <si>
    <t>-417.785488225057 -277.764983661778 294.009097134279</t>
  </si>
  <si>
    <t>-501.469948824075 -295.864478213231 733.903680958997</t>
  </si>
  <si>
    <t>-419.261290323532 -406.936029254074 811.312577714658</t>
  </si>
  <si>
    <t>9763-20170724T104931.545640300.bin</t>
  </si>
  <si>
    <t>-618.647081139993 33.1909671184376 -498.379009758389</t>
  </si>
  <si>
    <t>-669.095182609381 72.3086339083375 -211.123069760686</t>
  </si>
  <si>
    <t>-551.47197133994 -63.6362992948498 316.857736906364</t>
  </si>
  <si>
    <t>-617.21033272265 -66.7871286186421 759.594186391986</t>
  </si>
  <si>
    <t>-472.010497443325 -73.8889308556165 822.473880261129</t>
  </si>
  <si>
    <t>-419.415953263974 -278.00725957698 293.496144313034</t>
  </si>
  <si>
    <t>-501.479566643464 -296.241709946392 733.650987139757</t>
  </si>
  <si>
    <t>-419.784335716237 -407.543485697092 811.272550509803</t>
  </si>
  <si>
    <t>9763-20170724T104931.612320200.bin</t>
  </si>
  <si>
    <t>-618.857595286506 35.7699092064311 -500.649511588578</t>
  </si>
  <si>
    <t>-671.733212787597 71.6055026128522 -213.401878391586</t>
  </si>
  <si>
    <t>-553.915239576567 -62.9208752126856 316.405520482445</t>
  </si>
  <si>
    <t>-617.360772609781 -66.5767958196368 759.464987326488</t>
  </si>
  <si>
    <t>-472.188207784581 -74.1382977628837 822.35402139242</t>
  </si>
  <si>
    <t>-422.288075236637 -277.79819267571 291.176916619254</t>
  </si>
  <si>
    <t>-500.193354973992 -297.158121046737 731.814246575047</t>
  </si>
  <si>
    <t>-418.544933825053 -407.048223498459 811.469769473976</t>
  </si>
  <si>
    <t>9763-20170724T104931.646779700.bin</t>
  </si>
  <si>
    <t>-617.689703548379 35.7229455027875 -502.379672649184</t>
  </si>
  <si>
    <t>-671.377918277564 71.8505853970771 -215.319460208905</t>
  </si>
  <si>
    <t>-555.353187138408 -62.8896108887325 315.946851264428</t>
  </si>
  <si>
    <t>-617.442503665006 -66.1931060122481 759.303818059099</t>
  </si>
  <si>
    <t>-472.345527533833 -74.5366421207232 822.268664996518</t>
  </si>
  <si>
    <t>-421.990726712939 -277.657480716154 289.299645489501</t>
  </si>
  <si>
    <t>-498.655468834775 -297.593721236602 730.072359057032</t>
  </si>
  <si>
    <t>-418.067382786345 -406.679876370879 811.883576119145</t>
  </si>
  <si>
    <t>9763-20170724T104931.709951100.bin</t>
  </si>
  <si>
    <t>-609.837366297881 31.3688490916184 -507.353389024799</t>
  </si>
  <si>
    <t>-667.574257951205 72.3738086087471 -221.737801083979</t>
  </si>
  <si>
    <t>-555.82635133597 -65.0232776903467 314.909244096413</t>
  </si>
  <si>
    <t>-617.397474553552 -66.0948072955944 758.894081312862</t>
  </si>
  <si>
    <t>-472.333222047922 -74.0923525761691 821.978855972471</t>
  </si>
  <si>
    <t>-419.437444859058 -278.532233018904 285.298770618259</t>
  </si>
  <si>
    <t>-495.034380302491 -295.901008850943 726.512528338851</t>
  </si>
  <si>
    <t>-415.537897207673 -402.099031891462 813.055031698384</t>
  </si>
  <si>
    <t>9763-20170724T104931.747054200.bin</t>
  </si>
  <si>
    <t>-606.240153052443 32.1093322769309 -509.696300083151</t>
  </si>
  <si>
    <t>-666.322650667651 74.8728130285067 -224.823395292779</t>
  </si>
  <si>
    <t>-555.80448425416 -64.5511987844216 314.638114733344</t>
  </si>
  <si>
    <t>-617.286362553207 -66.4203414811659 758.769076670088</t>
  </si>
  <si>
    <t>-472.197123724228 -73.7654991214747 821.87579490561</t>
  </si>
  <si>
    <t>-419.253601007307 -272.779698114892 284.354315982034</t>
  </si>
  <si>
    <t>-496.140496873988 -284.804119713233 725.589627334168</t>
  </si>
  <si>
    <t>-415.424157166955 -389.282164431432 813.090944510273</t>
  </si>
  <si>
    <t>9763-20170724T104931.810257300.bin</t>
  </si>
  <si>
    <t>-601.104329979682 33.1559929925945 -512.16153903242</t>
  </si>
  <si>
    <t>-662.886958932871 79.6120058414813 -228.231941370298</t>
  </si>
  <si>
    <t>-557.414156073128 -63.1104100985733 314.509027182417</t>
  </si>
  <si>
    <t>-617.14659977933 -66.6142884533822 758.620347760189</t>
  </si>
  <si>
    <t>-472.021561351804 -72.6366585346821 821.784838049445</t>
  </si>
  <si>
    <t>-423.295964969935 -260.990562773632 285.298234237682</t>
  </si>
  <si>
    <t>-505.666432624547 -264.504953903634 725.533275508724</t>
  </si>
  <si>
    <t>-414.606849240599 -359.725043989648 813.44573070672</t>
  </si>
  <si>
    <t>9763-20170724T104931.847910100.bin</t>
  </si>
  <si>
    <t>-599.38871706461 31.8610964048078 -513.111854543845</t>
  </si>
  <si>
    <t>-660.73076366337 79.6302763679157 -229.304850641261</t>
  </si>
  <si>
    <t>-559.038020809953 -63.1080961057489 314.388488781937</t>
  </si>
  <si>
    <t>-617.062545339782 -66.6420782085638 758.573668611307</t>
  </si>
  <si>
    <t>-471.932214352441 -71.9965992568177 821.785840223313</t>
  </si>
  <si>
    <t>-425.992873119586 -255.654135535685 286.628304469204</t>
  </si>
  <si>
    <t>-510.76427162472 -254.78196120352 726.50108648612</t>
  </si>
  <si>
    <t>-411.847746856199 -342.365796712486 813.861714427753</t>
  </si>
  <si>
    <t>9763-20170724T104931.915606300.bin</t>
  </si>
  <si>
    <t>-599.662130399121 26.170321533285 -514.805135221993</t>
  </si>
  <si>
    <t>-660.134701341008 72.9997798704976 -230.655034531204</t>
  </si>
  <si>
    <t>-562.282364521305 -63.7577875662548 313.969365556314</t>
  </si>
  <si>
    <t>-617.008565709061 -66.0645911523316 758.421803974445</t>
  </si>
  <si>
    <t>-471.936407221499 -71.3828176608911 821.770682243878</t>
  </si>
  <si>
    <t>-430.654635569693 -244.672208523385 290.033552904923</t>
  </si>
  <si>
    <t>-523.718329531053 -234.415700540522 728.222478133586</t>
  </si>
  <si>
    <t>-414.875082900039 -310.989322250825 814.11141116867</t>
  </si>
  <si>
    <t>9763-20170724T104931.944668700.bin</t>
  </si>
  <si>
    <t>-601.038338780163 22.6338495959278 -515.429703364631</t>
  </si>
  <si>
    <t>-661.635240612503 67.9321276037956 -231.057905906568</t>
  </si>
  <si>
    <t>-563.067020848016 -64.6055705515498 313.785213264153</t>
  </si>
  <si>
    <t>-616.935186817575 -66.0606798148231 758.329219116672</t>
  </si>
  <si>
    <t>-471.862524318834 -70.8741761469805 821.717060920548</t>
  </si>
  <si>
    <t>-434.005053698688 -239.803651560587 292.268726351685</t>
  </si>
  <si>
    <t>-526.905231032476 -226.536545170537 730.355128861211</t>
  </si>
  <si>
    <t>-416.066687774956 -301.538595357364 815.071426590901</t>
  </si>
  <si>
    <t>9763-20170724T104931.979762500.bin</t>
  </si>
  <si>
    <t>-603.181585517326 19.1961192418651 -515.985528024487</t>
  </si>
  <si>
    <t>-664.465105138684 63.0712332596754 -231.537890502803</t>
  </si>
  <si>
    <t>-563.421236443396 -65.5949928939324 313.628759277421</t>
  </si>
  <si>
    <t>-616.85115174508 -66.1757446546437 758.229277338985</t>
  </si>
  <si>
    <t>-471.769525190925 -70.2865585479788 821.646435817051</t>
  </si>
  <si>
    <t>-438.707933021411 -236.919165369395 295.106217867124</t>
  </si>
  <si>
    <t>-525.416527730094 -224.841762196065 734.493091472073</t>
  </si>
  <si>
    <t>-414.314734765446 -301.05035618284 817.775553664645</t>
  </si>
  <si>
    <t>9763-20170724T104932.043939900.bin</t>
  </si>
  <si>
    <t>-608.639513359691 11.1888043041063 -517.739219083948</t>
  </si>
  <si>
    <t>-672.032742236283 50.7787072884475 -233.125103205202</t>
  </si>
  <si>
    <t>-564.091604677961 -67.4982727357278 313.31078277737</t>
  </si>
  <si>
    <t>-616.709870745476 -66.4316344803347 758.025796570815</t>
  </si>
  <si>
    <t>-471.604898751866 -68.9688361576341 821.472069040581</t>
  </si>
  <si>
    <t>-446.149172535765 -244.935584347584 301.120563528688</t>
  </si>
  <si>
    <t>-519.949523593923 -241.102365509968 743.018944018287</t>
  </si>
  <si>
    <t>-412.300312463428 -325.489485778309 822.879894406961</t>
  </si>
  <si>
    <t>9763-20170724T104932.113629500.bin</t>
  </si>
  <si>
    <t>-614.490482954599 1.17688913517236 -520.20877791981</t>
  </si>
  <si>
    <t>-681.822693609775 34.2057812566482 -235.66217716358</t>
  </si>
  <si>
    <t>-565.328388912486 -69.9506745181945 312.756288626674</t>
  </si>
  <si>
    <t>-616.539443357123 -66.6341258690607 757.751725059319</t>
  </si>
  <si>
    <t>-471.449456351508 -67.6966277079216 821.274153953155</t>
  </si>
  <si>
    <t>-452.692262198801 -253.106784061922 305.174948027534</t>
  </si>
  <si>
    <t>-516.248268135904 -254.608751720557 748.742502410945</t>
  </si>
  <si>
    <t>-408.645034276059 -341.639671275866 825.777885390902</t>
  </si>
  <si>
    <t>9763-20170724T104932.145951800.bin</t>
  </si>
  <si>
    <t>-686.523643213035 25.1223020986758 -236.935631059364</t>
  </si>
  <si>
    <t>-565.453773374277 -71.2073710612021 312.549796455081</t>
  </si>
  <si>
    <t>-616.400592977047 -66.8589065393164 757.603108752955</t>
  </si>
  <si>
    <t>-471.33264718755 -66.9781622463222 821.184258574247</t>
  </si>
  <si>
    <t>-455.096305385857 -259.350692804724 307.38063367684</t>
  </si>
  <si>
    <t>-515.948203283875 -263.52924247537 751.169000835916</t>
  </si>
  <si>
    <t>-408.238126140886 -351.385767781084 827.11023966058</t>
  </si>
  <si>
    <t>9763-20170724T104932.214199800.bin</t>
  </si>
  <si>
    <t>-694.066381982215 7.13145959691201 -239.579903568558</t>
  </si>
  <si>
    <t>-564.279852717145 -74.8142040796479 311.767950527197</t>
  </si>
  <si>
    <t>-616.098463665109 -67.2679441534619 756.963812199073</t>
  </si>
  <si>
    <t>-471.12078176604 -65.6535907033413 820.730673080774</t>
  </si>
  <si>
    <t>-459.815361572391 -263.260449656306 310.092723218806</t>
  </si>
  <si>
    <t>-512.737869544234 -268.746485146552 753.897564490004</t>
  </si>
  <si>
    <t>-403.78915374715 -356.063524681851 828.685316180876</t>
  </si>
  <si>
    <t>9763-20170724T104932.246786900.bin</t>
  </si>
  <si>
    <t>-697.468066398769 0.401307240421602 -241.24870860608</t>
  </si>
  <si>
    <t>-563.735604883283 -76.3138148568892 310.871077082446</t>
  </si>
  <si>
    <t>-615.942980915733 -67.5039630757321 756.23960671645</t>
  </si>
  <si>
    <t>-471.027749728419 -64.9669831290526 820.117564723019</t>
  </si>
  <si>
    <t>-463.352886606732 -263.291920704847 310.324804084066</t>
  </si>
  <si>
    <t>-513.653237936832 -268.646102818847 754.410012571557</t>
  </si>
  <si>
    <t>-403.695483950122 -355.117113462453 828.702317269274</t>
  </si>
  <si>
    <t>9763-20170724T104932.308951600.bin</t>
  </si>
  <si>
    <t>-561.53343376109 -79.6020075358022 308.62968755014</t>
  </si>
  <si>
    <t>-615.564638420113 -67.4929398050647 754.03101068761</t>
  </si>
  <si>
    <t>-470.905245692931 -64.2985779216256 818.457538182455</t>
  </si>
  <si>
    <t>-470.407752307392 -267.144365891254 310.746432470836</t>
  </si>
  <si>
    <t>-515.860095945604 -271.147087068027 755.609583206855</t>
  </si>
  <si>
    <t>-401.782022428723 -353.358877383476 828.511707102097</t>
  </si>
  <si>
    <t>9763-20170724T104932.377635100.bin</t>
  </si>
  <si>
    <t>-558.718239879353 -82.3152148094084 305.635331964227</t>
  </si>
  <si>
    <t>-615.704507849675 -65.2635420795775 750.687164056354</t>
  </si>
  <si>
    <t>-471.406677906826 -64.6209819725741 815.994533215208</t>
  </si>
  <si>
    <t>-481.520069913671 -270.589644503807 310.970864591983</t>
  </si>
  <si>
    <t>-516.925735843721 -273.283131036553 756.41205991535</t>
  </si>
  <si>
    <t>-400.193675498601 -352.229038902517 828.7201678077</t>
  </si>
  <si>
    <t>9763-20170724T104932.412226800.bin</t>
  </si>
  <si>
    <t>-558.786081339726 -82.9415687201301 304.352069304286</t>
  </si>
  <si>
    <t>-616.265153631527 -62.6079539697316 749.110629179418</t>
  </si>
  <si>
    <t>-472.092342377614 -64.0889237611573 814.679595289138</t>
  </si>
  <si>
    <t>-485.09809290698 -271.675739707575 311.150016509431</t>
  </si>
  <si>
    <t>-516.984043564387 -273.58980833923 756.757177463366</t>
  </si>
  <si>
    <t>-400.309682515595 -352.678907247731 829.00187167522</t>
  </si>
  <si>
    <t>9763-20170724T104932.446819600.bin</t>
  </si>
  <si>
    <t>-560.350119280647 -83.419912074299 303.355360911337</t>
  </si>
  <si>
    <t>-617.297706663083 -58.3579812791056 747.689977231221</t>
  </si>
  <si>
    <t>-473.322660824109 -64.1566446504701 813.453701828734</t>
  </si>
  <si>
    <t>-487.047687304113 -273.083810029325 311.002226171163</t>
  </si>
  <si>
    <t>-516.814866385321 -273.604290013632 756.935158532588</t>
  </si>
  <si>
    <t>-400.48288506083 -353.154845733364 829.225404399505</t>
  </si>
  <si>
    <t>9763-20170724T104932.515006600.bin</t>
  </si>
  <si>
    <t>-568.127212520841 -83.5674519000845 302.061479890084</t>
  </si>
  <si>
    <t>-619.450183180559 -48.6053342946102 745.728943439407</t>
  </si>
  <si>
    <t>-476.416522837849 -65.6135291287073 811.603067109438</t>
  </si>
  <si>
    <t>-488.714124108619 -275.084092539687 310.153585889669</t>
  </si>
  <si>
    <t>-516.103724434485 -272.70687441873 756.685130307775</t>
  </si>
  <si>
    <t>-401.700375539009 -354.733390785213 829.285491962214</t>
  </si>
  <si>
    <t>9763-20170724T104932.546091300.bin</t>
  </si>
  <si>
    <t>-572.684054693171 -83.0783160676817 301.653636273505</t>
  </si>
  <si>
    <t>-620.092711469686 -46.2280887431391 745.308780690971</t>
  </si>
  <si>
    <t>-477.416386090311 -66.5455768987629 811.020072610219</t>
  </si>
  <si>
    <t>-489.770356476845 -275.036082816669 309.632969336988</t>
  </si>
  <si>
    <t>-515.919334703503 -272.586628983714 756.389221726612</t>
  </si>
  <si>
    <t>-401.82678915441 -354.93941300235 829.109177444778</t>
  </si>
  <si>
    <t>9763-20170724T104932.608263000.bin</t>
  </si>
  <si>
    <t>-580.999247553278 -85.0217785018442 301.307663808082</t>
  </si>
  <si>
    <t>-620.50184066449 -48.3699113105831 745.607232588893</t>
  </si>
  <si>
    <t>-477.113053661489 -65.9134390109584 810.562299144552</t>
  </si>
  <si>
    <t>-490.250904084158 -274.980227611383 308.581267070864</t>
  </si>
  <si>
    <t>-515.433149855554 -272.102858126882 755.666900141296</t>
  </si>
  <si>
    <t>-402.592244525957 -355.888557118941 828.702376156292</t>
  </si>
  <si>
    <t>9763-20170724T104932.647368900.bin</t>
  </si>
  <si>
    <t>-585.610494015996 -86.2016990727998 301.138445141017</t>
  </si>
  <si>
    <t>-620.7112776943 -48.9845943612895 745.858776098146</t>
  </si>
  <si>
    <t>-477.010424262092 -65.3864267174351 810.421707610224</t>
  </si>
  <si>
    <t>-489.920137173299 -275.816098351019 308.160342477481</t>
  </si>
  <si>
    <t>-515.271125583929 -272.035831756502 755.362518861935</t>
  </si>
  <si>
    <t>-402.664802095089 -356.040722506398 828.508048636408</t>
  </si>
  <si>
    <t>9763-20170724T104932.712547400.bin</t>
  </si>
  <si>
    <t>-594.768629715889 -89.2559634820752 301.20721838324</t>
  </si>
  <si>
    <t>-620.959247791667 -50.924554953054 746.331544167483</t>
  </si>
  <si>
    <t>-476.867342762886 -65.2715222836755 810.51113621065</t>
  </si>
  <si>
    <t>-491.515305262557 -276.33209111406 307.56254644908</t>
  </si>
  <si>
    <t>-515.224024520922 -272.412509303269 754.964534024924</t>
  </si>
  <si>
    <t>-402.712278590337 -356.491699389953 828.170289905392</t>
  </si>
  <si>
    <t>9763-20170724T104932.744632400.bin</t>
  </si>
  <si>
    <t>-598.345897891859 -90.7644367953055 301.461777664892</t>
  </si>
  <si>
    <t>-621.011479247324 -52.9750333159097 746.939472419854</t>
  </si>
  <si>
    <t>-476.415628031799 -63.8054593403124 810.67372110003</t>
  </si>
  <si>
    <t>-492.870490186102 -276.51818746246 307.467520149335</t>
  </si>
  <si>
    <t>-515.314105683829 -272.785556414338 754.897454833495</t>
  </si>
  <si>
    <t>-402.853100744785 -356.955881470152 828.076453247111</t>
  </si>
  <si>
    <t>9763-20170724T104932.809427200.bin</t>
  </si>
  <si>
    <t>-491.541322609272 0.088658779123989 -265.718214669241</t>
  </si>
  <si>
    <t>-606.106839259905 -77.3082431915425 301.51302678062</t>
  </si>
  <si>
    <t>-625.258548142058 -37.5846368055174 747.443271144244</t>
  </si>
  <si>
    <t>-479.674995067273 -33.0075392400197 809.666784904291</t>
  </si>
  <si>
    <t>-497.081350718096 -272.716486232373 307.518612340436</t>
  </si>
  <si>
    <t>-515.42201735955 -273.232400044938 754.953988657304</t>
  </si>
  <si>
    <t>-402.643077060861 -357.034078992293 828.066710859819</t>
  </si>
  <si>
    <t>9763-20170724T104932.843509500.bin</t>
  </si>
  <si>
    <t>-493.894766584609 2.3276043563244 -264.799447730118</t>
  </si>
  <si>
    <t>-608.900595496237 -72.7100763205497 301.293742709648</t>
  </si>
  <si>
    <t>-628.88655727516 -35.8485961140673 747.351423509418</t>
  </si>
  <si>
    <t>-483.761603431175 -20.910093593377 809.018858918067</t>
  </si>
  <si>
    <t>-498.827105613994 -271.16923446038 307.565544659954</t>
  </si>
  <si>
    <t>-515.478842808827 -273.294076687597 755.037294784423</t>
  </si>
  <si>
    <t>-402.631712846555 -357.038796502489 828.110072422618</t>
  </si>
  <si>
    <t>9763-20170724T104932.908348700.bin</t>
  </si>
  <si>
    <t>-494.88039775537 3.10821234970786 -262.635019292111</t>
  </si>
  <si>
    <t>-611.607716283251 -68.9936618334109 300.839553178991</t>
  </si>
  <si>
    <t>-633.090887870347 -32.2579793613613 746.740858344623</t>
  </si>
  <si>
    <t>-489.209972046819 -8.0491333735406 808.3808646022</t>
  </si>
  <si>
    <t>-500.672947157668 -270.347887199752 307.764245754351</t>
  </si>
  <si>
    <t>-515.640206274403 -273.581240619513 755.213765554421</t>
  </si>
  <si>
    <t>-402.229954916811 -356.650874684501 828.185202353713</t>
  </si>
  <si>
    <t>9763-20170724T104932.943445400.bin</t>
  </si>
  <si>
    <t>-494.43865608959 2.44664788250543 -261.811781030728</t>
  </si>
  <si>
    <t>-611.926516559281 -67.4517933080836 300.403989917939</t>
  </si>
  <si>
    <t>-633.725307924221 -29.8602330926672 746.143444031471</t>
  </si>
  <si>
    <t>-489.824888372172 -6.50115845551954 808.065544433121</t>
  </si>
  <si>
    <t>-500.514983412467 -269.799032929555 307.717103517866</t>
  </si>
  <si>
    <t>-515.615675933993 -273.463861179376 755.198237157878</t>
  </si>
  <si>
    <t>-402.075837967854 -356.34942924934 828.177652785478</t>
  </si>
  <si>
    <t>9763-20170724T104933.011641600.bin</t>
  </si>
  <si>
    <t>-609.322711767642 -67.5962307709451 299.923109227831</t>
  </si>
  <si>
    <t>-633.571021082368 -29.1211569443901 745.638670075049</t>
  </si>
  <si>
    <t>-489.553452042289 -7.98035391280155 808.083004703856</t>
  </si>
  <si>
    <t>-498.72285154308 -269.707164946713 307.534884283456</t>
  </si>
  <si>
    <t>-515.587694020171 -273.220504287658 755.069603178431</t>
  </si>
  <si>
    <t>-401.781152092419 -355.693826085974 828.10057901166</t>
  </si>
  <si>
    <t>9763-20170724T104933.047729900.bin</t>
  </si>
  <si>
    <t>-608.364673395837 -68.1501777246365 299.891365577334</t>
  </si>
  <si>
    <t>-633.50736138628 -29.3369683063079 745.694572702869</t>
  </si>
  <si>
    <t>-489.44205983137 -8.70225437455997 808.198460927262</t>
  </si>
  <si>
    <t>-498.367194105377 -269.703358849578 307.504769728621</t>
  </si>
  <si>
    <t>-515.536936410582 -272.845285128738 755.011446636136</t>
  </si>
  <si>
    <t>-401.924599093564 -355.574578244281 828.055245376725</t>
  </si>
  <si>
    <t>9763-20170724T104933.112440800.bin</t>
  </si>
  <si>
    <t>-607.924003432065 -68.8122905433816 299.877958096663</t>
  </si>
  <si>
    <t>-633.24730672689 -30.5286871663568 745.817485316427</t>
  </si>
  <si>
    <t>-489.243569153913 -9.08619063249262 808.190714866127</t>
  </si>
  <si>
    <t>-497.894671106672 -269.698402111457 307.663834105083</t>
  </si>
  <si>
    <t>-515.615054207574 -272.359940163833 754.96555139525</t>
  </si>
  <si>
    <t>-401.81586059957 -354.893189348368 827.940296814854</t>
  </si>
  <si>
    <t>9763-20170724T104933.144527900.bin</t>
  </si>
  <si>
    <t>-608.211020016531 -68.5062581604843 299.761695064941</t>
  </si>
  <si>
    <t>-633.173755531417 -30.6542082855124 745.744892260768</t>
  </si>
  <si>
    <t>-489.177690616722 -9.07041713298122 808.087190203023</t>
  </si>
  <si>
    <t>-497.330797024527 -269.485850219687 307.700826842847</t>
  </si>
  <si>
    <t>-515.631619359907 -272.016409835091 754.963196223601</t>
  </si>
  <si>
    <t>-402.353365502868 -355.287445294824 827.910306359796</t>
  </si>
  <si>
    <t>9763-20170724T104933.214231500.bin</t>
  </si>
  <si>
    <t>-607.305025333623 -68.384924555648 299.512219775293</t>
  </si>
  <si>
    <t>-632.949892557869 -30.9079106981601 745.63557595016</t>
  </si>
  <si>
    <t>-488.933460748588 -9.53860918668875 808.004459723565</t>
  </si>
  <si>
    <t>-495.999181587222 -269.306123530691 307.632376376384</t>
  </si>
  <si>
    <t>-515.790652550121 -271.557088839423 754.907300833245</t>
  </si>
  <si>
    <t>-402.192032202947 -354.52244989135 827.704216820128</t>
  </si>
  <si>
    <t>9763-20170724T104933.248321800.bin</t>
  </si>
  <si>
    <t>-605.979317728639 -68.6680533294682 299.394978664391</t>
  </si>
  <si>
    <t>-632.761547872997 -31.1768272180605 745.587634005924</t>
  </si>
  <si>
    <t>-488.797227636371 -9.48549270884496 807.966230883991</t>
  </si>
  <si>
    <t>-495.476805924542 -269.109136372747 307.604366047375</t>
  </si>
  <si>
    <t>-515.888398637848 -271.361082283338 754.850216762886</t>
  </si>
  <si>
    <t>-402.321406862429 -354.393999892781 827.619311300103</t>
  </si>
  <si>
    <t>9763-20170724T104933.310071500.bin</t>
  </si>
  <si>
    <t>-602.311894099725 -68.4191984968722 299.327893240754</t>
  </si>
  <si>
    <t>-632.61710205733 -31.3213461755315 745.43259411141</t>
  </si>
  <si>
    <t>-488.517611283032 -10.5816874898417 807.822457250742</t>
  </si>
  <si>
    <t>-494.493900492095 -268.564748103313 307.631506044837</t>
  </si>
  <si>
    <t>-515.979746170882 -270.795678097278 754.740494079504</t>
  </si>
  <si>
    <t>-402.743242697435 -354.257023561065 827.534694004556</t>
  </si>
  <si>
    <t>9763-20170724T104933.347169300.bin</t>
  </si>
  <si>
    <t>-600.324872774188 -68.2076239535243 299.303391062567</t>
  </si>
  <si>
    <t>-632.488866974236 -31.5247829012749 745.302513758055</t>
  </si>
  <si>
    <t>-488.414182318438 -10.5901609013249 807.684555312072</t>
  </si>
  <si>
    <t>-493.787476847221 -268.567002439776 307.644264319088</t>
  </si>
  <si>
    <t>-516.034183788922 -270.570510505095 754.701214892338</t>
  </si>
  <si>
    <t>-403.105167073035 -354.416970435235 827.530359853904</t>
  </si>
  <si>
    <t>9763-20170724T104933.413366800.bin</t>
  </si>
  <si>
    <t>-597.362931192828 -67.9639959631309 299.332621598213</t>
  </si>
  <si>
    <t>-632.146284826555 -32.0621065816151 745.058198396774</t>
  </si>
  <si>
    <t>-488.17535130512 -10.3667513969785 807.419975398418</t>
  </si>
  <si>
    <t>-492.162267555676 -268.730931409803 307.686961920374</t>
  </si>
  <si>
    <t>-516.125851308273 -270.165367875926 754.639645307848</t>
  </si>
  <si>
    <t>-403.768728836724 -354.725553147493 827.528331163384</t>
  </si>
  <si>
    <t>9763-20170724T104933.445440500.bin</t>
  </si>
  <si>
    <t>-596.613013670886 -67.7914979031534 299.38693919604</t>
  </si>
  <si>
    <t>-632.05686213559 -32.112552398266 745.001835352007</t>
  </si>
  <si>
    <t>-488.069633661385 -10.5212301600493 807.362279931928</t>
  </si>
  <si>
    <t>-491.568428961158 -268.810626218271 307.712325742561</t>
  </si>
  <si>
    <t>-516.248646735291 -270.160532853795 754.608332060626</t>
  </si>
  <si>
    <t>-403.785153586272 -354.575540825115 827.501205719108</t>
  </si>
  <si>
    <t>9763-20170724T104933.514631100.bin</t>
  </si>
  <si>
    <t>-595.649863686726 -67.4953963622952 299.448504757267</t>
  </si>
  <si>
    <t>-631.850223295189 -32.2914455691612 744.98672575811</t>
  </si>
  <si>
    <t>-487.878453196523 -10.5355807325598 807.32523665277</t>
  </si>
  <si>
    <t>-490.968361671322 -268.492354655309 307.736187181373</t>
  </si>
  <si>
    <t>-516.320892466019 -269.712996739597 754.543743101034</t>
  </si>
  <si>
    <t>-404.02671074255 -354.327778935802 827.465971840938</t>
  </si>
  <si>
    <t>9763-20170724T104933.557243800.bin</t>
  </si>
  <si>
    <t>-595.202194759114 -67.2825055913133 299.44434268966</t>
  </si>
  <si>
    <t>-631.786188953073 -32.2945300874496 744.983586090051</t>
  </si>
  <si>
    <t>-487.766474904006 -10.8385944714728 807.315399523096</t>
  </si>
  <si>
    <t>-490.731487549926 -268.184333851172 307.72564453457</t>
  </si>
  <si>
    <t>-516.380987719697 -269.551469079112 754.521350387911</t>
  </si>
  <si>
    <t>-404.385764774208 -354.540680304807 827.467728830263</t>
  </si>
  <si>
    <t>9763-20170724T104933.609879700.bin</t>
  </si>
  <si>
    <t>-594.271820853076 -67.1430653660498 299.469519654425</t>
  </si>
  <si>
    <t>-631.56631152657 -32.4625148498155 744.971626860605</t>
  </si>
  <si>
    <t>-487.540969293036 -11.0211174050419 807.29532076625</t>
  </si>
  <si>
    <t>-489.914637646463 -268.175197468153 307.68215590466</t>
  </si>
  <si>
    <t>-516.603661283986 -269.479903697886 754.472226928547</t>
  </si>
  <si>
    <t>-404.300039731823 -354.063165800775 827.416641398583</t>
  </si>
  <si>
    <t>9763-20170724T104933.647486700.bin</t>
  </si>
  <si>
    <t>-593.764122999584 -67.1004908967045 299.498024204368</t>
  </si>
  <si>
    <t>-631.419375514758 -32.6275807420818 744.968781093179</t>
  </si>
  <si>
    <t>-487.422912141885 -10.9723734977617 807.285637633901</t>
  </si>
  <si>
    <t>-489.371255202086 -268.229987298535 307.675074985657</t>
  </si>
  <si>
    <t>-516.677107389725 -269.373919235747 754.43891163719</t>
  </si>
  <si>
    <t>-404.429687866278 -354.02001138215 827.396800620725</t>
  </si>
  <si>
    <t>9763-20170724T104933.713155300.bin</t>
  </si>
  <si>
    <t>-592.953269244472 -66.9795291681173 299.578594871975</t>
  </si>
  <si>
    <t>-631.224168731532 -32.7576759496133 744.989885316257</t>
  </si>
  <si>
    <t>-487.239768130286 -10.9873448220499 807.294146987172</t>
  </si>
  <si>
    <t>-488.540750079858 -268.163139532499 307.690485472914</t>
  </si>
  <si>
    <t>-516.776526182242 -269.055926785457 754.384245859812</t>
  </si>
  <si>
    <t>-405.023578778534 -354.312083586302 827.390624770675</t>
  </si>
  <si>
    <t>9763-20170724T104933.745748100.bin</t>
  </si>
  <si>
    <t>-592.615703892563 -66.9552704340072 299.62687023778</t>
  </si>
  <si>
    <t>-631.142440698624 -32.7928702811409 745.00810205292</t>
  </si>
  <si>
    <t>-487.142142039184 -11.1244447087809 807.311069599503</t>
  </si>
  <si>
    <t>-488.37059155284 -268.214152867655 307.706494766595</t>
  </si>
  <si>
    <t>-516.924912926031 -269.127685913698 754.374802747606</t>
  </si>
  <si>
    <t>-404.812125468174 -353.92817754542 827.360259965712</t>
  </si>
  <si>
    <t>9763-20170724T104933.814424500.bin</t>
  </si>
  <si>
    <t>-592.048169865367 -67.0705299556578 299.703626970428</t>
  </si>
  <si>
    <t>-630.887834127815 -33.0615221836449 745.045419276195</t>
  </si>
  <si>
    <t>-486.935099215962 -11.0420733328967 807.33581723217</t>
  </si>
  <si>
    <t>-487.969798273982 -268.226968415544 307.713818070815</t>
  </si>
  <si>
    <t>-517.085602067876 -268.955240420145 754.350702532699</t>
  </si>
  <si>
    <t>-405.179362458136 -354.0154950727 827.351188425353</t>
  </si>
  <si>
    <t>9763-20170724T104933.846008500.bin</t>
  </si>
  <si>
    <t>-591.763094557742 -67.1405084440412 299.752799206363</t>
  </si>
  <si>
    <t>-630.792769409233 -33.1356830882619 745.074292837508</t>
  </si>
  <si>
    <t>-486.839299938988 -11.1018986909994 807.357679199672</t>
  </si>
  <si>
    <t>-487.761125615423 -268.252547756142 307.715581478841</t>
  </si>
  <si>
    <t>-517.117007420578 -268.745593132002 754.339541999202</t>
  </si>
  <si>
    <t>-405.386772020671 -354.031939377288 827.345613070121</t>
  </si>
  <si>
    <t>9763-20170724T104933.912691900.bin</t>
  </si>
  <si>
    <t>-591.275821433793 -67.3491196795349 299.845757860766</t>
  </si>
  <si>
    <t>-630.597963338911 -33.3481960660156 745.139995559693</t>
  </si>
  <si>
    <t>-486.62956066215 -11.3161198229307 807.389565452822</t>
  </si>
  <si>
    <t>-487.538205319297 -268.678938609093 307.747769073033</t>
  </si>
  <si>
    <t>-517.428046685113 -268.964710880777 754.344175328943</t>
  </si>
  <si>
    <t>-405.182863402414 -353.602542110061 827.31515353195</t>
  </si>
  <si>
    <t>9763-20170724T104933.944781500.bin</t>
  </si>
  <si>
    <t>-590.999178139662 -67.4019959866541 299.888087266434</t>
  </si>
  <si>
    <t>-630.538043538591 -33.3819528348558 745.166392286694</t>
  </si>
  <si>
    <t>-486.551655916445 -11.4024041610705 807.39282891073</t>
  </si>
  <si>
    <t>-487.427365402703 -268.708808496908 307.766923302902</t>
  </si>
  <si>
    <t>-517.446286366308 -268.75302975558 754.3389425236</t>
  </si>
  <si>
    <t>-405.423322959227 -353.671945082287 827.324732703931</t>
  </si>
  <si>
    <t>9763-20170724T104934.013969600.bin</t>
  </si>
  <si>
    <t>-590.452115667533 -67.4833513507663 299.958194958673</t>
  </si>
  <si>
    <t>-630.4051655993 -33.5076457490479 745.208802860638</t>
  </si>
  <si>
    <t>-486.381742020486 -11.5849523306836 807.369618946055</t>
  </si>
  <si>
    <t>-487.370830478383 -268.863713456559 307.815891331702</t>
  </si>
  <si>
    <t>-517.582268602318 -268.546962400445 754.350751819655</t>
  </si>
  <si>
    <t>-405.451929976535 -353.337296273694 827.321400040211</t>
  </si>
  <si>
    <t>9763-20170724T104934.044050700.bin</t>
  </si>
  <si>
    <t>-590.134477436001 -67.4875154645231 299.980553002884</t>
  </si>
  <si>
    <t>-630.362714465718 -33.5108943926052 745.214431872294</t>
  </si>
  <si>
    <t>-486.295071283009 -11.822357244391 807.354738492249</t>
  </si>
  <si>
    <t>-487.224510380564 -268.914701543475 307.848127808868</t>
  </si>
  <si>
    <t>-517.695203326448 -268.562781009092 754.362468529871</t>
  </si>
  <si>
    <t>-405.725203277265 -353.558841540932 827.339816549814</t>
  </si>
  <si>
    <t>9763-20170724T104934.109735500.bin</t>
  </si>
  <si>
    <t>-589.36281295191 -67.7998527959564 300.03684411334</t>
  </si>
  <si>
    <t>-630.215316722733 -33.7008352401699 745.227854593341</t>
  </si>
  <si>
    <t>-486.144385027116 -11.7765585831962 807.277860383916</t>
  </si>
  <si>
    <t>-486.999940117188 -269.307566927471 307.886953459713</t>
  </si>
  <si>
    <t>-517.938848919416 -268.645459147149 754.379644067309</t>
  </si>
  <si>
    <t>-405.904091738954 -353.561426098306 827.350828698342</t>
  </si>
  <si>
    <t>9763-20170724T104934.149350600.bin</t>
  </si>
  <si>
    <t>-589.01964458846 -67.8849568027438 300.069816123229</t>
  </si>
  <si>
    <t>-630.154804695767 -33.7642846840695 745.221523670577</t>
  </si>
  <si>
    <t>-486.057106699373 -11.9116065971571 807.234336082568</t>
  </si>
  <si>
    <t>-486.924231310869 -269.334611766622 307.885273683401</t>
  </si>
  <si>
    <t>-517.880608630473 -268.271658215652 754.363550637344</t>
  </si>
  <si>
    <t>-406.205857410519 -353.639485441679 827.359462487809</t>
  </si>
  <si>
    <t>9763-20170724T104934.209516000.bin</t>
  </si>
  <si>
    <t>-588.47389399188 -68.1524824415496 300.140115961142</t>
  </si>
  <si>
    <t>-629.953040520487 -34.0369076645675 745.216592883025</t>
  </si>
  <si>
    <t>-485.890072622905 -11.7500410599405 807.155832242758</t>
  </si>
  <si>
    <t>-487.015149473157 -269.622980119654 307.872092605297</t>
  </si>
  <si>
    <t>-518.048213993756 -268.194991568228 754.361205070976</t>
  </si>
  <si>
    <t>-406.307036706492 -353.484741992702 827.346267202305</t>
  </si>
  <si>
    <t>9763-20170724T104934.245115900.bin</t>
  </si>
  <si>
    <t>-588.242012905833 -68.1185922901227 300.166252120289</t>
  </si>
  <si>
    <t>-629.928190349503 -34.0181758032541 745.216443264021</t>
  </si>
  <si>
    <t>-485.800989819759 -12.0829457568516 807.13154201964</t>
  </si>
  <si>
    <t>-486.99702165177 -269.599216816349 307.860921295146</t>
  </si>
  <si>
    <t>-518.059889252577 -268.010037276286 754.354249542811</t>
  </si>
  <si>
    <t>-406.636566014559 -353.698096205862 827.358920060665</t>
  </si>
  <si>
    <t>9763-20170724T104934.315804700.bin</t>
  </si>
  <si>
    <t>-588.009004385276 -68.2020496259372 300.20028411328</t>
  </si>
  <si>
    <t>-629.821018128956 -34.0566665296969 745.208155164963</t>
  </si>
  <si>
    <t>-485.683735659123 -12.0581881349601 807.077494564789</t>
  </si>
  <si>
    <t>-486.905204393392 -269.743216674524 307.860373058657</t>
  </si>
  <si>
    <t>-518.199568375163 -267.940647863052 754.349998550942</t>
  </si>
  <si>
    <t>-406.753191993863 -353.59474664871 827.359382185784</t>
  </si>
  <si>
    <t>9763-20170724T104934.347399500.bin</t>
  </si>
  <si>
    <t>-588.061756867696 -68.2344243886266 300.226804171784</t>
  </si>
  <si>
    <t>-629.708994799509 -34.1857471872629 745.212439544884</t>
  </si>
  <si>
    <t>-485.576467227092 -12.124019642273 807.070573094318</t>
  </si>
  <si>
    <t>-486.865021129477 -269.779066585147 307.850680544287</t>
  </si>
  <si>
    <t>-518.253330902437 -267.870081889174 754.345381774293</t>
  </si>
  <si>
    <t>-406.943092487234 -353.696100835419 827.360409011926</t>
  </si>
  <si>
    <t>9763-20170724T104934.416092600.bin</t>
  </si>
  <si>
    <t>-588.372775072495 -68.2100345691051 300.231761629295</t>
  </si>
  <si>
    <t>-629.611583028015 -34.1580972577024 745.230139531846</t>
  </si>
  <si>
    <t>-485.437246619915 -12.3799518071169 807.091119601144</t>
  </si>
  <si>
    <t>-486.947664894834 -269.979709284863 307.848691960687</t>
  </si>
  <si>
    <t>-518.506138223419 -268.072399207876 754.348058924607</t>
  </si>
  <si>
    <t>-406.663485617224 -353.23729498879 827.323715203595</t>
  </si>
  <si>
    <t>9763-20170724T104934.450679700.bin</t>
  </si>
  <si>
    <t>-588.438610362095 -68.2242228727105 300.229582289571</t>
  </si>
  <si>
    <t>-629.514173973339 -34.2365160786419 745.242426120082</t>
  </si>
  <si>
    <t>-485.355366804845 -12.3545953790758 807.102660157254</t>
  </si>
  <si>
    <t>-486.947873511224 -269.982984392826 307.844930496366</t>
  </si>
  <si>
    <t>-518.616199742052 -268.129403649675 754.350005096205</t>
  </si>
  <si>
    <t>-406.827371802384 -353.369043266108 827.321003122308</t>
  </si>
  <si>
    <t>9763-20170724T104934.513914900.bin</t>
  </si>
  <si>
    <t>-588.272811383887 -68.0909816466967 300.23550334181</t>
  </si>
  <si>
    <t>-629.376069631361 -34.2727356918374 745.268533541406</t>
  </si>
  <si>
    <t>-485.208183822647 -12.4706874668527 807.135997636074</t>
  </si>
  <si>
    <t>-486.753112686159 -269.828313505555 307.821459100308</t>
  </si>
  <si>
    <t>-518.672866261803 -267.892541434511 754.330334557555</t>
  </si>
  <si>
    <t>-407.163739755647 -353.484109086294 827.31712203543</t>
  </si>
  <si>
    <t>9763-20170724T104934.541991000.bin</t>
  </si>
  <si>
    <t>-588.040498353078 -68.1289325136811 300.257269147574</t>
  </si>
  <si>
    <t>-629.23109409256 -34.4576512328399 745.286186925692</t>
  </si>
  <si>
    <t>-485.122657266663 -12.2372906512708 807.143412580714</t>
  </si>
  <si>
    <t>-486.60492543748 -269.8192542454 307.808790134925</t>
  </si>
  <si>
    <t>-518.726033025272 -267.849872779561 754.317741317882</t>
  </si>
  <si>
    <t>-407.16832380829 -353.375539654228 827.307680831692</t>
  </si>
  <si>
    <t>9763-20170724T104934.611061300.bin</t>
  </si>
  <si>
    <t>-587.819013747326 -67.9629788694845 300.303270319814</t>
  </si>
  <si>
    <t>-629.161743066487 -34.3723889750856 745.314632920337</t>
  </si>
  <si>
    <t>-484.968473310299 -12.7267835966964 807.178187007135</t>
  </si>
  <si>
    <t>-486.486623651744 -269.703230557363 307.813981008275</t>
  </si>
  <si>
    <t>-518.855419673466 -267.817812538873 754.297112242074</t>
  </si>
  <si>
    <t>-407.181767721237 -353.18953469265 827.290232875968</t>
  </si>
  <si>
    <t>9763-20170724T104934.645160100.bin</t>
  </si>
  <si>
    <t>-587.718707547773 -67.9529302102842 300.325178105928</t>
  </si>
  <si>
    <t>-629.052360819255 -34.4879969680039 745.339184214481</t>
  </si>
  <si>
    <t>-484.911921191325 -12.4530913868311 807.188246131389</t>
  </si>
  <si>
    <t>-486.469635272716 -269.619427733466 307.7995510985</t>
  </si>
  <si>
    <t>-518.878582605248 -267.708947002261 754.279777502474</t>
  </si>
  <si>
    <t>-407.363322354741 -353.270206387723 827.292794159237</t>
  </si>
  <si>
    <t>9763-20170724T104934.713902200.bin</t>
  </si>
  <si>
    <t>-587.636796495827 -67.8220471321386 300.371169959641</t>
  </si>
  <si>
    <t>-628.939472168856 -34.5141631591473 745.392860617599</t>
  </si>
  <si>
    <t>-484.799318529699 -12.4224649122757 807.222154010791</t>
  </si>
  <si>
    <t>-486.573204715409 -269.567299675394 307.794933184642</t>
  </si>
  <si>
    <t>-519.069629404216 -267.821382929882 754.281989272044</t>
  </si>
  <si>
    <t>-407.499211621056 -353.311302622559 827.294630192584</t>
  </si>
  <si>
    <t>9763-20170724T104934.743984700.bin</t>
  </si>
  <si>
    <t>-587.714150162062 -67.6589609540795 300.39084566382</t>
  </si>
  <si>
    <t>-628.936513136159 -34.4048576151401 745.414945061658</t>
  </si>
  <si>
    <t>-484.741748896989 -12.6908322014253 807.250797874556</t>
  </si>
  <si>
    <t>-486.67921049356 -269.4840069692 307.790006148033</t>
  </si>
  <si>
    <t>-519.138239589489 -267.819676913299 754.280832326086</t>
  </si>
  <si>
    <t>-407.633499773411 -353.39054898426 827.298532874119</t>
  </si>
  <si>
    <t>9763-20170724T104934.814172100.bin</t>
  </si>
  <si>
    <t>-587.927291479354 -67.4500687781258 300.437179048187</t>
  </si>
  <si>
    <t>-628.856188575209 -34.3481215614258 745.48099980014</t>
  </si>
  <si>
    <t>-484.639094032605 -12.7981967306498 807.322201291841</t>
  </si>
  <si>
    <t>-486.842428007445 -269.320870901128 307.766252089623</t>
  </si>
  <si>
    <t>-519.169110526594 -267.570602381077 754.272676773064</t>
  </si>
  <si>
    <t>-407.761323416842 -353.257631723269 827.302274531922</t>
  </si>
  <si>
    <t>9763-20170724T104934.843261900.bin</t>
  </si>
  <si>
    <t>-587.991299912361 -67.3943581969161 300.465851856984</t>
  </si>
  <si>
    <t>-628.791766150057 -34.3674351042503 745.517798908006</t>
  </si>
  <si>
    <t>-484.580592611956 -12.7818987296321 807.360361563364</t>
  </si>
  <si>
    <t>-486.904232926072 -269.219525759702 307.75811805402</t>
  </si>
  <si>
    <t>-519.193821916886 -267.458377111132 754.268998411741</t>
  </si>
  <si>
    <t>-407.900476683328 -353.289191293051 827.304247623292</t>
  </si>
  <si>
    <t>9763-20170724T104934.910453200.bin</t>
  </si>
  <si>
    <t>-588.065025476332 -67.4208894457652 300.516298715251</t>
  </si>
  <si>
    <t>-628.6830169 -34.3953995634738 745.593274644215</t>
  </si>
  <si>
    <t>-484.480775369883 -12.7393576804413 807.432122041665</t>
  </si>
  <si>
    <t>-487.173698121182 -269.310334967274 307.769200873992</t>
  </si>
  <si>
    <t>-519.43512459204 -267.68557819145 754.287802761009</t>
  </si>
  <si>
    <t>-407.626807585433 -352.877927300164 827.284154451172</t>
  </si>
  <si>
    <t>9763-20170724T104934.946556600.bin</t>
  </si>
  <si>
    <t>-588.025451023273 -67.3403174586979 300.542150242729</t>
  </si>
  <si>
    <t>-628.655464299545 -34.3539897001747 745.628237873514</t>
  </si>
  <si>
    <t>-484.416121238112 -12.9443481704773 807.46596224114</t>
  </si>
  <si>
    <t>-487.186902235562 -269.206344590395 307.771338873905</t>
  </si>
  <si>
    <t>-519.44925170318 -267.566276322245 754.285544338191</t>
  </si>
  <si>
    <t>-407.93578678883 -353.124404897954 827.305328352798</t>
  </si>
  <si>
    <t>9763-20170724T104935.012709000.bin</t>
  </si>
  <si>
    <t>-587.87660853994 -67.2853045377844 300.595230736083</t>
  </si>
  <si>
    <t>-628.579059558933 -34.3038231770729 745.673475525446</t>
  </si>
  <si>
    <t>-484.316574663899 -13.0471193778021 807.510470827216</t>
  </si>
  <si>
    <t>-487.171612159843 -269.172809946757 307.787824395305</t>
  </si>
  <si>
    <t>-519.562832251167 -267.51742072634 754.294734962101</t>
  </si>
  <si>
    <t>-408.052507698105 -353.079783811298 827.314199448943</t>
  </si>
  <si>
    <t>9763-20170724T104935.047334900.bin</t>
  </si>
  <si>
    <t>-587.809338801872 -67.347583326741 300.589207828049</t>
  </si>
  <si>
    <t>-628.475728255675 -34.372072731084 745.662489589955</t>
  </si>
  <si>
    <t>-484.25458313454 -12.8731434699471 807.511659512649</t>
  </si>
  <si>
    <t>-487.192592158722 -269.196912612071 307.802952358691</t>
  </si>
  <si>
    <t>-519.679688865294 -267.639857579683 754.306816603219</t>
  </si>
  <si>
    <t>-407.941536055523 -352.916394091984 827.312487996895</t>
  </si>
  <si>
    <t>9763-20170724T104935.112978500.bin</t>
  </si>
  <si>
    <t>-587.770004514617 -67.3525373327898 300.553315970183</t>
  </si>
  <si>
    <t>-628.321395156117 -34.3904053912954 745.618377651716</t>
  </si>
  <si>
    <t>-484.143157185327 -12.7414989404381 807.515300404077</t>
  </si>
  <si>
    <t>-487.061415478377 -269.033824538557 307.808193851445</t>
  </si>
  <si>
    <t>-519.694495110306 -267.386150882209 754.302583694754</t>
  </si>
  <si>
    <t>-408.252513249017 -353.02804572993 827.333233298991</t>
  </si>
  <si>
    <t>9763-20170724T104935.148073800.bin</t>
  </si>
  <si>
    <t>-587.785709614013 -67.376778416799 300.538511882405</t>
  </si>
  <si>
    <t>-628.23240444093 -34.4566978460282 745.617092621284</t>
  </si>
  <si>
    <t>-484.093111952317 -12.5707236306887 807.521512995591</t>
  </si>
  <si>
    <t>-487.006053446316 -268.943266594565 307.808935891894</t>
  </si>
  <si>
    <t>-519.719563486962 -267.301984808453 754.303680590494</t>
  </si>
  <si>
    <t>-408.426055485472 -353.127619789769 827.344786464683</t>
  </si>
  <si>
    <t>9763-20170724T104935.212278700.bin</t>
  </si>
  <si>
    <t>-588.058219222072 -67.4795020217514 300.511932507434</t>
  </si>
  <si>
    <t>-628.141126749932 -34.4396431493908 745.611279912478</t>
  </si>
  <si>
    <t>-484.008514221236 -12.5844170820269 807.542078921543</t>
  </si>
  <si>
    <t>-487.151502232503 -269.06279284512 307.831170237662</t>
  </si>
  <si>
    <t>-519.901007382802 -267.428948413209 754.325636084321</t>
  </si>
  <si>
    <t>-408.307035612493 -352.890262637759 827.33543456377</t>
  </si>
  <si>
    <t>9763-20170724T104935.245840500.bin</t>
  </si>
  <si>
    <t>-588.218151445491 -67.6116621615749 300.486719803742</t>
  </si>
  <si>
    <t>-628.059997504973 -34.4917923836883 745.59593457139</t>
  </si>
  <si>
    <t>-483.954422246069 -12.5368459374472 807.554739230608</t>
  </si>
  <si>
    <t>-487.322617733074 -269.178761805097 307.840102676899</t>
  </si>
  <si>
    <t>-520.048745885332 -267.621306748382 754.342168471143</t>
  </si>
  <si>
    <t>-407.940950507376 -352.443188839989 827.310606045178</t>
  </si>
  <si>
    <t>9763-20170724T104935.312528200.bin</t>
  </si>
  <si>
    <t>-588.618746635381 -67.8655353126362 300.401289584853</t>
  </si>
  <si>
    <t>-627.858842463532 -34.6520006730627 745.55775839705</t>
  </si>
  <si>
    <t>-483.782908610735 -12.7074026084392 807.588731772155</t>
  </si>
  <si>
    <t>-487.606205068697 -269.120973740211 307.812435564327</t>
  </si>
  <si>
    <t>-520.13379170224 -267.508163133348 754.356482385084</t>
  </si>
  <si>
    <t>-408.224105391492 -352.596204814141 827.31924529977</t>
  </si>
  <si>
    <t>9763-20170724T104935.379710900.bin</t>
  </si>
  <si>
    <t>-589.305898651957 -67.905996151889 300.321456684083</t>
  </si>
  <si>
    <t>-627.756087350854 -34.6085056416332 745.5204149726</t>
  </si>
  <si>
    <t>-483.713140935898 -12.6037030998395 807.606472805698</t>
  </si>
  <si>
    <t>-487.947823084916 -269.259746066004 307.802163330738</t>
  </si>
  <si>
    <t>-520.339601228656 -267.672781788194 754.388318291745</t>
  </si>
  <si>
    <t>-408.315116578763 -352.643741774474 827.311230368713</t>
  </si>
  <si>
    <t>9763-20170724T104935.413801300.bin</t>
  </si>
  <si>
    <t>-589.666439674329 -67.9710550886109 300.294101519522</t>
  </si>
  <si>
    <t>-627.722205359859 -34.5664367892152 745.513843718198</t>
  </si>
  <si>
    <t>-483.70320256718 -12.4575675437934 807.618876864107</t>
  </si>
  <si>
    <t>-488.187866428741 -269.334079718725 307.792694522252</t>
  </si>
  <si>
    <t>-520.363963379024 -267.582606484285 754.396185228712</t>
  </si>
  <si>
    <t>-408.291069621548 -352.503718430681 827.302747034218</t>
  </si>
  <si>
    <t>9763-20170724T104935.449411400.bin</t>
  </si>
  <si>
    <t>-590.040617447113 -68.1257943799485 300.289327681086</t>
  </si>
  <si>
    <t>-627.608251425414 -34.7117891979958 745.522528027203</t>
  </si>
  <si>
    <t>-483.631068449296 -12.3666585900428 807.639791256228</t>
  </si>
  <si>
    <t>-488.444181448159 -269.534403682392 307.779416937262</t>
  </si>
  <si>
    <t>-520.48719384813 -267.746259691638 754.412481572349</t>
  </si>
  <si>
    <t>-408.093316045708 -352.268966667892 827.287779056155</t>
  </si>
  <si>
    <t>9763-20170724T104935.516090600.bin</t>
  </si>
  <si>
    <t>-590.794080497824 -68.2040895237744 300.334550086593</t>
  </si>
  <si>
    <t>-627.61487540374 -34.586611686178 745.608246784771</t>
  </si>
  <si>
    <t>-483.585725296585 -12.6033777706307 807.733727752835</t>
  </si>
  <si>
    <t>-488.860336586686 -269.681482301696 307.77928286003</t>
  </si>
  <si>
    <t>-520.6426901783 -267.839805287398 754.4411374502</t>
  </si>
  <si>
    <t>-408.070104816887 -352.15570676064 827.280404003601</t>
  </si>
  <si>
    <t>9763-20170724T104935.547178000.bin</t>
  </si>
  <si>
    <t>-591.083293405577 -68.1756684030938 300.355752562255</t>
  </si>
  <si>
    <t>-627.563058387868 -34.6665447922489 745.661589771655</t>
  </si>
  <si>
    <t>-483.548775215912 -12.5431666011302 807.77256942251</t>
  </si>
  <si>
    <t>-489.003083549518 -269.517291604033 307.783439245746</t>
  </si>
  <si>
    <t>-520.578537219643 -267.558629972365 754.43885854913</t>
  </si>
  <si>
    <t>-408.583533556964 -352.609962515777 827.313446749602</t>
  </si>
  <si>
    <t>9763-20170724T104935.612353000.bin</t>
  </si>
  <si>
    <t>-591.608769656513 -68.0264310167418 300.394479389191</t>
  </si>
  <si>
    <t>-627.572833496511 -34.5655957040321 745.756150426527</t>
  </si>
  <si>
    <t>-483.523119154104 -12.6328688571512 807.852230525084</t>
  </si>
  <si>
    <t>-489.302096977861 -269.49798384541 307.790239461204</t>
  </si>
  <si>
    <t>-520.701454460908 -267.575297605132 754.463369096399</t>
  </si>
  <si>
    <t>-408.375344479365 -352.219994680829 827.301623377576</t>
  </si>
  <si>
    <t>9763-20170724T104935.645950400.bin</t>
  </si>
  <si>
    <t>-591.602955562736 -68.1347091804619 300.401195879806</t>
  </si>
  <si>
    <t>-627.468596822061 -34.7201781065107 745.781718426244</t>
  </si>
  <si>
    <t>-483.463110907566 -12.4930348735961 807.876249690915</t>
  </si>
  <si>
    <t>-489.373117620477 -269.468450241605 307.792427752169</t>
  </si>
  <si>
    <t>-520.730867048739 -267.508979456061 754.473354179359</t>
  </si>
  <si>
    <t>-408.541720983786 -352.332834248 827.31441071614</t>
  </si>
  <si>
    <t>9763-20170724T104935.713632800.bin</t>
  </si>
  <si>
    <t>-591.442534030133 -68.316908155057 300.413478160192</t>
  </si>
  <si>
    <t>-627.404852868747 -34.7527902064219 745.801332892413</t>
  </si>
  <si>
    <t>-483.397605857164 -12.5632495503078 807.904929628475</t>
  </si>
  <si>
    <t>-489.382681034826 -269.48284702408 307.822620128692</t>
  </si>
  <si>
    <t>-520.770683521244 -267.337060522433 754.487295000202</t>
  </si>
  <si>
    <t>-408.408833743331 -351.943614697079 827.314726883983</t>
  </si>
  <si>
    <t>9763-20170724T104935.749233000.bin</t>
  </si>
  <si>
    <t>-591.424124338199 -68.3537155337046 300.4186206756</t>
  </si>
  <si>
    <t>-627.384169183376 -34.7469278308911 745.80000122397</t>
  </si>
  <si>
    <t>-483.360808557986 -12.6869045832543 807.91197359407</t>
  </si>
  <si>
    <t>-489.345676848788 -269.487756231093 307.841484665324</t>
  </si>
  <si>
    <t>-520.812108523936 -267.303849182401 754.499118942779</t>
  </si>
  <si>
    <t>-408.558303497394 -352.04913076897 827.33195455707</t>
  </si>
  <si>
    <t>9763-20170724T104935.810429000.bin</t>
  </si>
  <si>
    <t>-591.520142150971 -68.4332411109174 300.420557189003</t>
  </si>
  <si>
    <t>-627.325437897677 -34.7890154545491 745.800679358893</t>
  </si>
  <si>
    <t>-483.29993584695 -12.7458595587871 807.914061574862</t>
  </si>
  <si>
    <t>-489.360654458723 -269.545880463254 307.864136667357</t>
  </si>
  <si>
    <t>-520.899482713827 -267.258692180853 754.514097197637</t>
  </si>
  <si>
    <t>-408.726701321451 -352.108924006384 827.349389879543</t>
  </si>
  <si>
    <t>9763-20170724T104935.845525400.bin</t>
  </si>
  <si>
    <t>-591.492964085239 -68.5975005557955 300.424472723617</t>
  </si>
  <si>
    <t>-627.206771600477 -35.013456188301 745.815780247151</t>
  </si>
  <si>
    <t>-483.225060545788 -12.6428171258372 807.913461910389</t>
  </si>
  <si>
    <t>-489.376289673407 -269.550228359269 307.876335261782</t>
  </si>
  <si>
    <t>-520.954830524621 -267.262256607047 754.525747605478</t>
  </si>
  <si>
    <t>-408.902291135555 -352.268134324479 827.364978977253</t>
  </si>
  <si>
    <t>9763-20170724T104935.910718700.bin</t>
  </si>
  <si>
    <t>-591.292666943586 -68.8393304797946 300.444575878003</t>
  </si>
  <si>
    <t>-627.184628766149 -35.0481324848547 745.827162440058</t>
  </si>
  <si>
    <t>-483.20841771207 -12.5612877347955 807.895487593825</t>
  </si>
  <si>
    <t>-489.35521066437 -269.629909277955 307.902835395892</t>
  </si>
  <si>
    <t>-520.948329426927 -267.008688980534 754.531662956447</t>
  </si>
  <si>
    <t>-408.795322606512 -351.888203321129 827.363544851361</t>
  </si>
  <si>
    <t>9763-20170724T104935.944809400.bin</t>
  </si>
  <si>
    <t>-591.163030176569 -68.9989807770294 300.459155018262</t>
  </si>
  <si>
    <t>-627.143194349361 -35.1348774669866 745.827755892002</t>
  </si>
  <si>
    <t>-483.173204124139 -12.5624455635277 807.879627487994</t>
  </si>
  <si>
    <t>-489.352761342247 -269.727155287124 307.918930271133</t>
  </si>
  <si>
    <t>-521.025968091252 -267.066903700368 754.545388214628</t>
  </si>
  <si>
    <t>-408.788963753688 -351.841914970666 827.36949870799</t>
  </si>
  <si>
    <t>9763-20170724T104936.009002600.bin</t>
  </si>
  <si>
    <t>-591.158145376097 -69.1773367633521 300.467003829179</t>
  </si>
  <si>
    <t>-627.186261210682 -35.0498665627465 745.81632660066</t>
  </si>
  <si>
    <t>-483.138662221125 -12.9307309569449 807.851283725938</t>
  </si>
  <si>
    <t>-489.427768748179 -269.919059206879 307.958491839976</t>
  </si>
  <si>
    <t>-521.173197568708 -267.164616535495 754.573223144894</t>
  </si>
  <si>
    <t>-408.75887924914 -351.726314221708 827.371789832724</t>
  </si>
  <si>
    <t>9763-20170724T104936.049616700.bin</t>
  </si>
  <si>
    <t>-591.169385170573 -69.3565285032707 300.45723148333</t>
  </si>
  <si>
    <t>-627.117359665858 -35.1949275010049 745.805211606256</t>
  </si>
  <si>
    <t>-483.083839788924 -12.9434717102881 807.825208528889</t>
  </si>
  <si>
    <t>-489.469106066905 -270.030762888236 307.971765698077</t>
  </si>
  <si>
    <t>-521.20313845595 -267.109861799195 754.580355175202</t>
  </si>
  <si>
    <t>-408.724178838854 -351.593498735759 827.369866436153</t>
  </si>
  <si>
    <t>9763-20170724T104936.112300100.bin</t>
  </si>
  <si>
    <t>-591.262976124437 -69.641498410125 300.44186157476</t>
  </si>
  <si>
    <t>-627.082620337348 -35.2772362126086 745.782357374678</t>
  </si>
  <si>
    <t>-483.032074166517 -13.0872502794791 807.785177159726</t>
  </si>
  <si>
    <t>-489.404209899304 -270.056476366619 307.978861740684</t>
  </si>
  <si>
    <t>-521.159177066225 -266.763419360801 754.587993899359</t>
  </si>
  <si>
    <t>-409.067290140859 -351.746277269996 827.393252124649</t>
  </si>
  <si>
    <t>9763-20170724T104936.145386500.bin</t>
  </si>
  <si>
    <t>-591.270340908729 -69.8271233515304 300.435409766383</t>
  </si>
  <si>
    <t>-627.048329922489 -35.3344485900479 745.773186095313</t>
  </si>
  <si>
    <t>-483.007488871338 -13.062428969668 807.769199314824</t>
  </si>
  <si>
    <t>-489.371301388975 -270.177401634974 307.986162040525</t>
  </si>
  <si>
    <t>-521.300545036486 -266.969734110385 754.602330585162</t>
  </si>
  <si>
    <t>-409.1306924013 -351.859296748532 827.396491257421</t>
  </si>
  <si>
    <t>9763-20170724T104936.211578100.bin</t>
  </si>
  <si>
    <t>-591.128676101094 -70.1995061133282 300.425988223027</t>
  </si>
  <si>
    <t>-626.962874432494 -35.5115282734469 745.751820187829</t>
  </si>
  <si>
    <t>-482.922767849002 -13.1949167554988 807.733441284037</t>
  </si>
  <si>
    <t>-489.318160214476 -270.335591655223 307.997574872823</t>
  </si>
  <si>
    <t>-521.361551407174 -266.879899377024 754.59801580335</t>
  </si>
  <si>
    <t>-409.0052023025 -351.536818774642 827.37547315238</t>
  </si>
  <si>
    <t>9763-20170724T104936.245662400.bin</t>
  </si>
  <si>
    <t>-591.11017024971 -70.3602359715694 300.424011563368</t>
  </si>
  <si>
    <t>-626.952425757586 -35.5241152293477 745.73862024968</t>
  </si>
  <si>
    <t>-482.916456095363 -13.170860584728 807.716616285198</t>
  </si>
  <si>
    <t>-489.32182341582 -270.43870680323 307.996860160588</t>
  </si>
  <si>
    <t>-521.394095528193 -266.839265955729 754.595526492916</t>
  </si>
  <si>
    <t>-408.881912853638 -351.297966311624 827.362510667446</t>
  </si>
  <si>
    <t>9763-20170724T104936.313853700.bin</t>
  </si>
  <si>
    <t>-591.084292033905 -70.5811020298001 300.439861989973</t>
  </si>
  <si>
    <t>-626.870367405274 -35.6642133816442 745.724014932396</t>
  </si>
  <si>
    <t>-482.843431014572 -13.2371846157366 807.696314191906</t>
  </si>
  <si>
    <t>-489.300632044536 -270.498600802291 307.976383395135</t>
  </si>
  <si>
    <t>-521.363374129464 -266.525060622733 754.58338440208</t>
  </si>
  <si>
    <t>-409.010656928931 -351.191775767433 827.355184645327</t>
  </si>
  <si>
    <t>9763-20170724T104936.349466200.bin</t>
  </si>
  <si>
    <t>-591.150031855787 -70.7604120875635 300.449529894922</t>
  </si>
  <si>
    <t>-626.826614376055 -35.748828654888 745.721313937892</t>
  </si>
  <si>
    <t>-482.819721498654 -13.174546428811 807.686526444543</t>
  </si>
  <si>
    <t>-489.434836546749 -270.797720944658 307.985015034045</t>
  </si>
  <si>
    <t>-521.558579452168 -266.882882362448 754.599818755383</t>
  </si>
  <si>
    <t>-408.701364029705 -350.907049030137 827.335786476362</t>
  </si>
  <si>
    <t>9763-20170724T104936.412968000.bin</t>
  </si>
  <si>
    <t>-591.281638548599 -70.950173154577 300.46328174834</t>
  </si>
  <si>
    <t>-626.763719783627 -35.8552063109912 745.733350913596</t>
  </si>
  <si>
    <t>-482.734032906321 -13.4280221184397 807.699135759132</t>
  </si>
  <si>
    <t>-489.511060797093 -270.825545102641 307.975773088071</t>
  </si>
  <si>
    <t>-521.583756825882 -266.73023299135 754.591687672136</t>
  </si>
  <si>
    <t>-409.012390247352 -351.1219952999 827.344811490957</t>
  </si>
  <si>
    <t>9763-20170724T104936.442050100.bin</t>
  </si>
  <si>
    <t>-591.296602108289 -71.0739774237952 300.472141828031</t>
  </si>
  <si>
    <t>-626.743704221801 -35.8936217566904 745.743821998097</t>
  </si>
  <si>
    <t>-482.73002630624 -13.3421868607907 807.70199375761</t>
  </si>
  <si>
    <t>-489.553873199415 -270.931921081619 307.972351790663</t>
  </si>
  <si>
    <t>-521.658335598343 -266.806967597968 754.594899270909</t>
  </si>
  <si>
    <t>-408.883969529092 -350.940581644787 827.332724462123</t>
  </si>
  <si>
    <t>9763-20170724T104936.514248500.bin</t>
  </si>
  <si>
    <t>-591.227298100502 -71.2517599196663 300.503750258806</t>
  </si>
  <si>
    <t>-626.650760725753 -36.0696481454315 745.760747428805</t>
  </si>
  <si>
    <t>-482.652552901089 -13.3940716160382 807.709338855066</t>
  </si>
  <si>
    <t>-489.597940931479 -270.994115187976 307.964352526976</t>
  </si>
  <si>
    <t>-521.729991410517 -266.765842217338 754.592374799444</t>
  </si>
  <si>
    <t>-409.091953653644 -351.076880788993 827.335824255527</t>
  </si>
  <si>
    <t>9763-20170724T104936.547835000.bin</t>
  </si>
  <si>
    <t>-591.246464170402 -71.2370611844315 300.521655227137</t>
  </si>
  <si>
    <t>-626.659278342963 -36.0455701754697 745.774859363202</t>
  </si>
  <si>
    <t>-482.628904433228 -13.5786445399656 807.724682833835</t>
  </si>
  <si>
    <t>-489.607354115762 -270.838269604676 307.951591144316</t>
  </si>
  <si>
    <t>-521.606591611784 -266.361352763735 754.577966971045</t>
  </si>
  <si>
    <t>-409.263835911718 -351.048923838709 827.340603668983</t>
  </si>
  <si>
    <t>9763-20170724T104936.611057800.bin</t>
  </si>
  <si>
    <t>-591.339707372574 -71.3012617329646 300.572542949792</t>
  </si>
  <si>
    <t>-626.592018971994 -36.1543268453781 745.822891159522</t>
  </si>
  <si>
    <t>-482.577807498159 -13.5675159905702 807.766442925909</t>
  </si>
  <si>
    <t>-489.769745187191 -270.811871688333 307.930291019856</t>
  </si>
  <si>
    <t>-521.668178694369 -266.310347620815 754.578698192911</t>
  </si>
  <si>
    <t>-409.338177201717 -351.014797185584 827.341495781238</t>
  </si>
  <si>
    <t>9763-20170724T104936.647151700.bin</t>
  </si>
  <si>
    <t>-591.369906405985 -71.3431197092657 300.608708567809</t>
  </si>
  <si>
    <t>-626.594745836117 -36.1409456729236 745.848363640281</t>
  </si>
  <si>
    <t>-482.564457222253 -13.6544476887916 807.791164140657</t>
  </si>
  <si>
    <t>-489.846676368558 -270.916505824023 307.93681643839</t>
  </si>
  <si>
    <t>-521.776405002649 -266.47685143456 754.582054456378</t>
  </si>
  <si>
    <t>-409.259211909674 -350.945366854244 827.329830993089</t>
  </si>
  <si>
    <t>9763-20170724T104936.714343300.bin</t>
  </si>
  <si>
    <t>-591.247908491019 -71.4051899912026 300.714763252756</t>
  </si>
  <si>
    <t>-626.567726203396 -36.1814973087844 745.92620831519</t>
  </si>
  <si>
    <t>-482.520366015063 -13.8025245976903 807.868471417269</t>
  </si>
  <si>
    <t>-489.821211251714 -270.984247803129 307.936358543668</t>
  </si>
  <si>
    <t>-521.84432519747 -266.429689432799 754.584994600408</t>
  </si>
  <si>
    <t>-409.260676187616 -350.823204995549 827.317323969724</t>
  </si>
  <si>
    <t>9763-20170724T104936.787563200.bin</t>
  </si>
  <si>
    <t>-590.972204733027 -71.5746376958302 300.816113495722</t>
  </si>
  <si>
    <t>-626.55099384612 -36.220351756527 746.014634238255</t>
  </si>
  <si>
    <t>-482.478120754662 -13.9733900376134 807.944952431065</t>
  </si>
  <si>
    <t>-489.704437479706 -271.099680767621 307.949818981568</t>
  </si>
  <si>
    <t>-521.910993625475 -266.413001115796 754.577959355728</t>
  </si>
  <si>
    <t>-409.137871036479 -350.560443805944 827.301757753571</t>
  </si>
  <si>
    <t>9763-20170724T104936.811628300.bin</t>
  </si>
  <si>
    <t>-590.781688454189 -71.7077222058754 300.849542890537</t>
  </si>
  <si>
    <t>-626.438986272339 -36.4452797711831 746.045466156318</t>
  </si>
  <si>
    <t>-482.445019172275 -13.6560251059072 807.962225514722</t>
  </si>
  <si>
    <t>-489.53964443288 -271.036473797325 307.958156870638</t>
  </si>
  <si>
    <t>-521.859282001785 -266.202351238676 754.567711103764</t>
  </si>
  <si>
    <t>-409.462862949004 -350.82728604567 827.320578706837</t>
  </si>
  <si>
    <t>9763-20170724T104936.843712200.bin</t>
  </si>
  <si>
    <t>-590.735657140336 -71.6091385008469 300.866787318178</t>
  </si>
  <si>
    <t>-626.495044969549 -36.3236554148668 746.067815377605</t>
  </si>
  <si>
    <t>-482.427807720201 -14.0198647442903 807.991183484407</t>
  </si>
  <si>
    <t>-489.459766344183 -271.015769036714 307.971721283204</t>
  </si>
  <si>
    <t>-521.869060929752 -266.134451237969 754.568731929572</t>
  </si>
  <si>
    <t>-409.453969993174 -350.734888187047 827.321110767123</t>
  </si>
  <si>
    <t>9763-20170724T104936.910744400.bin</t>
  </si>
  <si>
    <t>-590.722019085846 -71.6122297722079 300.857894644947</t>
  </si>
  <si>
    <t>-626.414340742668 -36.4731141762097 746.082320643455</t>
  </si>
  <si>
    <t>-482.3810532755 -13.9163913242273 807.992747177338</t>
  </si>
  <si>
    <t>-489.406537892687 -270.947825495063 308.007606121112</t>
  </si>
  <si>
    <t>-521.887301098257 -265.998943301524 754.578241172826</t>
  </si>
  <si>
    <t>-409.563422880918 -350.714728904132 827.337186302888</t>
  </si>
  <si>
    <t>9763-20170724T104936.942825200.bin</t>
  </si>
  <si>
    <t>-590.78966328782 -71.6133059802826 300.830900004974</t>
  </si>
  <si>
    <t>-626.367744848235 -36.5587039318318 746.068135435739</t>
  </si>
  <si>
    <t>-482.358079693811 -13.842731873588 807.975033951606</t>
  </si>
  <si>
    <t>-489.435169597821 -270.89333720435 308.01430182111</t>
  </si>
  <si>
    <t>-521.922579269786 -265.998573481602 754.58322955845</t>
  </si>
  <si>
    <t>-409.532892239164 -350.628854921697 827.340166534562</t>
  </si>
  <si>
    <t>9763-20170724T104937.013524900.bin</t>
  </si>
  <si>
    <t>-591.171897715916 -71.307014554943 300.768113162748</t>
  </si>
  <si>
    <t>-626.381473177534 -36.4951363269163 746.040443092094</t>
  </si>
  <si>
    <t>-482.314119533787 -14.1761819876388 807.957860528717</t>
  </si>
  <si>
    <t>-489.451547124005 -270.635386022526 307.993793014704</t>
  </si>
  <si>
    <t>-521.894147243471 -265.772652575616 754.583394990927</t>
  </si>
  <si>
    <t>-409.776583500404 -350.747958038616 827.358125973358</t>
  </si>
  <si>
    <t>9763-20170724T104937.046613800.bin</t>
  </si>
  <si>
    <t>-591.368807124612 -71.1874289776415 300.742506477434</t>
  </si>
  <si>
    <t>-626.39538526526 -36.4468583577404 746.035924845636</t>
  </si>
  <si>
    <t>-482.302120084502 -14.3029984171042 807.955859859594</t>
  </si>
  <si>
    <t>-489.516795268183 -270.613902375104 307.983391458088</t>
  </si>
  <si>
    <t>-521.967265381063 -265.862582365916 754.589611478478</t>
  </si>
  <si>
    <t>-409.779990465505 -350.750853579695 827.358647887739</t>
  </si>
  <si>
    <t>9763-20170724T104937.111293700.bin</t>
  </si>
  <si>
    <t>-591.661721320243 -71.1318417467567 300.712347738456</t>
  </si>
  <si>
    <t>-626.31745262545 -36.5884065450557 746.042453158291</t>
  </si>
  <si>
    <t>-482.267365493546 -14.1383173747388 807.952526664667</t>
  </si>
  <si>
    <t>-489.546081641405 -270.417251303584 307.96275311006</t>
  </si>
  <si>
    <t>-521.888537400089 -265.524530326043 754.571299970806</t>
  </si>
  <si>
    <t>-409.849688227408 -350.596072277534 827.354590034601</t>
  </si>
  <si>
    <t>9763-20170724T104937.145387600.bin</t>
  </si>
  <si>
    <t>-591.847745613135 -71.0563647016838 300.702221407041</t>
  </si>
  <si>
    <t>-626.347468348245 -36.5082807726542 746.043684105439</t>
  </si>
  <si>
    <t>-482.269639246218 -14.249853516387 807.958513305013</t>
  </si>
  <si>
    <t>-489.544442129879 -270.403350510699 307.956613957964</t>
  </si>
  <si>
    <t>-521.938568599007 -265.581647138861 754.569837829955</t>
  </si>
  <si>
    <t>-409.7532588671 -350.463098292129 827.349686810557</t>
  </si>
  <si>
    <t>9763-20170724T104937.216120800.bin</t>
  </si>
  <si>
    <t>-592.083259799946 -71.0589358021248 300.712163068561</t>
  </si>
  <si>
    <t>-626.26162207885 -36.6529987596875 746.061864850478</t>
  </si>
  <si>
    <t>-482.248117561349 -13.9596329359235 807.968549171865</t>
  </si>
  <si>
    <t>-489.384475557169 -270.520501587024 307.954067517299</t>
  </si>
  <si>
    <t>-522.008659286056 -265.615332874753 754.561746467711</t>
  </si>
  <si>
    <t>-409.773125632706 -350.428313366305 827.343791222421</t>
  </si>
  <si>
    <t>9763-20170724T104937.255745500.bin</t>
  </si>
  <si>
    <t>-592.235369143621 -70.9803552110311 300.719836161119</t>
  </si>
  <si>
    <t>-626.254308334738 -36.656892347245 746.07620571749</t>
  </si>
  <si>
    <t>-482.21111484156 -14.1675291399631 807.987838871958</t>
  </si>
  <si>
    <t>-489.300329819428 -270.525977304002 307.959630340306</t>
  </si>
  <si>
    <t>-522.013067838164 -265.564408961882 754.55431920075</t>
  </si>
  <si>
    <t>-409.78988323062 -350.391162629605 827.339308047255</t>
  </si>
  <si>
    <t>9763-20170724T104937.314402700.bin</t>
  </si>
  <si>
    <t>-592.317504036797 -70.82926066305 300.727997921797</t>
  </si>
  <si>
    <t>-626.284556611296 -36.5631649650891 746.110987471654</t>
  </si>
  <si>
    <t>-482.179314774238 -14.5163089216348 808.037222865431</t>
  </si>
  <si>
    <t>-489.202394229191 -270.49313991495 307.971595598389</t>
  </si>
  <si>
    <t>-522.072074944158 -265.584168984933 754.552984189309</t>
  </si>
  <si>
    <t>-409.887593137905 -350.459089527008 827.341766987786</t>
  </si>
  <si>
    <t>9763-20170724T104937.344498200.bin</t>
  </si>
  <si>
    <t>-592.192442184022 -70.8295030738029 300.742938491468</t>
  </si>
  <si>
    <t>-626.251743035646 -36.6373084147417 746.131879507299</t>
  </si>
  <si>
    <t>-482.146006611894 -14.5792196202135 808.053400062982</t>
  </si>
  <si>
    <t>-489.170952534864 -270.414939594377 307.975552231307</t>
  </si>
  <si>
    <t>-522.085255516095 -265.537655956445 754.553821257354</t>
  </si>
  <si>
    <t>-409.917573312678 -350.434319365745 827.343004052667</t>
  </si>
  <si>
    <t>9763-20170724T104937.411673900.bin</t>
  </si>
  <si>
    <t>-591.926615443438 -70.7591780814896 300.763150343908</t>
  </si>
  <si>
    <t>-626.202453514725 -36.7417662046546 746.146139545537</t>
  </si>
  <si>
    <t>-482.107451980323 -14.5866483872512 808.057936644933</t>
  </si>
  <si>
    <t>-489.112820402926 -270.364170734056 307.972220479992</t>
  </si>
  <si>
    <t>-522.096147127536 -265.440993767525 754.547978120784</t>
  </si>
  <si>
    <t>-410.117219586238 -350.571589793734 827.354505347107</t>
  </si>
  <si>
    <t>9763-20170724T104937.447769600.bin</t>
  </si>
  <si>
    <t>-591.836040195049 -70.7218982164848 300.767078202294</t>
  </si>
  <si>
    <t>-626.183735023613 -36.777633161216 746.146513793048</t>
  </si>
  <si>
    <t>-482.098027225408 -14.5491805351796 808.053525482952</t>
  </si>
  <si>
    <t>-489.034157787277 -270.293513430519 307.981431202269</t>
  </si>
  <si>
    <t>-522.058227207031 -265.289886470785 754.54462132416</t>
  </si>
  <si>
    <t>-410.090931784075 -350.434611789652 827.352709382929</t>
  </si>
  <si>
    <t>9763-20170724T104937.511202300.bin</t>
  </si>
  <si>
    <t>-591.645826988023 -70.5267209114666 300.775765773161</t>
  </si>
  <si>
    <t>-626.249436711025 -36.6280545864522 746.155115794295</t>
  </si>
  <si>
    <t>-482.097385718475 -14.8378789034864 808.063467906494</t>
  </si>
  <si>
    <t>-488.890034275912 -269.951304646596 307.98685699637</t>
  </si>
  <si>
    <t>-521.973104317324 -264.972596985779 754.530991744022</t>
  </si>
  <si>
    <t>-410.483078844484 -350.708784743161 827.377236390764</t>
  </si>
  <si>
    <t>9763-20170724T104937.546296100.bin</t>
  </si>
  <si>
    <t>-591.552566325199 -70.5624558983939 300.776556094381</t>
  </si>
  <si>
    <t>-626.223382643273 -36.6738668040914 746.155369595824</t>
  </si>
  <si>
    <t>-482.084229468215 -14.7867796895798 808.059586307109</t>
  </si>
  <si>
    <t>-488.890930918229 -270.054703487042 307.994727401547</t>
  </si>
  <si>
    <t>-522.071280975954 -265.144833826192 754.536610972113</t>
  </si>
  <si>
    <t>-410.183956818539 -350.38111226481 827.360425017512</t>
  </si>
  <si>
    <t>9763-20170724T104937.611149900.bin</t>
  </si>
  <si>
    <t>-591.352208522131 -70.5371517140616 300.777367864951</t>
  </si>
  <si>
    <t>-626.177110577768 -36.7569710132755 746.14991679662</t>
  </si>
  <si>
    <t>-482.034091970653 -14.8782926899853 808.048203476921</t>
  </si>
  <si>
    <t>-488.773915185706 -269.946995044962 308.005175633804</t>
  </si>
  <si>
    <t>-522.068073971461 -265.013709283797 754.532236423185</t>
  </si>
  <si>
    <t>-410.462126997008 -350.598798509275 827.378551885426</t>
  </si>
  <si>
    <t>9763-20170724T104937.643229900.bin</t>
  </si>
  <si>
    <t>-591.26057005871 -70.6590140881019 300.777812715651</t>
  </si>
  <si>
    <t>-626.092715035608 -36.9365610485411 746.149114553694</t>
  </si>
  <si>
    <t>-481.972606711429 -14.8813130224223 808.038190805322</t>
  </si>
  <si>
    <t>-488.825335136303 -270.097673769526 308.014866024512</t>
  </si>
  <si>
    <t>-522.210186398149 -265.28390821967 754.541621984093</t>
  </si>
  <si>
    <t>-409.960235629522 -350.058686044001 827.345952593284</t>
  </si>
  <si>
    <t>9763-20170724T104937.713420800.bin</t>
  </si>
  <si>
    <t>-591.065618116375 -70.7144715947682 300.754638183471</t>
  </si>
  <si>
    <t>-626.077164577723 -36.9653430736844 746.128098292773</t>
  </si>
  <si>
    <t>-481.965372151253 -14.8333859259651 808.009284881231</t>
  </si>
  <si>
    <t>-488.855160581851 -269.995459773115 308.021049252766</t>
  </si>
  <si>
    <t>-522.265306580112 -265.28345957236 754.543972337828</t>
  </si>
  <si>
    <t>-409.827583896433 -349.814010084598 827.342276204438</t>
  </si>
  <si>
    <t>9763-20170724T104937.746510500.bin</t>
  </si>
  <si>
    <t>-590.985062969093 -70.5895235985142 300.728246695887</t>
  </si>
  <si>
    <t>-626.157336942935 -36.8009474896849 746.109804001752</t>
  </si>
  <si>
    <t>-481.973988767506 -15.1495985144511 807.993911540434</t>
  </si>
  <si>
    <t>-488.833491745465 -269.759743595807 308.022418422625</t>
  </si>
  <si>
    <t>-522.192034744152 -265.033928220743 754.535694607091</t>
  </si>
  <si>
    <t>-410.156797183991 -350.074547004699 827.360741374498</t>
  </si>
  <si>
    <t>9763-20170724T104937.809284400.bin</t>
  </si>
  <si>
    <t>-590.881780389473 -70.6384192386543 300.689360320993</t>
  </si>
  <si>
    <t>-626.112697567037 -36.886111262078 746.064276202606</t>
  </si>
  <si>
    <t>-481.961294052105 -15.0163428360515 807.946157128165</t>
  </si>
  <si>
    <t>-488.913952306083 -269.717681796649 308.008563904437</t>
  </si>
  <si>
    <t>-522.317561762203 -265.186469379622 754.537306188239</t>
  </si>
  <si>
    <t>-409.926761488543 -349.770423155721 827.346464561752</t>
  </si>
  <si>
    <t>9763-20170724T104937.844368400.bin</t>
  </si>
  <si>
    <t>-590.932827065608 -70.6627232373221 300.663818937845</t>
  </si>
  <si>
    <t>-626.062667510617 -36.9775548735377 746.041805583486</t>
  </si>
  <si>
    <t>-481.912171745862 -15.1145640436703 807.928232569791</t>
  </si>
  <si>
    <t>-488.981404539956 -269.653885710212 308.002338032852</t>
  </si>
  <si>
    <t>-522.312122178675 -265.096330033996 754.536832332305</t>
  </si>
  <si>
    <t>-410.057460828197 -349.853664319787 827.354273978347</t>
  </si>
  <si>
    <t>9763-20170724T104937.910573400.bin</t>
  </si>
  <si>
    <t>-591.245257363038 -70.8028466241879 300.639852954843</t>
  </si>
  <si>
    <t>-626.001037829243 -37.1419373865069 746.03340944845</t>
  </si>
  <si>
    <t>-481.857501109393 -15.1956474051547 807.906694691645</t>
  </si>
  <si>
    <t>-489.320422762616 -269.711561350683 307.987185040337</t>
  </si>
  <si>
    <t>-522.436796935419 -265.245873516329 754.547771811637</t>
  </si>
  <si>
    <t>-410.060439421041 -349.853188880079 827.351793010573</t>
  </si>
  <si>
    <t>9763-20170724T104937.942659100.bin</t>
  </si>
  <si>
    <t>-591.462693671616 -70.7729919293181 300.662971993753</t>
  </si>
  <si>
    <t>-626.071585143636 -37.0242507294204 746.060400680441</t>
  </si>
  <si>
    <t>-481.886535953798 -15.3267442767963 807.924620621946</t>
  </si>
  <si>
    <t>-489.372662758056 -269.56200599016 307.951087643861</t>
  </si>
  <si>
    <t>-522.303977483678 -264.853185952548 754.531390957803</t>
  </si>
  <si>
    <t>-410.482841205548 -350.165181319223 827.367913142991</t>
  </si>
  <si>
    <t>9763-20170724T104938.014859200.bin</t>
  </si>
  <si>
    <t>-591.792399362987 -70.9977887264729 300.726714807261</t>
  </si>
  <si>
    <t>-625.996892089846 -37.2009739274611 746.118567891242</t>
  </si>
  <si>
    <t>-481.844446632763 -15.2326929416813 807.963157233289</t>
  </si>
  <si>
    <t>-489.665445548176 -269.76293447449 307.929996594542</t>
  </si>
  <si>
    <t>-522.403673736958 -264.938836875705 754.533681901473</t>
  </si>
  <si>
    <t>-410.158650788799 -349.720367714623 827.337765378251</t>
  </si>
  <si>
    <t>9763-20170724T104938.047947800.bin</t>
  </si>
  <si>
    <t>-591.977835832484 -70.9934113740435 300.752514360731</t>
  </si>
  <si>
    <t>-626.024257226369 -37.1399720390871 746.147717291562</t>
  </si>
  <si>
    <t>-481.815615804935 -15.5574234378341 807.997239599542</t>
  </si>
  <si>
    <t>-489.866240984666 -269.855329174485 307.924789976132</t>
  </si>
  <si>
    <t>-522.48851415173 -265.07310908067 754.540382496081</t>
  </si>
  <si>
    <t>-410.129932745777 -349.714059639859 827.332953924313</t>
  </si>
  <si>
    <t>9763-20170724T104938.110111700.bin</t>
  </si>
  <si>
    <t>-592.197114438839 -71.0008763422452 300.786261140976</t>
  </si>
  <si>
    <t>-625.925487011431 -37.3280065735157 746.20389132904</t>
  </si>
  <si>
    <t>-481.762135970742 -15.4204534953201 808.044643313648</t>
  </si>
  <si>
    <t>-490.063039177609 -269.830648893462 307.911576197979</t>
  </si>
  <si>
    <t>-522.517619857075 -265.001189369751 754.549891747457</t>
  </si>
  <si>
    <t>-410.272136895601 -349.795984468311 827.337719776716</t>
  </si>
  <si>
    <t>9763-20170724T104938.145204900.bin</t>
  </si>
  <si>
    <t>-592.306319016468 -70.8946269876471 300.796402463094</t>
  </si>
  <si>
    <t>-625.990190047908 -37.1807807578741 746.22413071741</t>
  </si>
  <si>
    <t>-481.778460777201 -15.6185545330416 808.073409336651</t>
  </si>
  <si>
    <t>-490.102638689367 -269.761307087573 307.91407728327</t>
  </si>
  <si>
    <t>-522.525307884235 -264.957660969036 754.551510839765</t>
  </si>
  <si>
    <t>-410.369919821414 -349.867720525352 827.344151601403</t>
  </si>
  <si>
    <t>9763-20170724T104938.215920900.bin</t>
  </si>
  <si>
    <t>-592.315031985957 -70.8811053706638 300.818552703693</t>
  </si>
  <si>
    <t>-625.944402535117 -37.2531687753335 746.253476327443</t>
  </si>
  <si>
    <t>-481.749111994628 -15.5914940937487 808.10641120704</t>
  </si>
  <si>
    <t>-490.058357842515 -269.913757390141 307.940932243078</t>
  </si>
  <si>
    <t>-522.617906881978 -265.081039226598 754.568808172421</t>
  </si>
  <si>
    <t>-410.098828438651 -349.526494600787 827.340462751491</t>
  </si>
  <si>
    <t>9763-20170724T104938.249516500.bin</t>
  </si>
  <si>
    <t>-592.245926232855 -70.8536053757391 300.834526902571</t>
  </si>
  <si>
    <t>-625.932212478509 -37.271348947417 746.266002490904</t>
  </si>
  <si>
    <t>-481.750552820664 -15.5243066475032 808.120704909918</t>
  </si>
  <si>
    <t>-489.909401683014 -269.838988193183 307.954733952047</t>
  </si>
  <si>
    <t>-522.59829878724 -264.988459172757 754.566069114276</t>
  </si>
  <si>
    <t>-410.341125592205 -349.763421668408 827.359004740541</t>
  </si>
  <si>
    <t>9763-20170724T104938.312689000.bin</t>
  </si>
  <si>
    <t>-592.041768234915 -70.9037661075904 300.83637615366</t>
  </si>
  <si>
    <t>-625.836283091187 -37.4647524743048 746.277910012073</t>
  </si>
  <si>
    <t>-481.707721347566 -15.3395655991926 808.12201775046</t>
  </si>
  <si>
    <t>-489.697256770577 -269.777133056563 307.992728627458</t>
  </si>
  <si>
    <t>-522.592802516597 -264.88014741591 754.574878323677</t>
  </si>
  <si>
    <t>-410.356074934195 -349.679728997798 827.370765458644</t>
  </si>
  <si>
    <t>9763-20170724T104938.347782800.bin</t>
  </si>
  <si>
    <t>-591.944764257596 -70.8356380674604 300.820999130451</t>
  </si>
  <si>
    <t>-625.847802229981 -37.4370068194648 746.267524695783</t>
  </si>
  <si>
    <t>-481.680813884984 -15.581462723417 808.11802346428</t>
  </si>
  <si>
    <t>-489.562450817868 -269.639281576667 307.999497925225</t>
  </si>
  <si>
    <t>-522.538613640489 -264.706279316234 754.570504316495</t>
  </si>
  <si>
    <t>-410.595955654575 -349.874064022653 827.389353512192</t>
  </si>
  <si>
    <t>9763-20170724T104938.409958400.bin</t>
  </si>
  <si>
    <t>-591.609145237049 -70.9137890405111 300.807697444385</t>
  </si>
  <si>
    <t>-625.775684963826 -37.5978009758451 746.249556729843</t>
  </si>
  <si>
    <t>-481.643845961677 -15.470462847057 808.085800022828</t>
  </si>
  <si>
    <t>-489.309653804589 -269.672186928899 308.016331728879</t>
  </si>
  <si>
    <t>-522.548804846964 -264.640150701299 754.568138810355</t>
  </si>
  <si>
    <t>-410.311772810657 -349.431719850096 827.372962292809</t>
  </si>
  <si>
    <t>9763-20170724T104938.444036400.bin</t>
  </si>
  <si>
    <t>-591.447509855007 -70.91330691349 300.808757697322</t>
  </si>
  <si>
    <t>-625.789474005792 -37.5701031977453 746.23368501932</t>
  </si>
  <si>
    <t>-481.639747901807 -15.5593210869181 808.069771876851</t>
  </si>
  <si>
    <t>-489.177392495195 -269.726105942323 308.029276567025</t>
  </si>
  <si>
    <t>-522.591972232063 -264.697022961399 754.569363208573</t>
  </si>
  <si>
    <t>-410.366759487632 -349.501431941212 827.37729948576</t>
  </si>
  <si>
    <t>9763-20170724T104938.510219200.bin</t>
  </si>
  <si>
    <t>-591.123190951452 -70.9822224858056 300.804239180557</t>
  </si>
  <si>
    <t>-625.772729359146 -37.6158159153938 746.204006576608</t>
  </si>
  <si>
    <t>-481.640433691951 -15.4624307390598 808.029703281883</t>
  </si>
  <si>
    <t>-489.026080246345 -269.814643640092 308.048937528589</t>
  </si>
  <si>
    <t>-522.694400394823 -264.860459176289 754.571579079168</t>
  </si>
  <si>
    <t>-410.265309077053 -349.400687009202 827.372455871785</t>
  </si>
  <si>
    <t>9763-20170724T104938.545311600.bin</t>
  </si>
  <si>
    <t>-590.974638281616 -70.9693112266116 300.794579030209</t>
  </si>
  <si>
    <t>-625.781485460634 -37.5946818940063 746.18215527063</t>
  </si>
  <si>
    <t>-481.639448570551 -15.5105777414162 808.009981800978</t>
  </si>
  <si>
    <t>-488.932155629056 -269.82115329554 308.052656629532</t>
  </si>
  <si>
    <t>-522.699927768586 -264.834656252935 754.570317590193</t>
  </si>
  <si>
    <t>-410.303635885936 -349.415054364922 827.374932385585</t>
  </si>
  <si>
    <t>9763-20170724T104938.613135800.bin</t>
  </si>
  <si>
    <t>-590.819576845012 -70.8809395183227 300.772463892827</t>
  </si>
  <si>
    <t>-625.787692896778 -37.5830999649149 746.143854366967</t>
  </si>
  <si>
    <t>-481.629526963267 -15.6078544907598 807.972743885567</t>
  </si>
  <si>
    <t>-488.699742351792 -269.766342917829 308.056331965682</t>
  </si>
  <si>
    <t>-522.637018074778 -264.606823973798 754.556402604956</t>
  </si>
  <si>
    <t>-410.358626655688 -349.334631653113 827.371658530101</t>
  </si>
  <si>
    <t>9763-20170724T104938.643216200.bin</t>
  </si>
  <si>
    <t>-590.794567795477 -70.9767953470803 300.75688579525</t>
  </si>
  <si>
    <t>-625.734795773719 -37.6971808923129 746.125348900583</t>
  </si>
  <si>
    <t>-481.619083353479 -15.4250420647795 807.946689037947</t>
  </si>
  <si>
    <t>-488.691924876417 -269.882598588787 308.070259708951</t>
  </si>
  <si>
    <t>-522.697107921019 -264.719191653371 754.557541819804</t>
  </si>
  <si>
    <t>-410.206433233196 -349.175210466855 827.360755337122</t>
  </si>
  <si>
    <t>9763-20170724T104938.715023800.bin</t>
  </si>
  <si>
    <t>-590.724407006232 -70.9137383552293 300.709459440994</t>
  </si>
  <si>
    <t>-625.749875892673 -37.6729815834447 746.08063550153</t>
  </si>
  <si>
    <t>-481.56747217117 -15.8555732956909 807.908695902785</t>
  </si>
  <si>
    <t>-488.635536784816 -269.817332198412 308.056799398736</t>
  </si>
  <si>
    <t>-522.667351644174 -264.569717719316 754.549829089466</t>
  </si>
  <si>
    <t>-410.368888093473 -349.267390430048 827.369327498296</t>
  </si>
  <si>
    <t>9763-20170724T104938.749111400.bin</t>
  </si>
  <si>
    <t>-590.659154725404 -70.8578214667309 300.691946748335</t>
  </si>
  <si>
    <t>-625.772732980427 -37.6345120456472 746.061877704451</t>
  </si>
  <si>
    <t>-481.586250824716 -15.8312522261108 807.885803559289</t>
  </si>
  <si>
    <t>-488.574915804432 -269.697319928649 308.050040850822</t>
  </si>
  <si>
    <t>-522.608751370127 -264.391892425141 754.540416359087</t>
  </si>
  <si>
    <t>-410.72736048221 -349.613843412422 827.390078186335</t>
  </si>
  <si>
    <t>9763-20170724T104938.810281300.bin</t>
  </si>
  <si>
    <t>-590.539001647022 -70.809395214801 300.660846976234</t>
  </si>
  <si>
    <t>-625.732780776312 -37.7290999505888 746.022402265504</t>
  </si>
  <si>
    <t>-481.534786645102 -15.977806305164 807.837591796892</t>
  </si>
  <si>
    <t>-488.575378885589 -269.662813850171 308.049031390771</t>
  </si>
  <si>
    <t>-522.581829683197 -264.253538094225 754.533051221431</t>
  </si>
  <si>
    <t>-410.696332415814 -349.467468518711 827.385840652348</t>
  </si>
  <si>
    <t>9763-20170724T104938.844372700.bin</t>
  </si>
  <si>
    <t>-590.462576777949 -70.8471219620455 300.648406643556</t>
  </si>
  <si>
    <t>-625.70450868225 -37.7975513693116 746.006636780091</t>
  </si>
  <si>
    <t>-481.54639713991 -15.7464623745784 807.808780371344</t>
  </si>
  <si>
    <t>-488.575453162198 -269.701307830215 308.045941730928</t>
  </si>
  <si>
    <t>-522.624501814322 -264.327714035744 754.531717842189</t>
  </si>
  <si>
    <t>-410.726233177657 -349.522979300989 827.386858425431</t>
  </si>
  <si>
    <t>9763-20170724T104938.914586200.bin</t>
  </si>
  <si>
    <t>-590.385661185605 -70.8921059156671 300.628367824619</t>
  </si>
  <si>
    <t>-625.660839696279 -37.9011823825233 745.977538356116</t>
  </si>
  <si>
    <t>-481.477615788565 -15.9880129340124 807.770067808458</t>
  </si>
  <si>
    <t>-488.562095752625 -269.706770431699 308.05660464838</t>
  </si>
  <si>
    <t>-522.630011048661 -264.264698142722 754.535816689392</t>
  </si>
  <si>
    <t>-410.682298453048 -349.399674731513 827.385224448519</t>
  </si>
  <si>
    <t>9763-20170724T104938.952202300.bin</t>
  </si>
  <si>
    <t>-590.359755841488 -70.892838107806 300.611841313745</t>
  </si>
  <si>
    <t>-625.662800770453 -37.8994838051269 745.960986958884</t>
  </si>
  <si>
    <t>-481.460344059785 -16.1016437356966 807.749386575154</t>
  </si>
  <si>
    <t>-488.557889716194 -269.711699012835 308.057860898748</t>
  </si>
  <si>
    <t>-522.657581777096 -264.287210989246 754.535817675424</t>
  </si>
  <si>
    <t>-410.675184668692 -349.378478918303 827.3831278095</t>
  </si>
  <si>
    <t>9763-20170724T104939.012869100.bin</t>
  </si>
  <si>
    <t>-590.248199817377 -70.8669304189998 300.582874574021</t>
  </si>
  <si>
    <t>-625.648798189279 -37.921778754893 745.924975592042</t>
  </si>
  <si>
    <t>-481.465621791703 -15.9805255988913 807.707756804507</t>
  </si>
  <si>
    <t>-488.410725031149 -269.67216859451 308.047110690981</t>
  </si>
  <si>
    <t>-522.58478845294 -264.060985244346 754.517511118179</t>
  </si>
  <si>
    <t>-410.696253798473 -349.264831838809 827.377542569379</t>
  </si>
  <si>
    <t>9763-20170724T104939.046957300.bin</t>
  </si>
  <si>
    <t>-590.198877459034 -70.8682699675173 300.567316268322</t>
  </si>
  <si>
    <t>-625.635976412153 -37.9435391312338 745.903860355085</t>
  </si>
  <si>
    <t>-481.448690213337 -16.0309146490451 807.687093759651</t>
  </si>
  <si>
    <t>-488.363418904042 -269.67134434863 308.053440441856</t>
  </si>
  <si>
    <t>-522.650095406726 -264.191550922397 754.520651423038</t>
  </si>
  <si>
    <t>-410.889044794566 -349.553195788612 827.39136649214</t>
  </si>
  <si>
    <t>9763-20170724T104939.114651000.bin</t>
  </si>
  <si>
    <t>-590.051510432457 -70.9811429498848 300.531994555251</t>
  </si>
  <si>
    <t>-625.59172000447 -38.0296793623843 745.857147963721</t>
  </si>
  <si>
    <t>-481.430496100512 -15.9426460380751 807.639141969794</t>
  </si>
  <si>
    <t>-488.28772739707 -269.808742167879 308.055493769627</t>
  </si>
  <si>
    <t>-522.685857764068 -264.234897062677 754.5186676102</t>
  </si>
  <si>
    <t>-410.549514779719 -349.119297072619 827.370555673946</t>
  </si>
  <si>
    <t>9763-20170724T104939.144731400.bin</t>
  </si>
  <si>
    <t>-589.994522943072 -71.0538864535524 300.514185013626</t>
  </si>
  <si>
    <t>-625.527976140089 -38.1585211605147 745.836928567147</t>
  </si>
  <si>
    <t>-481.387612999429 -15.9302714047847 807.616857000881</t>
  </si>
  <si>
    <t>-488.212659158401 -269.809696881675 308.045257683474</t>
  </si>
  <si>
    <t>-522.700203080419 -264.237009733744 754.514463017208</t>
  </si>
  <si>
    <t>-410.785582363334 -349.400139054452 827.381575000625</t>
  </si>
  <si>
    <t>9763-20170724T104939.212997700.bin</t>
  </si>
  <si>
    <t>-589.946808565767 -71.1093385265424 300.493283937157</t>
  </si>
  <si>
    <t>-625.57179079783 -38.055109658816 745.809291928009</t>
  </si>
  <si>
    <t>-481.425299471193 -15.887411350712 807.596490389774</t>
  </si>
  <si>
    <t>-488.170644890399 -269.972229022757 308.041342858142</t>
  </si>
  <si>
    <t>-522.781130885685 -264.388418277247 754.506126768573</t>
  </si>
  <si>
    <t>-410.442409905953 -349.011197992224 827.350543391462</t>
  </si>
  <si>
    <t>9763-20170724T104939.246085900.bin</t>
  </si>
  <si>
    <t>-589.93611010694 -71.0835188853669 300.485071103686</t>
  </si>
  <si>
    <t>-625.589399570176 -38.011825100238 745.79725097681</t>
  </si>
  <si>
    <t>-481.426472338843 -15.9589824632731 807.58722118658</t>
  </si>
  <si>
    <t>-488.142310654608 -269.873478464678 308.04044678442</t>
  </si>
  <si>
    <t>-522.718384119527 -264.207432654955 754.497347267008</t>
  </si>
  <si>
    <t>-410.704521643612 -349.242155575665 827.3621331543</t>
  </si>
  <si>
    <t>9763-20170724T104939.313281400.bin</t>
  </si>
  <si>
    <t>-590.058269676765 -70.9931618208379 300.459643085857</t>
  </si>
  <si>
    <t>-625.610463121242 -37.9431189167587 745.773354934728</t>
  </si>
  <si>
    <t>-481.408493203844 -16.1798319038969 807.575245554424</t>
  </si>
  <si>
    <t>-488.156080899751 -269.757946399358 308.023140366309</t>
  </si>
  <si>
    <t>-522.715734994571 -264.126785838891 754.489719054223</t>
  </si>
  <si>
    <t>-410.948247206085 -349.476948801667 827.364046780697</t>
  </si>
  <si>
    <t>9763-20170724T104939.343372300.bin</t>
  </si>
  <si>
    <t>-590.140811486078 -71.0559528363399 300.45007042588</t>
  </si>
  <si>
    <t>-625.562569842885 -38.0448401612682 745.766314525408</t>
  </si>
  <si>
    <t>-481.383251694464 -16.1224027560054 807.564630353501</t>
  </si>
  <si>
    <t>-488.244133366951 -269.897229094887 308.027845708973</t>
  </si>
  <si>
    <t>-522.818308099568 -264.334394126073 754.500616468036</t>
  </si>
  <si>
    <t>-410.579086794242 -349.093947385449 827.339073232849</t>
  </si>
  <si>
    <t>9763-20170724T104939.416560500.bin</t>
  </si>
  <si>
    <t>-590.286757755825 -71.0721984600591 300.433207589851</t>
  </si>
  <si>
    <t>-625.523515715643 -38.1011570013907 745.753610218852</t>
  </si>
  <si>
    <t>-481.363772707045 -16.0673547593171 807.557890437211</t>
  </si>
  <si>
    <t>-488.352558995458 -269.790955068124 308.024091648836</t>
  </si>
  <si>
    <t>-522.734035522469 -264.077447875972 754.494186407983</t>
  </si>
  <si>
    <t>-410.620405441221 -349.003073260388 827.332934054396</t>
  </si>
  <si>
    <t>9763-20170724T104939.448646200.bin</t>
  </si>
  <si>
    <t>-590.344788920213 -71.0437875781322 300.428738165252</t>
  </si>
  <si>
    <t>-625.542764815111 -38.0454461534573 745.754335525035</t>
  </si>
  <si>
    <t>-481.370787028583 -16.1083230229203 807.564290178356</t>
  </si>
  <si>
    <t>-488.405212261369 -269.761786429033 308.008969319516</t>
  </si>
  <si>
    <t>-522.779452612977 -264.152436942213 754.49781022302</t>
  </si>
  <si>
    <t>-410.861440706459 -349.326596954069 827.346900455069</t>
  </si>
  <si>
    <t>9763-20170724T104939.508845700.bin</t>
  </si>
  <si>
    <t>-590.355763354728 -71.0596059349314 300.416128963295</t>
  </si>
  <si>
    <t>-625.525090006271 -38.0668919446098 745.753157104689</t>
  </si>
  <si>
    <t>-481.357939405272 -16.1111083180756 807.567906860538</t>
  </si>
  <si>
    <t>-488.500844728572 -269.772468773041 307.998765263667</t>
  </si>
  <si>
    <t>-522.791984573489 -264.141591931064 754.493875028671</t>
  </si>
  <si>
    <t>-410.768439867535 -349.180861885065 827.33834243363</t>
  </si>
  <si>
    <t>9763-20170724T104939.543942100.bin</t>
  </si>
  <si>
    <t>-590.363076192735 -71.0341424380804 300.413869063877</t>
  </si>
  <si>
    <t>-625.554775308564 -38.0018616638145 745.751201766777</t>
  </si>
  <si>
    <t>-481.369349420836 -16.1810601114948 807.571005954322</t>
  </si>
  <si>
    <t>-488.524505307507 -269.716844140511 307.99811192178</t>
  </si>
  <si>
    <t>-522.768532341208 -264.051449947571 754.492374612964</t>
  </si>
  <si>
    <t>-410.898464500054 -349.283838376977 827.347261053673</t>
  </si>
  <si>
    <t>9763-20170724T104939.609650200.bin</t>
  </si>
  <si>
    <t>-590.452461557223 -71.0101013667013 300.395023811725</t>
  </si>
  <si>
    <t>-625.55179068668 -37.9939292596739 745.742740600517</t>
  </si>
  <si>
    <t>-481.369415464381 -16.1632647726794 807.566343315931</t>
  </si>
  <si>
    <t>-488.646826015908 -269.672894278745 308.00675025909</t>
  </si>
  <si>
    <t>-522.808831145209 -264.073819120433 754.504469870158</t>
  </si>
  <si>
    <t>-410.722416497222 -349.041528608287 827.335868089265</t>
  </si>
  <si>
    <t>9763-20170724T104939.642739800.bin</t>
  </si>
  <si>
    <t>-590.501697537951 -71.0339669828468 300.378510952846</t>
  </si>
  <si>
    <t>-625.483896336695 -38.1194295018549 745.734054537479</t>
  </si>
  <si>
    <t>-481.342750179014 -16.0158617257141 807.556857157847</t>
  </si>
  <si>
    <t>-488.691407188281 -269.58706590667 307.997171370076</t>
  </si>
  <si>
    <t>-522.799931040797 -264.02442372452 754.503373025565</t>
  </si>
  <si>
    <t>-410.918803076111 -349.252301225265 827.346426755759</t>
  </si>
  <si>
    <t>9763-20170724T104939.711427100.bin</t>
  </si>
  <si>
    <t>-590.685437728271 -70.8610153303175 300.342344275291</t>
  </si>
  <si>
    <t>-625.529169596158 -38.0041105290491 745.718839200451</t>
  </si>
  <si>
    <t>-481.334066297992 -16.3052061332842 807.559413461473</t>
  </si>
  <si>
    <t>-488.794613109404 -269.437087417355 307.995039255286</t>
  </si>
  <si>
    <t>-522.791982515422 -263.941281108227 754.507495373143</t>
  </si>
  <si>
    <t>-410.823316571508 -349.06508741943 827.33785174021</t>
  </si>
  <si>
    <t>9763-20170724T104939.745518900.bin</t>
  </si>
  <si>
    <t>-590.727231601443 -70.8261267860235 300.333789363574</t>
  </si>
  <si>
    <t>-625.524359797639 -38.0018438941263 745.716225631684</t>
  </si>
  <si>
    <t>-481.331851026529 -16.3010668343711 807.561785536668</t>
  </si>
  <si>
    <t>-488.82496404051 -269.398170058322 307.991728661014</t>
  </si>
  <si>
    <t>-522.814286395921 -263.967839383831 754.504639095255</t>
  </si>
  <si>
    <t>-410.786001950165 -349.015039610722 827.332691566133</t>
  </si>
  <si>
    <t>9763-20170724T104939.811427600.bin</t>
  </si>
  <si>
    <t>-590.799255532311 -70.7216007557959 300.341268488529</t>
  </si>
  <si>
    <t>-625.466629268614 -38.1102027999173 745.726635792892</t>
  </si>
  <si>
    <t>-481.285023579128 -16.3514867746549 807.577256045888</t>
  </si>
  <si>
    <t>-488.79832969568 -269.131382542227 307.967729571965</t>
  </si>
  <si>
    <t>-522.688935838799 -263.630165336671 754.486700786965</t>
  </si>
  <si>
    <t>-411.060629489452 -349.175541638406 827.345661853977</t>
  </si>
  <si>
    <t>9763-20170724T104939.844514800.bin</t>
  </si>
  <si>
    <t>-590.873929831866 -70.637293472812 300.349150536434</t>
  </si>
  <si>
    <t>-625.543374386937 -37.936321360954 745.735129664646</t>
  </si>
  <si>
    <t>-481.32526758561 -16.4342150399912 807.590448707157</t>
  </si>
  <si>
    <t>-488.861041875989 -269.128459504435 307.961052489792</t>
  </si>
  <si>
    <t>-522.78988312772 -263.844901793519 754.494309605278</t>
  </si>
  <si>
    <t>-410.980185117485 -349.163381407285 827.340959987778</t>
  </si>
  <si>
    <t>9763-20170724T104939.912606900.bin</t>
  </si>
  <si>
    <t>-590.933197157056 -70.6022566422182 300.357758117497</t>
  </si>
  <si>
    <t>-625.508054089702 -37.9980569315126 745.75667738169</t>
  </si>
  <si>
    <t>-481.329895825743 -16.217865296356 807.607989641524</t>
  </si>
  <si>
    <t>-488.908893990983 -269.072944640442 307.952938821041</t>
  </si>
  <si>
    <t>-522.835032253867 -263.895587668456 754.494581686373</t>
  </si>
  <si>
    <t>-411.140288476538 -349.3576116382 827.349257086553</t>
  </si>
  <si>
    <t>9763-20170724T104939.943688400.bin</t>
  </si>
  <si>
    <t>-590.903703286597 -70.6942617879545 300.37754511332</t>
  </si>
  <si>
    <t>-625.43594952587 -38.1485323500783 745.77415776382</t>
  </si>
  <si>
    <t>-481.317275444762 -15.9491656107409 807.615234661379</t>
  </si>
  <si>
    <t>-488.92485413759 -269.122624572729 307.949211152755</t>
  </si>
  <si>
    <t>-522.835812858743 -263.878047565046 754.491393512325</t>
  </si>
  <si>
    <t>-410.905114171128 -349.042539247172 827.332400996923</t>
  </si>
  <si>
    <t>9763-20170724T104940.020510600.bin</t>
  </si>
  <si>
    <t>-590.944814548489 -70.5451978851142 300.40784285223</t>
  </si>
  <si>
    <t>-625.453523462998 -38.1098968644856 745.815515347467</t>
  </si>
  <si>
    <t>-481.291141899157 -16.2085029475431 807.660762270731</t>
  </si>
  <si>
    <t>-488.90057368561 -268.836552020747 307.930504948169</t>
  </si>
  <si>
    <t>-522.713159423385 -263.526892662387 754.480627583488</t>
  </si>
  <si>
    <t>-411.23342383166 -349.262634733166 827.343171272481</t>
  </si>
  <si>
    <t>9763-20170724T104940.048585700.bin</t>
  </si>
  <si>
    <t>-590.975123307401 -70.5281395915681 300.430600274598</t>
  </si>
  <si>
    <t>-625.453699260452 -38.101902530391 745.841854915067</t>
  </si>
  <si>
    <t>-481.278943731107 -16.2805563420031 807.686725976858</t>
  </si>
  <si>
    <t>-488.952923870554 -268.832997962037 307.930964528847</t>
  </si>
  <si>
    <t>-522.785084563262 -263.669775606425 754.484750378845</t>
  </si>
  <si>
    <t>-411.063849153056 -349.105392718333 827.329949943218</t>
  </si>
  <si>
    <t>9763-20170724T104940.115575200.bin</t>
  </si>
  <si>
    <t>-590.982980140508 -70.4736901866424 300.47988421919</t>
  </si>
  <si>
    <t>-625.458273068072 -38.066478681837 745.885295540927</t>
  </si>
  <si>
    <t>-481.265078489135 -16.4202642656521 807.748413570752</t>
  </si>
  <si>
    <t>-488.980591903089 -268.6725318648 307.925692544966</t>
  </si>
  <si>
    <t>-522.805481784963 -263.672568253128 754.473977527171</t>
  </si>
  <si>
    <t>-411.255490959234 -349.316178260129 827.337338238235</t>
  </si>
  <si>
    <t>9763-20170724T104940.144655200.bin</t>
  </si>
  <si>
    <t>-591.0270263235 -70.4602729837366 300.503027276536</t>
  </si>
  <si>
    <t>-625.441714573557 -38.0774396557078 745.903960788879</t>
  </si>
  <si>
    <t>-481.256939600123 -16.4173226536432 807.781951183673</t>
  </si>
  <si>
    <t>-489.037522832764 -268.711285401088 307.928505730984</t>
  </si>
  <si>
    <t>-522.846671359714 -263.741985474335 754.476981603106</t>
  </si>
  <si>
    <t>-410.98489039768 -348.99408050703 827.321541204013</t>
  </si>
  <si>
    <t>9763-20170724T104940.214863800.bin</t>
  </si>
  <si>
    <t>-591.296092444912 -70.3332011876398 300.534251967445</t>
  </si>
  <si>
    <t>-625.468747154326 -37.9695357246228 745.948150226401</t>
  </si>
  <si>
    <t>-481.269149865295 -16.5127640319768 807.862674627312</t>
  </si>
  <si>
    <t>-489.237788690516 -268.555708301242 307.887537047345</t>
  </si>
  <si>
    <t>-522.902466196554 -263.81027628691 754.476566364229</t>
  </si>
  <si>
    <t>-411.10147391935 -349.139323962275 827.324389842124</t>
  </si>
  <si>
    <t>9763-20170724T104940.245951900.bin</t>
  </si>
  <si>
    <t>-591.502467820552 -70.3123921213637 300.563314391635</t>
  </si>
  <si>
    <t>-625.44612490887 -38.0042946595249 745.993461138098</t>
  </si>
  <si>
    <t>-481.248039444626 -16.5600442073751 807.915640543111</t>
  </si>
  <si>
    <t>-489.403427717593 -268.57541729168 307.864788000346</t>
  </si>
  <si>
    <t>-522.9717384348 -263.960992490973 754.47342627296</t>
  </si>
  <si>
    <t>-411.001105854489 -349.072596488313 827.314912518893</t>
  </si>
  <si>
    <t>9763-20170724T104940.312932600.bin</t>
  </si>
  <si>
    <t>-591.890574124336 -70.2045632605889 300.633073675793</t>
  </si>
  <si>
    <t>-625.43649662059 -38.015909528197 746.095635694831</t>
  </si>
  <si>
    <t>-481.216309313053 -16.766745531831 808.033473598183</t>
  </si>
  <si>
    <t>-489.566784531013 -268.335189684931 307.81911912477</t>
  </si>
  <si>
    <t>-522.872393181845 -263.698605580588 754.45674549674</t>
  </si>
  <si>
    <t>-411.085753321293 -349.039795644453 827.312556503729</t>
  </si>
  <si>
    <t>9763-20170724T104940.347024000.bin</t>
  </si>
  <si>
    <t>-591.913441227187 -70.2338808677303 300.674419474364</t>
  </si>
  <si>
    <t>-625.389656959507 -38.1119066585356 746.140358265224</t>
  </si>
  <si>
    <t>-481.197305205246 -16.7047630805941 808.088761654526</t>
  </si>
  <si>
    <t>-489.537380122633 -268.293897796713 307.816961454568</t>
  </si>
  <si>
    <t>-522.867444296746 -263.679287634524 754.454329349929</t>
  </si>
  <si>
    <t>-411.157822818167 -349.113379997574 827.318940590455</t>
  </si>
  <si>
    <t>9763-20170724T104940.410197200.bin</t>
  </si>
  <si>
    <t>-591.680352172919 -70.2172456027672 300.746263863929</t>
  </si>
  <si>
    <t>-625.398863001008 -38.1075956446721 746.217671017073</t>
  </si>
  <si>
    <t>-481.198540292734 -16.775546171715 808.173421244851</t>
  </si>
  <si>
    <t>-489.321828738776 -268.181405302284 307.856594368174</t>
  </si>
  <si>
    <t>-522.799912375129 -263.508585815711 754.454896552615</t>
  </si>
  <si>
    <t>-411.176892158933 -349.041378441445 827.336724283615</t>
  </si>
  <si>
    <t>9763-20170724T104940.446291100.bin</t>
  </si>
  <si>
    <t>-591.508437919553 -70.1238986886517 300.773960300814</t>
  </si>
  <si>
    <t>-625.461166938279 -37.9818167478218 746.238869411507</t>
  </si>
  <si>
    <t>-481.235595281817 -16.8412445081226 808.201414744007</t>
  </si>
  <si>
    <t>-489.183334877777 -267.960810809414 307.877403865312</t>
  </si>
  <si>
    <t>-522.701911388051 -263.27297653152 754.450172388589</t>
  </si>
  <si>
    <t>-411.332854403146 -349.117149509826 827.354138039173</t>
  </si>
  <si>
    <t>9763-20170724T104940.510023800.bin</t>
  </si>
  <si>
    <t>-591.090573688906 -70.1260720128764 300.810667140327</t>
  </si>
  <si>
    <t>-625.421229609076 -38.0894920869446 746.26248455588</t>
  </si>
  <si>
    <t>-481.202397773011 -16.9013762758514 808.224412112907</t>
  </si>
  <si>
    <t>-489.050783063835 -267.974647555721 307.915934457994</t>
  </si>
  <si>
    <t>-522.832665757758 -263.550094382219 754.46801247541</t>
  </si>
  <si>
    <t>-411.097593591381 -348.931238737295 827.355676055573</t>
  </si>
  <si>
    <t>9763-20170724T104940.548127300.bin</t>
  </si>
  <si>
    <t>-590.950729682211 -70.0550008679136 300.808688524558</t>
  </si>
  <si>
    <t>-625.474559394598 -37.9940720222344 746.261652073005</t>
  </si>
  <si>
    <t>-481.235366537677 -16.9454557751501 808.223797580108</t>
  </si>
  <si>
    <t>-488.99987512419 -267.877381215071 307.921127981012</t>
  </si>
  <si>
    <t>-522.815264724217 -263.484280520409 754.465744324303</t>
  </si>
  <si>
    <t>-411.064909361753 -348.842817449914 827.35653722454</t>
  </si>
  <si>
    <t>9763-20170724T104940.612140000.bin</t>
  </si>
  <si>
    <t>-590.771048435833 -70.0631247338224 300.795033105933</t>
  </si>
  <si>
    <t>-625.422843199515 -38.1438185297254 746.253855948366</t>
  </si>
  <si>
    <t>-481.213326997475 -16.8450068988057 808.199539125979</t>
  </si>
  <si>
    <t>-488.901507330454 -267.73929056358 307.924033071019</t>
  </si>
  <si>
    <t>-522.824857247928 -263.490440884403 754.465542629926</t>
  </si>
  <si>
    <t>-411.156862743374 -348.938160643181 827.378024391746</t>
  </si>
  <si>
    <t>9763-20170724T104940.646230000.bin</t>
  </si>
  <si>
    <t>-590.789930370954 -70.0545384028926 300.784059337917</t>
  </si>
  <si>
    <t>-625.394058689275 -38.2212526925646 746.247890703766</t>
  </si>
  <si>
    <t>-481.18459896675 -16.9055263807597 808.188174502599</t>
  </si>
  <si>
    <t>-488.892609783494 -267.735630766043 307.920089571324</t>
  </si>
  <si>
    <t>-522.887480177607 -263.623381150563 754.468020938823</t>
  </si>
  <si>
    <t>-411.194963658113 -349.037933533995 827.381888771714</t>
  </si>
  <si>
    <t>9763-20170724T104940.711952200.bin</t>
  </si>
  <si>
    <t>-590.876896694026 -69.8208711505656 300.809067856135</t>
  </si>
  <si>
    <t>-625.457266395642 -38.1183809582665 746.267404268433</t>
  </si>
  <si>
    <t>-481.220085633436 -16.9605042324324 808.196970682776</t>
  </si>
  <si>
    <t>-488.92848103272 -267.654775631246 307.895604914043</t>
  </si>
  <si>
    <t>-522.839678060164 -263.486529926017 754.446790225097</t>
  </si>
  <si>
    <t>-411.136323768706 -348.877624036487 827.37167089933</t>
  </si>
  <si>
    <t>9763-20170724T104940.745037600.bin</t>
  </si>
  <si>
    <t>-590.861354244095 -69.7533817919903 300.816162968311</t>
  </si>
  <si>
    <t>-625.415867760528 -38.2145863619658 746.285090920377</t>
  </si>
  <si>
    <t>-481.210709150703 -16.8084527448043 808.203845346727</t>
  </si>
  <si>
    <t>-488.915554852831 -267.468267158963 307.870195904364</t>
  </si>
  <si>
    <t>-522.759605650899 -263.271659370964 754.434806489819</t>
  </si>
  <si>
    <t>-411.451937943511 -349.157951348758 827.383030775466</t>
  </si>
  <si>
    <t>9763-20170724T104940.814738400.bin</t>
  </si>
  <si>
    <t>-590.852277364436 -69.6713724182584 300.832109853117</t>
  </si>
  <si>
    <t>-625.369069440113 -38.3076456713372 746.311805495226</t>
  </si>
  <si>
    <t>-481.16276444128 -16.930137804296 808.238036008481</t>
  </si>
  <si>
    <t>-489.030041858282 -267.38089386094 307.844633719015</t>
  </si>
  <si>
    <t>-522.781583819072 -263.283989298365 754.424023889827</t>
  </si>
  <si>
    <t>-411.303892870235 -348.95503118476 827.36564947825</t>
  </si>
  <si>
    <t>9763-20170724T104940.847836800.bin</t>
  </si>
  <si>
    <t>-590.856037255355 -69.6147210534 300.834340411234</t>
  </si>
  <si>
    <t>-625.378069391991 -38.2772417411156 746.317776987033</t>
  </si>
  <si>
    <t>-481.161015388164 -17.0068997848657 808.255568191289</t>
  </si>
  <si>
    <t>-489.051340602342 -267.277682619618 307.838093270596</t>
  </si>
  <si>
    <t>-522.737640887781 -263.153258600351 754.420251530346</t>
  </si>
  <si>
    <t>-411.438042665931 -349.0483206635 827.370397964176</t>
  </si>
  <si>
    <t>9763-20170724T104940.913008900.bin</t>
  </si>
  <si>
    <t>-590.946183081265 -69.4898518146797 300.832670369446</t>
  </si>
  <si>
    <t>-625.415817594074 -38.1791863948256 746.331127268515</t>
  </si>
  <si>
    <t>-481.163440032658 -17.2113927864505 808.290039153914</t>
  </si>
  <si>
    <t>-489.184211065191 -267.159578465574 307.840402726222</t>
  </si>
  <si>
    <t>-522.749275135026 -263.119413548199 754.421305637615</t>
  </si>
  <si>
    <t>-411.36469249727 -348.913222062794 827.36074162021</t>
  </si>
  <si>
    <t>9763-20170724T104940.945101300.bin</t>
  </si>
  <si>
    <t>-591.031819131855 -69.4654903849439 300.829997471034</t>
  </si>
  <si>
    <t>-625.399611482803 -38.2114457258938 746.337381202982</t>
  </si>
  <si>
    <t>-481.150716444708 -17.2430747587621 808.304439820222</t>
  </si>
  <si>
    <t>-489.245453622439 -267.117223014076 307.831489847955</t>
  </si>
  <si>
    <t>-522.760891149396 -263.133354364502 754.420883498714</t>
  </si>
  <si>
    <t>-411.402462118376 -348.956787040433 827.365675433349</t>
  </si>
  <si>
    <t>9763-20170724T104941.010058700.bin</t>
  </si>
  <si>
    <t>-591.217553651592 -69.4579029988138 300.829032491883</t>
  </si>
  <si>
    <t>-625.388133925087 -38.225427212999 746.352662839379</t>
  </si>
  <si>
    <t>-481.178907660465 -16.9981658563047 808.323767811425</t>
  </si>
  <si>
    <t>-489.354250665279 -267.008739459169 307.826411924329</t>
  </si>
  <si>
    <t>-522.740935960041 -263.056018385439 754.427278588203</t>
  </si>
  <si>
    <t>-411.635812517678 -349.19599642769 827.385218601201</t>
  </si>
  <si>
    <t>9763-20170724T104941.043144800.bin</t>
  </si>
  <si>
    <t>-591.251577419977 -69.5638889668955 300.822850953609</t>
  </si>
  <si>
    <t>-625.270155651562 -38.4729812566063 746.350681565674</t>
  </si>
  <si>
    <t>-481.11307708335 -16.8955952396977 808.322077263222</t>
  </si>
  <si>
    <t>-489.419648870607 -267.040432316234 307.831853324951</t>
  </si>
  <si>
    <t>-522.755043378576 -263.069466282059 754.435545243589</t>
  </si>
  <si>
    <t>-411.466082941571 -348.98477398399 827.378369581986</t>
  </si>
  <si>
    <t>9763-20170724T104941.112344200.bin</t>
  </si>
  <si>
    <t>-591.333923972776 -69.6029629011468 300.775488321698</t>
  </si>
  <si>
    <t>-625.290401667025 -38.4310172236471 746.325813800386</t>
  </si>
  <si>
    <t>-481.121156511711 -16.9876371596936 808.315242484465</t>
  </si>
  <si>
    <t>-489.569599817965 -267.157817560882 307.848633477982</t>
  </si>
  <si>
    <t>-522.858927138286 -263.293891963032 754.454802598339</t>
  </si>
  <si>
    <t>-411.096233634998 -348.616762066621 827.36848171873</t>
  </si>
  <si>
    <t>9763-20170724T104941.145420700.bin</t>
  </si>
  <si>
    <t>-591.280439521953 -69.5711425337663 300.758119807337</t>
  </si>
  <si>
    <t>-625.297080243977 -38.4214553785541 746.305776030619</t>
  </si>
  <si>
    <t>-481.109278417778 -17.1352518708864 808.306384736601</t>
  </si>
  <si>
    <t>-489.538936984677 -267.052960960265 307.855021116594</t>
  </si>
  <si>
    <t>-522.805836754686 -263.154487169339 754.456142092656</t>
  </si>
  <si>
    <t>-411.381493900936 -348.899158811759 827.392966306277</t>
  </si>
  <si>
    <t>9763-20170724T104941.213212100.bin</t>
  </si>
  <si>
    <t>-591.076671205164 -69.7256758914027 300.725998474433</t>
  </si>
  <si>
    <t>-625.289728228418 -38.471658113345 746.261713299107</t>
  </si>
  <si>
    <t>-481.113223443961 -17.1133360988401 808.26390952755</t>
  </si>
  <si>
    <t>-489.550140404539 -267.170887489118 307.885721108833</t>
  </si>
  <si>
    <t>-522.849808607108 -263.228017399165 754.473257175363</t>
  </si>
  <si>
    <t>-411.139167194824 -348.61663751828 827.389886775849</t>
  </si>
  <si>
    <t>9763-20170724T104941.244292500.bin</t>
  </si>
  <si>
    <t>-590.950888556482 -69.7740241926915 300.712948022239</t>
  </si>
  <si>
    <t>-625.312056568691 -38.448662616046 746.235716640932</t>
  </si>
  <si>
    <t>-481.120690431281 -17.197564946687 808.240200158702</t>
  </si>
  <si>
    <t>-489.530579410211 -267.18314719777 307.895050287867</t>
  </si>
  <si>
    <t>-522.865057861324 -263.239824363852 754.479041865759</t>
  </si>
  <si>
    <t>-411.228911377312 -348.723494880944 827.398156997764</t>
  </si>
  <si>
    <t>9763-20170724T104941.312478400.bin</t>
  </si>
  <si>
    <t>-590.864272817914 -69.9067893453866 300.687260138214</t>
  </si>
  <si>
    <t>-625.251043449108 -38.620430149952 746.193578881532</t>
  </si>
  <si>
    <t>-481.113035832139 -16.9790285474007 808.186847808117</t>
  </si>
  <si>
    <t>-489.505859144053 -267.147906404377 307.892287655093</t>
  </si>
  <si>
    <t>-522.794090564396 -263.037226586905 754.478267470493</t>
  </si>
  <si>
    <t>-411.361027908044 -348.776975156423 827.407400848721</t>
  </si>
  <si>
    <t>9763-20170724T104941.347573000.bin</t>
  </si>
  <si>
    <t>-590.899309687663 -69.8975110652038 300.660522786943</t>
  </si>
  <si>
    <t>-625.271975944831 -38.5846060033878 746.170519164742</t>
  </si>
  <si>
    <t>-481.091343373485 -17.2504318369558 808.171074035227</t>
  </si>
  <si>
    <t>-489.551079193738 -267.125742792878 307.885995823551</t>
  </si>
  <si>
    <t>-522.794081650029 -263.015619521183 754.48291710946</t>
  </si>
  <si>
    <t>-411.410690298887 -348.822381429457 827.409091558425</t>
  </si>
  <si>
    <t>9763-20170724T104941.410628800.bin</t>
  </si>
  <si>
    <t>-590.93812992412 -69.9930269146603 300.651626355539</t>
  </si>
  <si>
    <t>-625.319559730299 -38.5036915662095 746.149970305781</t>
  </si>
  <si>
    <t>-481.114877677325 -17.3494887755594 808.156290950583</t>
  </si>
  <si>
    <t>-489.602815363433 -267.304020089527 307.864359542139</t>
  </si>
  <si>
    <t>-522.894498497707 -263.203417390064 754.494591918697</t>
  </si>
  <si>
    <t>-411.422266883654 -348.909372172932 827.40354620711</t>
  </si>
  <si>
    <t>9763-20170724T104941.444690500.bin</t>
  </si>
  <si>
    <t>-590.835351267221 -70.0726602479242 300.670505474517</t>
  </si>
  <si>
    <t>-625.332364699081 -38.4953266523205 746.15293206792</t>
  </si>
  <si>
    <t>-481.15377964576 -17.1529144862316 808.155445910198</t>
  </si>
  <si>
    <t>-489.528775864404 -267.274959520212 307.857275369915</t>
  </si>
  <si>
    <t>-522.790730628627 -262.958262067554 754.478879808052</t>
  </si>
  <si>
    <t>-411.490837579277 -348.879755337857 827.397750901597</t>
  </si>
  <si>
    <t>9763-20170724T104941.511886300.bin</t>
  </si>
  <si>
    <t>-590.651143280401 -70.2840476313982 300.742782280883</t>
  </si>
  <si>
    <t>-625.336297843824 -38.5277439604522 746.182161090714</t>
  </si>
  <si>
    <t>-481.107735811113 -17.5267558570908 808.184885289864</t>
  </si>
  <si>
    <t>-489.535366325515 -267.469062549997 307.857662346773</t>
  </si>
  <si>
    <t>-522.807045319494 -262.96008398325 754.473606756188</t>
  </si>
  <si>
    <t>-411.414258982556 -348.769689042417 827.382310057875</t>
  </si>
  <si>
    <t>9763-20170724T104941.547980900.bin</t>
  </si>
  <si>
    <t>-590.551299992802 -70.4266183105199 300.795922777872</t>
  </si>
  <si>
    <t>-625.270902237125 -38.6810493234582 746.206015861964</t>
  </si>
  <si>
    <t>-481.074713049191 -17.4404687489223 808.202836728612</t>
  </si>
  <si>
    <t>-489.5400081638 -267.519511775125 307.849525990622</t>
  </si>
  <si>
    <t>-522.78936428219 -262.894155828194 754.472043845214</t>
  </si>
  <si>
    <t>-411.437735132171 -348.761638269936 827.37518487744</t>
  </si>
  <si>
    <t>9763-20170724T104941.612865300.bin</t>
  </si>
  <si>
    <t>-590.484741308939 -70.5511677900388 300.886807275355</t>
  </si>
  <si>
    <t>-625.282502393931 -38.6809867751635 746.272008046649</t>
  </si>
  <si>
    <t>-481.102708224956 -17.3160367750331 808.264078585227</t>
  </si>
  <si>
    <t>-489.648961780099 -267.763776909483 307.852087462674</t>
  </si>
  <si>
    <t>-522.83745544376 -262.970409820996 754.469094923799</t>
  </si>
  <si>
    <t>-411.101306493111 -348.359766932742 827.345617703679</t>
  </si>
  <si>
    <t>9763-20170724T104941.649964500.bin</t>
  </si>
  <si>
    <t>-590.51519815851 -70.5124179021393 300.916676655129</t>
  </si>
  <si>
    <t>-625.326327452329 -38.6002103195601 746.299600410984</t>
  </si>
  <si>
    <t>-481.100086349203 -17.5645416843754 808.296482835523</t>
  </si>
  <si>
    <t>-489.701199625235 -267.761741819717 307.851297297136</t>
  </si>
  <si>
    <t>-522.842173420104 -262.977823453684 754.467921136559</t>
  </si>
  <si>
    <t>-411.131239508742 -348.396756545457 827.348309267888</t>
  </si>
  <si>
    <t>9763-20170724T104941.713672300.bin</t>
  </si>
  <si>
    <t>-590.483704312782 -70.5501337699293 300.949546913123</t>
  </si>
  <si>
    <t>-625.322536301582 -38.62203937652 746.34462750253</t>
  </si>
  <si>
    <t>-481.133229450387 -17.3246582789584 808.337786060742</t>
  </si>
  <si>
    <t>-489.706903703036 -267.701152627249 307.851300398041</t>
  </si>
  <si>
    <t>-522.811550706649 -262.898450975454 754.471350865496</t>
  </si>
  <si>
    <t>-411.294609717411 -348.559254040065 827.364863167897</t>
  </si>
  <si>
    <t>9763-20170724T104941.747762900.bin</t>
  </si>
  <si>
    <t>-590.46878797315 -70.5366536176225 300.958532202263</t>
  </si>
  <si>
    <t>-625.318869168383 -38.6333591918285 746.356802913307</t>
  </si>
  <si>
    <t>-481.124033575795 -17.3817348912808 808.353071205266</t>
  </si>
  <si>
    <t>-489.726071968746 -267.752338285461 307.861222605547</t>
  </si>
  <si>
    <t>-522.898668351479 -263.101238513744 754.481941812924</t>
  </si>
  <si>
    <t>-411.302153240698 -348.662278534282 827.371015157979</t>
  </si>
  <si>
    <t>9763-20170724T104941.816449600.bin</t>
  </si>
  <si>
    <t>-590.47325999041 -70.2706578552129 300.939304809856</t>
  </si>
  <si>
    <t>-625.416430465784 -38.4033917335958 746.343051814315</t>
  </si>
  <si>
    <t>-481.175596965822 -17.5388854389068 808.363426687785</t>
  </si>
  <si>
    <t>-489.603827049459 -267.508919458439 307.871779471286</t>
  </si>
  <si>
    <t>-522.758723561753 -262.776425791415 754.47347510348</t>
  </si>
  <si>
    <t>-411.589284969007 -348.862076343836 827.397563513299</t>
  </si>
  <si>
    <t>9763-20170724T104941.849537100.bin</t>
  </si>
  <si>
    <t>-590.456010879226 -70.2727848967395 300.925191900277</t>
  </si>
  <si>
    <t>-625.350373107394 -38.5271698324309 746.336686432052</t>
  </si>
  <si>
    <t>-481.163991030778 -17.2864441775585 808.356161684987</t>
  </si>
  <si>
    <t>-489.624453316204 -267.494609664411 307.870501424894</t>
  </si>
  <si>
    <t>-522.781445110233 -262.822873819993 754.48204655011</t>
  </si>
  <si>
    <t>-411.484582360867 -348.749952825246 827.398754448399</t>
  </si>
  <si>
    <t>9763-20170724T104941.915507200.bin</t>
  </si>
  <si>
    <t>-590.456140510134 -70.1365965654334 300.896763544057</t>
  </si>
  <si>
    <t>-625.367288684434 -38.4829676252184 746.320444697659</t>
  </si>
  <si>
    <t>-481.155338885937 -17.4448376936787 808.349657601705</t>
  </si>
  <si>
    <t>-489.579409939599 -267.382375496514 307.854397132098</t>
  </si>
  <si>
    <t>-522.728325240962 -262.704033253653 754.476663071269</t>
  </si>
  <si>
    <t>-411.615584584656 -348.854908112379 827.410208703245</t>
  </si>
  <si>
    <t>9763-20170724T104941.942580100.bin</t>
  </si>
  <si>
    <t>-590.410692100667 -70.2130621808215 300.901929404701</t>
  </si>
  <si>
    <t>-625.327509995936 -38.578076123667 746.318841280919</t>
  </si>
  <si>
    <t>-481.150431362522 -17.2998498523921 808.346811461047</t>
  </si>
  <si>
    <t>-489.595377317581 -267.566565910399 307.863972269196</t>
  </si>
  <si>
    <t>-522.812711448163 -262.904791104122 754.481862872822</t>
  </si>
  <si>
    <t>-411.245017836109 -348.489543739536 827.387203019638</t>
  </si>
  <si>
    <t>9763-20170724T104942.008791800.bin</t>
  </si>
  <si>
    <t>-590.222006972691 -70.1802322450533 300.928073555444</t>
  </si>
  <si>
    <t>-625.326213683323 -38.5981934994718 746.319493274782</t>
  </si>
  <si>
    <t>-481.129101899992 -17.477148898176 808.35498193838</t>
  </si>
  <si>
    <t>-489.47599273617 -267.563211074922 307.868638001576</t>
  </si>
  <si>
    <t>-522.716299647834 -262.688178486127 754.47238129066</t>
  </si>
  <si>
    <t>-411.594241657743 -348.824824847036 827.4083810769</t>
  </si>
  <si>
    <t>9763-20170724T104942.041879600.bin</t>
  </si>
  <si>
    <t>-590.092470873803 -70.1414181675439 300.95131227804</t>
  </si>
  <si>
    <t>-625.364868656341 -38.527694111008 746.322895273029</t>
  </si>
  <si>
    <t>-481.140777750552 -17.6031657634674 808.362362704823</t>
  </si>
  <si>
    <t>-489.407992903139 -267.682763702107 307.884330925951</t>
  </si>
  <si>
    <t>-522.803319268649 -262.889558640942 754.485378078728</t>
  </si>
  <si>
    <t>-411.375152919144 -348.64984052903 827.397765358201</t>
  </si>
  <si>
    <t>9763-20170724T104942.113930200.bin</t>
  </si>
  <si>
    <t>-589.584493645455 -70.2786304152487 300.990182933204</t>
  </si>
  <si>
    <t>-625.329420825608 -38.6383178558826 746.334650970288</t>
  </si>
  <si>
    <t>-481.146577691174 -17.4016354090297 808.363619081702</t>
  </si>
  <si>
    <t>-489.167992912283 -267.819415374714 307.89333153334</t>
  </si>
  <si>
    <t>-522.80398238271 -262.890665272979 754.487314436548</t>
  </si>
  <si>
    <t>-411.361835689495 -348.639999399583 827.391546352694</t>
  </si>
  <si>
    <t>9763-20170724T104942.140999600.bin</t>
  </si>
  <si>
    <t>-589.313366982404 -70.3514470984944 301.019385421262</t>
  </si>
  <si>
    <t>-625.29762676492 -38.7294006116088 746.343002771694</t>
  </si>
  <si>
    <t>-481.142626689797 -17.2707995167011 808.36037484879</t>
  </si>
  <si>
    <t>-488.971135801823 -267.887579058621 307.896669564859</t>
  </si>
  <si>
    <t>-522.792853069967 -262.880225407592 754.483677252221</t>
  </si>
  <si>
    <t>-411.442384691789 -348.743280354172 827.393957539064</t>
  </si>
  <si>
    <t>9763-20170724T104942.210806500.bin</t>
  </si>
  <si>
    <t>-588.920377502117 -70.3116309850918 301.081411163042</t>
  </si>
  <si>
    <t>-625.275282396135 -38.8118476049024 746.35850700371</t>
  </si>
  <si>
    <t>-481.110879908621 -17.4031638620547 808.371391249842</t>
  </si>
  <si>
    <t>-488.594003590324 -268.096922931387 307.936313918741</t>
  </si>
  <si>
    <t>-522.842140514138 -263.012126317749 754.496637608554</t>
  </si>
  <si>
    <t>-411.27284500364 -348.613035003618 827.38076839308</t>
  </si>
  <si>
    <t>9763-20170724T104942.246903600.bin</t>
  </si>
  <si>
    <t>-588.742252651337 -70.2321580036523 301.109290370145</t>
  </si>
  <si>
    <t>-625.329584477331 -38.7195879813708 746.36406270564</t>
  </si>
  <si>
    <t>-481.143400613351 -17.4553679467904 808.375915373036</t>
  </si>
  <si>
    <t>-488.390286545677 -268.12031997823 307.954447307738</t>
  </si>
  <si>
    <t>-522.856763647824 -263.067747522094 754.495925336453</t>
  </si>
  <si>
    <t>-411.349817076709 -348.744444146303 827.386452158278</t>
  </si>
  <si>
    <t>9763-20170724T104942.311086000.bin</t>
  </si>
  <si>
    <t>-588.315395989309 -70.1597867796645 301.144840644169</t>
  </si>
  <si>
    <t>-625.285978490521 -38.8549741848683 746.375458210258</t>
  </si>
  <si>
    <t>-481.126751610675 -17.3731229192692 808.374801552307</t>
  </si>
  <si>
    <t>-487.800064040012 -268.115613397056 307.983008669549</t>
  </si>
  <si>
    <t>-522.806098363492 -263.002705406213 754.484610096247</t>
  </si>
  <si>
    <t>-411.175527025222 -348.515617802364 827.378137766695</t>
  </si>
  <si>
    <t>9763-20170724T104942.343169900.bin</t>
  </si>
  <si>
    <t>-588.157517596069 -70.0410752164228 301.160129115279</t>
  </si>
  <si>
    <t>-625.354550018761 -38.7352528793704 746.38133084643</t>
  </si>
  <si>
    <t>-481.15565204996 -17.518097545895 808.379701826684</t>
  </si>
  <si>
    <t>-487.540964563178 -268.120451156606 307.994782898224</t>
  </si>
  <si>
    <t>-522.801748516318 -263.024424532084 754.478443985264</t>
  </si>
  <si>
    <t>-410.993901446405 -348.309319742718 827.367398487944</t>
  </si>
  <si>
    <t>9763-20170724T104942.415905700.bin</t>
  </si>
  <si>
    <t>-587.819529998372 -69.7480750759823 301.19523137345</t>
  </si>
  <si>
    <t>-625.404602958609 -38.6830417923109 746.400819675269</t>
  </si>
  <si>
    <t>-481.214312160183 -17.3521489736261 808.380145917808</t>
  </si>
  <si>
    <t>-486.88398853527 -267.817031547441 308.012375489548</t>
  </si>
  <si>
    <t>-522.60102075594 -262.612768285529 754.445107619165</t>
  </si>
  <si>
    <t>-411.314197226848 -348.537476686547 827.37982470907</t>
  </si>
  <si>
    <t>9763-20170724T104942.444982800.bin</t>
  </si>
  <si>
    <t>-587.679923578128 -69.5731011008809 301.216932420777</t>
  </si>
  <si>
    <t>-625.450126587351 -38.6136279120688 746.415354667852</t>
  </si>
  <si>
    <t>-481.23035737051 -17.4578805738427 808.386225793967</t>
  </si>
  <si>
    <t>-486.574248785366 -267.697656305595 308.022035893564</t>
  </si>
  <si>
    <t>-522.570041851194 -262.5709299104 754.433023098943</t>
  </si>
  <si>
    <t>-411.37232469192 -348.602261284468 827.377908664373</t>
  </si>
  <si>
    <t>9763-20170724T104942.512186800.bin</t>
  </si>
  <si>
    <t>-587.329412324127 -69.3930334872066 301.25685871728</t>
  </si>
  <si>
    <t>-625.424325643066 -38.7291742239888 746.440274462497</t>
  </si>
  <si>
    <t>-481.217074026879 -17.4315672170967 808.391808692356</t>
  </si>
  <si>
    <t>-486.036015851691 -267.695599090924 308.032379776163</t>
  </si>
  <si>
    <t>-522.56960357602 -262.655916369896 754.401833943652</t>
  </si>
  <si>
    <t>-411.232229897994 -348.492098823046 827.363686222866</t>
  </si>
  <si>
    <t>9763-20170724T104942.552285700.bin</t>
  </si>
  <si>
    <t>-587.165382968574 -69.2701860412731 301.270976024381</t>
  </si>
  <si>
    <t>-625.451878697804 -38.6946640486826 746.451826339701</t>
  </si>
  <si>
    <t>-481.24560483841 -17.3813480275153 808.399817351246</t>
  </si>
  <si>
    <t>-485.762623828127 -267.633545176897 308.029742407987</t>
  </si>
  <si>
    <t>-522.544370289449 -262.631999452959 754.382171008976</t>
  </si>
  <si>
    <t>-411.250044119469 -348.510918643394 827.359628884279</t>
  </si>
  <si>
    <t>9763-20170724T104942.593192100.bin</t>
  </si>
  <si>
    <t>-586.98983289015 -69.1513871614586 301.278252911288</t>
  </si>
  <si>
    <t>-625.455754231027 -38.7088949436743 746.460075307905</t>
  </si>
  <si>
    <t>-481.253743689833 -17.3540229527298 808.404113834095</t>
  </si>
  <si>
    <t>-485.518754971088 -267.549871060241 308.031457562105</t>
  </si>
  <si>
    <t>-522.564948490918 -262.706591565837 754.370706005086</t>
  </si>
  <si>
    <t>-411.440934974922 -348.786797168447 827.370307720523</t>
  </si>
  <si>
    <t>9763-20170724T104942.642324700.bin</t>
  </si>
  <si>
    <t>-445.4858736849 0.52354888909872 -258.598138032545</t>
  </si>
  <si>
    <t>-586.683774219314 -68.8365405909585 301.286385674424</t>
  </si>
  <si>
    <t>-625.490148004615 -38.661628403986 746.455526164995</t>
  </si>
  <si>
    <t>-481.254443674593 -17.5348799018791 808.399000371143</t>
  </si>
  <si>
    <t>-485.101107362428 -267.350535296464 308.031607769271</t>
  </si>
  <si>
    <t>-522.490528348641 -262.596980831093 754.335579356494</t>
  </si>
  <si>
    <t>-411.381749006934 -348.678237676751 827.357000485652</t>
  </si>
  <si>
    <t>9763-20170724T104942.714519600.bin</t>
  </si>
  <si>
    <t>-444.911124485167 1.25713337060392 -258.679015197381</t>
  </si>
  <si>
    <t>-586.520502726345 -68.5894111655841 301.278557386126</t>
  </si>
  <si>
    <t>-625.45993212893 -38.7368729589264 746.445219292826</t>
  </si>
  <si>
    <t>-481.277512209337 -17.2425300473938 808.386390571772</t>
  </si>
  <si>
    <t>-484.734478876168 -267.039943423388 308.026181819907</t>
  </si>
  <si>
    <t>-522.382576671267 -262.407747353086 754.30572958442</t>
  </si>
  <si>
    <t>-411.547709861711 -348.813599133835 827.360275618174</t>
  </si>
  <si>
    <t>9763-20170724T104942.749619500.bin</t>
  </si>
  <si>
    <t>-444.701486350991 1.40157209130075 -258.734096121012</t>
  </si>
  <si>
    <t>-586.444453794389 -68.4978926400045 301.278247672187</t>
  </si>
  <si>
    <t>-625.448530574179 -38.76221718125 746.444485062321</t>
  </si>
  <si>
    <t>-481.274800739976 -17.2054273631313 808.38430571013</t>
  </si>
  <si>
    <t>-484.620742742301 -266.990222301225 308.018366900159</t>
  </si>
  <si>
    <t>-522.393325065998 -262.461834096175 754.294795059424</t>
  </si>
  <si>
    <t>-411.430691180573 -348.702906147764 827.350153089602</t>
  </si>
  <si>
    <t>9763-20170724T104942.813491200.bin</t>
  </si>
  <si>
    <t>-444.417396820905 1.85317543279507 -258.838986003861</t>
  </si>
  <si>
    <t>-586.276369718888 -68.3059860060857 301.292370127537</t>
  </si>
  <si>
    <t>-625.485535294649 -38.7017798125933 746.458292432175</t>
  </si>
  <si>
    <t>-481.296389888675 -17.2374718967271 808.394125867051</t>
  </si>
  <si>
    <t>-484.398700267972 -266.933612858651 308.018389811069</t>
  </si>
  <si>
    <t>-522.439249382191 -262.620175974263 754.278379543447</t>
  </si>
  <si>
    <t>-411.205516622561 -348.514943492633 827.32954648394</t>
  </si>
  <si>
    <t>9763-20170724T104942.846577200.bin</t>
  </si>
  <si>
    <t>-444.270653845378 2.08418588582799 -258.859405353737</t>
  </si>
  <si>
    <t>-586.155229674433 -68.2864389104093 301.298656310587</t>
  </si>
  <si>
    <t>-625.390643281077 -38.9151989349118 746.470495736933</t>
  </si>
  <si>
    <t>-481.243393065939 -17.155222046508 808.40089397807</t>
  </si>
  <si>
    <t>-484.29222555026 -266.81969167283 308.015614778253</t>
  </si>
  <si>
    <t>-522.362392761501 -262.467215091873 754.266125719552</t>
  </si>
  <si>
    <t>-411.387697872519 -348.679169766468 827.337378578885</t>
  </si>
  <si>
    <t>9763-20170724T104942.911759200.bin</t>
  </si>
  <si>
    <t>-444.137679067059 2.42016551124334 -258.875430536365</t>
  </si>
  <si>
    <t>-586.059127466843 -68.1174187694942 301.311026544897</t>
  </si>
  <si>
    <t>-625.436774244088 -38.8332221558449 746.480033652258</t>
  </si>
  <si>
    <t>-481.278780971289 -17.1521855432484 808.413081331996</t>
  </si>
  <si>
    <t>-484.184639543632 -266.651181967093 308.007069766298</t>
  </si>
  <si>
    <t>-522.324312313215 -262.413561755445 754.254390437916</t>
  </si>
  <si>
    <t>-411.500318670377 -348.812734876487 827.333181054793</t>
  </si>
  <si>
    <t>9763-20170724T104942.945848900.bin</t>
  </si>
  <si>
    <t>-444.129139080798 2.48081559407342 -258.839577750058</t>
  </si>
  <si>
    <t>-586.065110686784 -68.0172266162767 301.313004951875</t>
  </si>
  <si>
    <t>-625.482865900371 -38.7454920838093 746.480380701447</t>
  </si>
  <si>
    <t>-481.285947381825 -17.3355743239474 808.417100400048</t>
  </si>
  <si>
    <t>-484.212125323874 -266.627965989209 308.014366669841</t>
  </si>
  <si>
    <t>-522.326201535914 -262.429927581648 754.254863614294</t>
  </si>
  <si>
    <t>-411.239742535107 -348.506615983296 827.315631118836</t>
  </si>
  <si>
    <t>9763-20170724T104943.013747400.bin</t>
  </si>
  <si>
    <t>-444.09502105602 2.29915929681465 -258.809577613569</t>
  </si>
  <si>
    <t>-586.064274026552 -68.0102729062537 301.305719454268</t>
  </si>
  <si>
    <t>-625.459231434211 -38.809298242925 746.473636544074</t>
  </si>
  <si>
    <t>-481.29178239505 -17.2089364071421 808.412910785913</t>
  </si>
  <si>
    <t>-484.153353289387 -266.619017061035 308.010078577026</t>
  </si>
  <si>
    <t>-522.378460720925 -262.577947953776 754.264434434138</t>
  </si>
  <si>
    <t>-411.247089549156 -348.605495591069 827.314894002252</t>
  </si>
  <si>
    <t>9763-20170724T104943.045808100.bin</t>
  </si>
  <si>
    <t>-444.124114012134 2.16605414028618 -258.789061548825</t>
  </si>
  <si>
    <t>-586.11682526323 -68.0365736642536 301.304349077809</t>
  </si>
  <si>
    <t>-625.411127972763 -38.9155666855424 746.475924475076</t>
  </si>
  <si>
    <t>-481.280224746293 -17.0726927156184 808.415330072501</t>
  </si>
  <si>
    <t>-484.064555209802 -266.577651121405 308.008898265902</t>
  </si>
  <si>
    <t>-522.311638690989 -262.431566746394 754.266139431916</t>
  </si>
  <si>
    <t>-411.368725844729 -348.699044668198 827.320206203824</t>
  </si>
  <si>
    <t>9763-20170724T104943.114998300.bin</t>
  </si>
  <si>
    <t>-444.223551343213 1.87264794775797 -258.578169349822</t>
  </si>
  <si>
    <t>-586.287627418469 -68.1058809951523 301.315247074206</t>
  </si>
  <si>
    <t>-625.435443954301 -38.8883845354646 746.500409337483</t>
  </si>
  <si>
    <t>-481.313368182532 -16.998241981564 808.443814704209</t>
  </si>
  <si>
    <t>-483.920396332985 -266.810983163942 308.012672766892</t>
  </si>
  <si>
    <t>-522.396185995034 -262.621579069264 754.281979572666</t>
  </si>
  <si>
    <t>-411.149967638618 -348.535842470759 827.290825583354</t>
  </si>
  <si>
    <t>9763-20170724T104943.148085100.bin</t>
  </si>
  <si>
    <t>-444.316429470618 1.97438736420804 -258.38949301896</t>
  </si>
  <si>
    <t>-586.358538558126 -68.0809794970323 301.340942310726</t>
  </si>
  <si>
    <t>-625.487071933294 -38.8063929555885 746.525862158747</t>
  </si>
  <si>
    <t>-481.322231479506 -17.2181217278178 808.475476655739</t>
  </si>
  <si>
    <t>-483.938134288472 -266.863755090573 308.014886307112</t>
  </si>
  <si>
    <t>-522.405388320342 -262.63448421454 754.292169207167</t>
  </si>
  <si>
    <t>-411.127673698365 -348.526561490905 827.279262792842</t>
  </si>
  <si>
    <t>9763-20170724T104943.209083300.bin</t>
  </si>
  <si>
    <t>-444.512456391876 2.25122859765429 -258.041429717003</t>
  </si>
  <si>
    <t>-586.441599383625 -68.1118295868562 301.400923294956</t>
  </si>
  <si>
    <t>-625.512335815517 -38.8231014344167 746.575009664964</t>
  </si>
  <si>
    <t>-481.326124936852 -17.3816446047363 808.525836862146</t>
  </si>
  <si>
    <t>-484.050116780087 -267.033579902 308.052818344773</t>
  </si>
  <si>
    <t>-522.462492243377 -262.783165403837 754.313387566149</t>
  </si>
  <si>
    <t>-410.750247486071 -348.149510619075 827.253332415011</t>
  </si>
  <si>
    <t>9763-20170724T104943.246182500.bin</t>
  </si>
  <si>
    <t>-444.526261434931 2.61632040062659 -257.956147082186</t>
  </si>
  <si>
    <t>-586.414390819192 -68.125717637791 301.427802358983</t>
  </si>
  <si>
    <t>-625.511005778772 -38.8680043510922 746.59359236577</t>
  </si>
  <si>
    <t>-481.350851801373 -17.2388588011943 808.539692438296</t>
  </si>
  <si>
    <t>-484.058271520023 -267.043593682803 308.069231300754</t>
  </si>
  <si>
    <t>-522.459112765865 -262.797153987493 754.321254929776</t>
  </si>
  <si>
    <t>-410.713479248127 -348.123902858919 827.256609471692</t>
  </si>
  <si>
    <t>9763-20170724T104943.312076800.bin</t>
  </si>
  <si>
    <t>-444.226215503727 3.36218030010309 -257.820994582805</t>
  </si>
  <si>
    <t>-586.294346848574 -67.9724248117495 301.455359135535</t>
  </si>
  <si>
    <t>-625.614929563993 -38.732864428328 746.615680539401</t>
  </si>
  <si>
    <t>-481.389950600481 -17.5545057409563 808.566763097569</t>
  </si>
  <si>
    <t>-483.993678597842 -267.016637936279 308.080244866763</t>
  </si>
  <si>
    <t>-522.440911399779 -262.804407125332 754.333571561447</t>
  </si>
  <si>
    <t>-410.563246759607 -347.966305048113 827.259060694327</t>
  </si>
  <si>
    <t>9763-20170724T104943.348178100.bin</t>
  </si>
  <si>
    <t>-444.054778195525 3.7162224396227 -257.803372151327</t>
  </si>
  <si>
    <t>-586.187946838057 -67.91583719139 301.478056040331</t>
  </si>
  <si>
    <t>-625.659078589958 -38.7102754464609 746.637266930547</t>
  </si>
  <si>
    <t>-481.412654490604 -17.6503205002664 808.578776520475</t>
  </si>
  <si>
    <t>-483.961537720098 -267.049018352142 308.082355885383</t>
  </si>
  <si>
    <t>-522.440428976161 -262.825203581762 754.337743099174</t>
  </si>
  <si>
    <t>-410.486962242769 -347.893859970392 827.255611665552</t>
  </si>
  <si>
    <t>9763-20170724T104943.410034900.bin</t>
  </si>
  <si>
    <t>-443.474031534221 4.01843572099096 -257.751624819373</t>
  </si>
  <si>
    <t>-585.769023819526 -67.8908314744936 301.538132071115</t>
  </si>
  <si>
    <t>-625.688632884732 -38.7923695153306 746.667679944182</t>
  </si>
  <si>
    <t>-481.430129430702 -17.7313496756055 808.580903241674</t>
  </si>
  <si>
    <t>-483.989430113301 -267.008516880887 308.100668958317</t>
  </si>
  <si>
    <t>-522.499315651717 -263.012068378634 754.347653782625</t>
  </si>
  <si>
    <t>-410.344865868376 -347.822027304639 827.258241639768</t>
  </si>
  <si>
    <t>9763-20170724T104943.448137000.bin</t>
  </si>
  <si>
    <t>-443.217740571686 4.4625780602646 -257.876498552315</t>
  </si>
  <si>
    <t>-585.588912068303 -67.7995711233616 301.560155943134</t>
  </si>
  <si>
    <t>-625.710410754251 -38.8125273583555 746.676164611714</t>
  </si>
  <si>
    <t>-481.453234265521 -17.7101991573998 808.578342084641</t>
  </si>
  <si>
    <t>-483.918136010565 -266.988480367007 308.10337005397</t>
  </si>
  <si>
    <t>-522.495569561853 -263.053678596056 754.343407073506</t>
  </si>
  <si>
    <t>-410.139989588666 -347.597658427522 827.253087102088</t>
  </si>
  <si>
    <t>9763-20170724T104943.515322900.bin</t>
  </si>
  <si>
    <t>-442.177019412989 6.23468522704752 -258.347959953072</t>
  </si>
  <si>
    <t>-585.454361581429 -67.210675486926 301.570523832863</t>
  </si>
  <si>
    <t>-625.794262337792 -38.7247835841379 746.681794003229</t>
  </si>
  <si>
    <t>-481.475861706244 -18.0480828997049 808.584761972657</t>
  </si>
  <si>
    <t>-483.73937924836 -266.598501920808 308.098111194742</t>
  </si>
  <si>
    <t>-522.415566164248 -262.938824619585 754.331538296705</t>
  </si>
  <si>
    <t>-410.17873961658 -347.620764544542 827.264142055238</t>
  </si>
  <si>
    <t>9763-20170724T104943.547419900.bin</t>
  </si>
  <si>
    <t>-441.532446283741 6.93759900676355 -258.581544112078</t>
  </si>
  <si>
    <t>-585.362507215085 -66.9466612343217 301.567589006811</t>
  </si>
  <si>
    <t>-625.791256980494 -38.7766356330778 746.690491861768</t>
  </si>
  <si>
    <t>-481.491190135734 -17.9419095555072 808.582713296697</t>
  </si>
  <si>
    <t>-483.687814420971 -266.344220037062 308.098349038164</t>
  </si>
  <si>
    <t>-522.430738067887 -263.008814228298 754.328538524235</t>
  </si>
  <si>
    <t>-410.290549468729 -347.810378654678 827.27087378636</t>
  </si>
  <si>
    <t>9763-20170724T104943.593534900.bin</t>
  </si>
  <si>
    <t>-440.98677480484 7.49790621536454 -258.801471097376</t>
  </si>
  <si>
    <t>-585.234741629814 -66.7825768800421 301.561073797855</t>
  </si>
  <si>
    <t>-625.719585329732 -38.969646509257 746.695112375859</t>
  </si>
  <si>
    <t>-481.458488155154 -17.8436520063617 808.579876375565</t>
  </si>
  <si>
    <t>-483.585658274727 -266.100879000059 308.095375649451</t>
  </si>
  <si>
    <t>-522.393111859101 -262.951863334935 754.318983693008</t>
  </si>
  <si>
    <t>-410.205090951355 -347.686694139616 827.265225240008</t>
  </si>
  <si>
    <t>9763-20170724T104943.647682800.bin</t>
  </si>
  <si>
    <t>-440.577796473595 9.02688788143746 -258.956819434604</t>
  </si>
  <si>
    <t>-584.966042557345 -65.9693042319423 301.584613266776</t>
  </si>
  <si>
    <t>-625.820267162436 -38.8244570643978 746.732740759928</t>
  </si>
  <si>
    <t>-481.517071476692 -17.9648250142884 808.60953729864</t>
  </si>
  <si>
    <t>-483.312315154234 -265.365747023869 308.071115970095</t>
  </si>
  <si>
    <t>-522.282618986982 -262.753634362417 754.286381902239</t>
  </si>
  <si>
    <t>-410.411843891281 -347.87492741924 827.269897292284</t>
  </si>
  <si>
    <t>9763-20170724T104943.715801000.bin</t>
  </si>
  <si>
    <t>-440.668392375401 10.7053628878755 -258.667794467639</t>
  </si>
  <si>
    <t>-584.428739655768 -65.2765461438971 301.651864443997</t>
  </si>
  <si>
    <t>-625.824324374587 -38.8857370858584 746.791551655589</t>
  </si>
  <si>
    <t>-481.56762975479 -17.6544682497413 808.65061445652</t>
  </si>
  <si>
    <t>-482.789218871162 -264.698934955575 308.063500280524</t>
  </si>
  <si>
    <t>-522.238756006867 -262.715348470711 754.254965279511</t>
  </si>
  <si>
    <t>-410.56298328333 -348.062652868487 827.273085214954</t>
  </si>
  <si>
    <t>9763-20170724T104943.759430300.bin</t>
  </si>
  <si>
    <t>-440.758237522627 11.5258277289365 -258.555905471117</t>
  </si>
  <si>
    <t>-584.161035611528 -64.880712505794 301.69283797741</t>
  </si>
  <si>
    <t>-625.88563602224 -38.7785764109685 746.822043295513</t>
  </si>
  <si>
    <t>-481.593463921269 -17.7894663241236 808.680995807782</t>
  </si>
  <si>
    <t>-482.534983648361 -264.412335125514 308.064725499455</t>
  </si>
  <si>
    <t>-522.219108547003 -262.718936564697 754.232320278973</t>
  </si>
  <si>
    <t>-410.343622139704 -347.802045979268 827.253065599441</t>
  </si>
  <si>
    <t>9763-20170724T104943.814811700.bin</t>
  </si>
  <si>
    <t>-440.594766889723 13.1868460290927 -259.151493152895</t>
  </si>
  <si>
    <t>-583.736325689414 -64.3292172813435 301.777002101116</t>
  </si>
  <si>
    <t>-625.843368439156 -38.8979180573679 746.893359740881</t>
  </si>
  <si>
    <t>-481.594936362471 -17.5815307538232 808.742605641983</t>
  </si>
  <si>
    <t>-481.899328661126 -263.782024018644 308.038367519761</t>
  </si>
  <si>
    <t>-522.110462876452 -262.58394197158 754.170117074954</t>
  </si>
  <si>
    <t>-410.336441756154 -347.757074881313 827.2411730031</t>
  </si>
  <si>
    <t>9763-20170724T104943.848899200.bin</t>
  </si>
  <si>
    <t>-440.033287582462 14.4366068918978 -259.927500317752</t>
  </si>
  <si>
    <t>-583.604361983436 -63.9707214723639 301.829678204679</t>
  </si>
  <si>
    <t>-625.859826619755 -38.8713458149743 746.94625167585</t>
  </si>
  <si>
    <t>-481.579025267646 -17.7715663961983 808.793803058581</t>
  </si>
  <si>
    <t>-481.555566053134 -263.384621472957 308.017998121581</t>
  </si>
  <si>
    <t>-522.016382438695 -262.419833911506 754.135554123908</t>
  </si>
  <si>
    <t>-410.628647466117 -348.057962461657 827.253150391364</t>
  </si>
  <si>
    <t>9763-20170724T104943.910650300.bin</t>
  </si>
  <si>
    <t>-435.918206747933 18.1949371750984 -262.266877956609</t>
  </si>
  <si>
    <t>-583.360323627358 -63.3394548232488 301.949303149324</t>
  </si>
  <si>
    <t>-625.868203171239 -38.9405123603219 747.089481937386</t>
  </si>
  <si>
    <t>-481.585556397012 -17.7549533540812 808.903749117239</t>
  </si>
  <si>
    <t>-481.234498278476 -262.702076939778 307.996348038394</t>
  </si>
  <si>
    <t>-521.866816400344 -262.162616201583 754.074886019973</t>
  </si>
  <si>
    <t>-410.797179175062 -348.16530249481 827.248553875835</t>
  </si>
  <si>
    <t>9763-20170724T104943.946747700.bin</t>
  </si>
  <si>
    <t>-433.088889389626 20.3896924013022 -263.899667060148</t>
  </si>
  <si>
    <t>-583.178691003281 -63.0480012124578 302.016969718859</t>
  </si>
  <si>
    <t>-625.920290476043 -38.900245625033 747.170569109563</t>
  </si>
  <si>
    <t>-481.629894997864 -17.6848402370333 808.956380517138</t>
  </si>
  <si>
    <t>-481.184698230245 -262.527504780524 307.992606561051</t>
  </si>
  <si>
    <t>-521.911975531409 -262.313440087695 754.062345668259</t>
  </si>
  <si>
    <t>-410.668746954527 -348.085260293841 827.243291940673</t>
  </si>
  <si>
    <t>9763-20170724T104944.012932200.bin</t>
  </si>
  <si>
    <t>-666.435985540658 1.52319600979104 -249.395747548189</t>
  </si>
  <si>
    <t>-427.224958309763 24.0301341663269 -267.350844077523</t>
  </si>
  <si>
    <t>-582.836175333347 -62.4036374031416 302.13802659066</t>
  </si>
  <si>
    <t>-625.973354415022 -38.8697215472216 747.286024427194</t>
  </si>
  <si>
    <t>-481.641657443289 -17.8788239950918 809.052315335145</t>
  </si>
  <si>
    <t>-481.177758012111 -262.145948108353 308.003759118747</t>
  </si>
  <si>
    <t>-521.922689815924 -262.360275611258 754.05628817855</t>
  </si>
  <si>
    <t>-410.794358308994 -348.27081697778 827.248975069323</t>
  </si>
  <si>
    <t>9763-20170724T104944.046042200.bin</t>
  </si>
  <si>
    <t>-664.275039770182 3.54570757025908 -249.426550829127</t>
  </si>
  <si>
    <t>-425.138747032398 25.8896491662183 -268.543108723762</t>
  </si>
  <si>
    <t>-582.447433507223 -62.1544196862812 302.194294623267</t>
  </si>
  <si>
    <t>-625.941725847591 -38.9584314923607 747.334804231025</t>
  </si>
  <si>
    <t>-481.621973466974 -17.8404873907543 809.085162006567</t>
  </si>
  <si>
    <t>-481.169080377358 -261.783573065776 308.01110398272</t>
  </si>
  <si>
    <t>-521.777472756167 -262.052457750413 754.051534288019</t>
  </si>
  <si>
    <t>-411.315796061424 -348.781284176928 827.288360526515</t>
  </si>
  <si>
    <t>9763-20170724T104944.110869900.bin</t>
  </si>
  <si>
    <t>-662.077125435729 5.24945930816648 -249.773544693477</t>
  </si>
  <si>
    <t>-422.951610478108 28.081669445826 -268.443955076867</t>
  </si>
  <si>
    <t>-581.585704134051 -61.7405151003761 302.329775844623</t>
  </si>
  <si>
    <t>-625.958690525989 -38.9503095059381 747.410798335438</t>
  </si>
  <si>
    <t>-481.631079300718 -17.8340112235344 809.143676956404</t>
  </si>
  <si>
    <t>-481.233311267915 -261.580380814477 308.024271548737</t>
  </si>
  <si>
    <t>-521.769145161914 -262.087474362578 754.058161374011</t>
  </si>
  <si>
    <t>-411.159782777692 -348.620411786801 827.303614652615</t>
  </si>
  <si>
    <t>9763-20170724T104944.142957000.bin</t>
  </si>
  <si>
    <t>-661.124809224834 5.66405973508336 -249.867403113059</t>
  </si>
  <si>
    <t>-421.98714683714 28.9604024877881 -267.792289635934</t>
  </si>
  <si>
    <t>-581.240287211246 -61.4760082290679 302.395309561848</t>
  </si>
  <si>
    <t>-625.98420533455 -38.8743078647694 747.438760907725</t>
  </si>
  <si>
    <t>-481.622803205808 -18.0174085925592 809.180974088585</t>
  </si>
  <si>
    <t>-481.153452120079 -261.463979183307 308.04093751294</t>
  </si>
  <si>
    <t>-521.746735252699 -262.063842700513 754.062078114004</t>
  </si>
  <si>
    <t>-411.188217222752 -348.654768511881 827.315883889786</t>
  </si>
  <si>
    <t>9763-20170724T104944.211144700.bin</t>
  </si>
  <si>
    <t>-659.137348415426 6.92491908465058 -250.125977062545</t>
  </si>
  <si>
    <t>-419.945614365298 30.5196105217826 -266.9029807579</t>
  </si>
  <si>
    <t>-580.857008584409 -61.1025839874776 302.489117209871</t>
  </si>
  <si>
    <t>-625.955680155276 -38.8634829848688 747.489526172772</t>
  </si>
  <si>
    <t>-481.62211463194 -17.8516213363323 809.244131068983</t>
  </si>
  <si>
    <t>-480.920266096562 -261.196350777865 308.069385964277</t>
  </si>
  <si>
    <t>-521.760553265304 -262.165232451069 754.077826937241</t>
  </si>
  <si>
    <t>-411.369414967051 -348.954806880562 827.34891142783</t>
  </si>
  <si>
    <t>9763-20170724T104944.245234700.bin</t>
  </si>
  <si>
    <t>-658.051747347688 7.32447364308518 -250.283505525899</t>
  </si>
  <si>
    <t>-418.843921783663 30.9380995776376 -266.80360930498</t>
  </si>
  <si>
    <t>-580.894976780779 -60.9553821742356 302.512386253934</t>
  </si>
  <si>
    <t>-625.942040781792 -38.84329250207 747.510068205303</t>
  </si>
  <si>
    <t>-481.591135803866 -18.004004843043 809.282657415928</t>
  </si>
  <si>
    <t>-480.796046944237 -261.154882165276 308.085048258096</t>
  </si>
  <si>
    <t>-521.813463614028 -262.32880588379 754.081874408679</t>
  </si>
  <si>
    <t>-411.086082824407 -348.70267526091 827.336851716772</t>
  </si>
  <si>
    <t>9763-20170724T104944.307406700.bin</t>
  </si>
  <si>
    <t>-655.561926051855 8.18045765338661 -250.672296998359</t>
  </si>
  <si>
    <t>-416.360195073916 31.7139878524592 -267.392808865376</t>
  </si>
  <si>
    <t>-581.013015892399 -60.5675386270379 302.531967672787</t>
  </si>
  <si>
    <t>-625.997247378009 -38.6487540287396 747.557861692346</t>
  </si>
  <si>
    <t>-481.613515590517 -18.1218822803612 809.358415407779</t>
  </si>
  <si>
    <t>-480.484578808348 -260.877388338064 308.115529929131</t>
  </si>
  <si>
    <t>-521.741265003873 -262.200428220975 754.082311413499</t>
  </si>
  <si>
    <t>-411.027020176272 -348.592982593482 827.335113065137</t>
  </si>
  <si>
    <t>9763-20170724T104944.346512400.bin</t>
  </si>
  <si>
    <t>-654.425708620302 8.60958483391528 -250.95119832358</t>
  </si>
  <si>
    <t>-415.204449942605 31.9429284417188 -267.672148424458</t>
  </si>
  <si>
    <t>-581.09314526679 -60.4420224364142 302.519179895836</t>
  </si>
  <si>
    <t>-625.98895394595 -38.6285269516356 747.564874796886</t>
  </si>
  <si>
    <t>-481.650184289256 -17.8045225170329 809.370610513868</t>
  </si>
  <si>
    <t>-480.437606591229 -260.906074737131 308.13187753569</t>
  </si>
  <si>
    <t>-521.879378435917 -262.545614513409 754.097366370449</t>
  </si>
  <si>
    <t>-410.772497290322 -348.457749996384 827.320611908942</t>
  </si>
  <si>
    <t>9763-20170724T104944.407683000.bin</t>
  </si>
  <si>
    <t>-652.57666494553 9.7174358608429 -251.702020934906</t>
  </si>
  <si>
    <t>-413.250510592837 32.2578091443834 -268.00591308823</t>
  </si>
  <si>
    <t>-581.165930181885 -59.9916025621071 302.45922807971</t>
  </si>
  <si>
    <t>-626.016496214504 -38.4840094414567 747.547105282756</t>
  </si>
  <si>
    <t>-481.680445434638 -17.720953299892 809.379997930189</t>
  </si>
  <si>
    <t>-480.234592985985 -260.580918210518 308.151667578945</t>
  </si>
  <si>
    <t>-521.857193842337 -262.565163503575 754.096831693735</t>
  </si>
  <si>
    <t>-410.731220640585 -348.452960352099 827.319793397946</t>
  </si>
  <si>
    <t>9763-20170724T104944.446787200.bin</t>
  </si>
  <si>
    <t>-651.975112678653 10.3531720390865 -252.135893514466</t>
  </si>
  <si>
    <t>-412.564406883546 32.3667634504448 -267.907555742442</t>
  </si>
  <si>
    <t>-581.174488340231 -59.6727485059268 302.432682931088</t>
  </si>
  <si>
    <t>-626.018574001477 -38.443981878356 747.535838235101</t>
  </si>
  <si>
    <t>-481.667015300461 -17.8315773796321 809.38284776801</t>
  </si>
  <si>
    <t>-480.101051480564 -260.281984504641 308.151555248659</t>
  </si>
  <si>
    <t>-521.732417459552 -262.312564186767 754.084854289565</t>
  </si>
  <si>
    <t>-410.966479926767 -348.641167312001 827.334924202695</t>
  </si>
  <si>
    <t>9763-20170724T104944.511977700.bin</t>
  </si>
  <si>
    <t>-651.110019344085 11.2064011644329 -252.99249160717</t>
  </si>
  <si>
    <t>-411.55955541169 32.9722846272923 -266.873580791458</t>
  </si>
  <si>
    <t>-581.05334950673 -59.1533628594943 302.402025309791</t>
  </si>
  <si>
    <t>-626.012360615457 -38.4168966324039 747.521649803365</t>
  </si>
  <si>
    <t>-481.652173210914 -17.9053742445421 809.382257884837</t>
  </si>
  <si>
    <t>-479.759568330099 -259.771212386378 308.143709453236</t>
  </si>
  <si>
    <t>-521.600165026606 -262.074765797367 754.061995945305</t>
  </si>
  <si>
    <t>-411.132187868568 -348.763334518104 827.33693103845</t>
  </si>
  <si>
    <t>9763-20170724T104944.547072600.bin</t>
  </si>
  <si>
    <t>-650.89808262027 11.3489887130272 -253.386904736414</t>
  </si>
  <si>
    <t>-411.281161976523 32.9445126914768 -266.356640684863</t>
  </si>
  <si>
    <t>-580.989450848622 -59.018291952663 302.405719830857</t>
  </si>
  <si>
    <t>-625.983679397563 -38.4676067539747 747.52736843597</t>
  </si>
  <si>
    <t>-481.641110278932 -17.8223548413898 809.384382516347</t>
  </si>
  <si>
    <t>-479.642021687781 -259.683299070426 308.154805648637</t>
  </si>
  <si>
    <t>-521.671726808572 -262.271147528305 754.059080839699</t>
  </si>
  <si>
    <t>-410.970860778568 -348.670996250652 827.323377355971</t>
  </si>
  <si>
    <t>9763-20170724T104944.613805400.bin</t>
  </si>
  <si>
    <t>-650.433716027664 11.666975739455 -254.195541024275</t>
  </si>
  <si>
    <t>-410.717726094929 33.140581071694 -265.421504171053</t>
  </si>
  <si>
    <t>-581.012490513599 -58.656280923253 302.395793597868</t>
  </si>
  <si>
    <t>-626.044422314839 -38.3341131635568 747.527186611304</t>
  </si>
  <si>
    <t>-481.710104277719 -17.6188013461876 809.380163247623</t>
  </si>
  <si>
    <t>-479.487773868285 -259.483181145913 308.167072951075</t>
  </si>
  <si>
    <t>-521.647932303033 -262.284060786903 754.038259660462</t>
  </si>
  <si>
    <t>-410.799072823087 -348.487709596297 827.310238968818</t>
  </si>
  <si>
    <t>9763-20170724T104944.646894000.bin</t>
  </si>
  <si>
    <t>-650.10237310545 11.9758650887782 -254.573505701969</t>
  </si>
  <si>
    <t>-410.36909847537 33.5811282765769 -265.158292539635</t>
  </si>
  <si>
    <t>-581.06130429303 -58.3379076911731 302.378608593769</t>
  </si>
  <si>
    <t>-626.074169389978 -38.2670126900532 747.524426897995</t>
  </si>
  <si>
    <t>-481.685994640658 -17.9446914249247 809.38210288461</t>
  </si>
  <si>
    <t>-479.470606429877 -259.199492508569 308.169261014718</t>
  </si>
  <si>
    <t>-521.558403744196 -262.091580714411 754.0320208024</t>
  </si>
  <si>
    <t>-410.890526486053 -348.519938023357 827.312636816675</t>
  </si>
  <si>
    <t>9763-20170724T104944.710067800.bin</t>
  </si>
  <si>
    <t>-649.439600811849 12.6331489261886 -255.298879746709</t>
  </si>
  <si>
    <t>-409.709701338371 34.7501478467366 -264.851758880977</t>
  </si>
  <si>
    <t>-581.170685505936 -57.8489643822152 302.322721626329</t>
  </si>
  <si>
    <t>-626.149372708333 -38.1036914635795 747.50751246808</t>
  </si>
  <si>
    <t>-481.751610920481 -17.8314656719942 809.359381255155</t>
  </si>
  <si>
    <t>-479.568301352984 -258.869777500777 308.16700817927</t>
  </si>
  <si>
    <t>-521.6357773223 -262.30612193201 754.039137128773</t>
  </si>
  <si>
    <t>-410.920108457401 -348.675663003563 827.316878350424</t>
  </si>
  <si>
    <t>9763-20170724T104944.748169900.bin</t>
  </si>
  <si>
    <t>-648.881308955685 13.1463781639147 -255.669358716901</t>
  </si>
  <si>
    <t>-409.143037030302 35.3938545370117 -264.694960693474</t>
  </si>
  <si>
    <t>-581.164529093445 -57.6925445429717 302.281056155623</t>
  </si>
  <si>
    <t>-626.147442931706 -38.0820570195353 747.48049521676</t>
  </si>
  <si>
    <t>-481.750011833925 -17.8353229233408 809.341275641019</t>
  </si>
  <si>
    <t>-479.547039423249 -258.723940226804 308.16991371344</t>
  </si>
  <si>
    <t>-521.584376361634 -262.195397694387 754.040181998881</t>
  </si>
  <si>
    <t>-410.758690419266 -348.432437090716 827.307633219205</t>
  </si>
  <si>
    <t>9763-20170724T104944.813350100.bin</t>
  </si>
  <si>
    <t>-647.261114265614 13.7696105847444 -256.314338631839</t>
  </si>
  <si>
    <t>-407.523689579871 36.2573986390935 -264.749533486525</t>
  </si>
  <si>
    <t>-581.126150393246 -57.5750007164163 302.211356503305</t>
  </si>
  <si>
    <t>-626.123749458309 -38.1072718256889 747.423132620014</t>
  </si>
  <si>
    <t>-481.769738348896 -17.5917069619929 809.296406217636</t>
  </si>
  <si>
    <t>-479.591160248734 -258.776458031482 308.183000697329</t>
  </si>
  <si>
    <t>-521.723888713086 -262.536185097468 754.062692592223</t>
  </si>
  <si>
    <t>-410.539175214219 -348.342501502607 827.292125954301</t>
  </si>
  <si>
    <t>9763-20170724T104944.845438600.bin</t>
  </si>
  <si>
    <t>-646.484062107911 14.0010522406856 -256.587593283238</t>
  </si>
  <si>
    <t>-406.753872551418 36.6426569625746 -264.814672561546</t>
  </si>
  <si>
    <t>-581.095333075985 -57.5617805698757 302.189125049281</t>
  </si>
  <si>
    <t>-626.060520255498 -38.2477803987167 747.400802940821</t>
  </si>
  <si>
    <t>-481.736917231571 -17.5051771429401 809.269579382484</t>
  </si>
  <si>
    <t>-479.66805329621 -258.788469001402 308.192639618504</t>
  </si>
  <si>
    <t>-521.74927062496 -262.607988675854 754.072273800041</t>
  </si>
  <si>
    <t>-410.591996600641 -348.452632795935 827.298414657478</t>
  </si>
  <si>
    <t>9763-20170724T104944.876521500.bin</t>
  </si>
  <si>
    <t>-645.823398206343 14.3453241792622 -256.869432150432</t>
  </si>
  <si>
    <t>-406.076483435209 36.9138406987222 -264.801221555331</t>
  </si>
  <si>
    <t>-581.104255835011 -57.4788482680569 302.173361438839</t>
  </si>
  <si>
    <t>-626.061482425184 -38.2418054510638 747.382760614684</t>
  </si>
  <si>
    <t>-481.750333938058 -17.4178876378187 809.253037891779</t>
  </si>
  <si>
    <t>-479.779263532473 -258.755597377881 308.182955179928</t>
  </si>
  <si>
    <t>-521.757123101263 -262.650637422151 754.07701040749</t>
  </si>
  <si>
    <t>-410.636668322944 -348.544727132685 827.30089319501</t>
  </si>
  <si>
    <t>9763-20170724T104944.957738100.bin</t>
  </si>
  <si>
    <t>-645.408725097381 14.8202561165613 -257.15026371001</t>
  </si>
  <si>
    <t>-405.625920869321 37.1719328933007 -264.600285313449</t>
  </si>
  <si>
    <t>-581.147126451326 -57.3382227035515 302.172037369929</t>
  </si>
  <si>
    <t>-626.09917044558 -38.1683593536486 747.376496213853</t>
  </si>
  <si>
    <t>-481.762486560326 -17.5334450662856 809.250886575472</t>
  </si>
  <si>
    <t>-479.932716471905 -258.797054453015 308.172407174284</t>
  </si>
  <si>
    <t>-521.789731091501 -262.733229846951 754.082983877837</t>
  </si>
  <si>
    <t>-410.318988767913 -348.197694283233 827.277206777345</t>
  </si>
  <si>
    <t>9763-20170724T104945.013470300.bin</t>
  </si>
  <si>
    <t>-643.825647404497 16.2174762740462 -257.698846392283</t>
  </si>
  <si>
    <t>-403.97670205409 38.1621048916579 -264.166114357238</t>
  </si>
  <si>
    <t>-581.046645574778 -56.8755074660237 302.200054915191</t>
  </si>
  <si>
    <t>-626.16940715376 -38.0346328802966 747.385658937389</t>
  </si>
  <si>
    <t>-481.789197437288 -17.7174502640239 809.263602671491</t>
  </si>
  <si>
    <t>-480.221509263162 -258.459127977127 308.18542835556</t>
  </si>
  <si>
    <t>-521.751644293514 -262.683649472765 754.114409026528</t>
  </si>
  <si>
    <t>-410.587946783334 -348.558744111743 827.295069498539</t>
  </si>
  <si>
    <t>9763-20170724T104945.048556100.bin</t>
  </si>
  <si>
    <t>-643.037705212222 16.7126056427571 -257.79454739857</t>
  </si>
  <si>
    <t>-403.144140939343 38.1876802211716 -264.17970254415</t>
  </si>
  <si>
    <t>-580.948573590948 -56.7854682157417 302.217216766271</t>
  </si>
  <si>
    <t>-626.159741003538 -38.0608775672738 747.394781821266</t>
  </si>
  <si>
    <t>-481.8231276094 -17.4118490781482 809.264523201356</t>
  </si>
  <si>
    <t>-480.253396093597 -258.444088663747 308.196133182107</t>
  </si>
  <si>
    <t>-521.734901220205 -262.662993671431 754.123224038539</t>
  </si>
  <si>
    <t>-410.369682109524 -348.293221133538 827.284534586748</t>
  </si>
  <si>
    <t>9763-20170724T104945.109499200.bin</t>
  </si>
  <si>
    <t>-641.400494743525 17.8682897898768 -258.042835876822</t>
  </si>
  <si>
    <t>-401.438532676738 38.6391883287743 -264.179702325202</t>
  </si>
  <si>
    <t>-580.734769811292 -56.4542201438862 302.247843913799</t>
  </si>
  <si>
    <t>-626.209788819542 -37.9642036534369 747.415498841049</t>
  </si>
  <si>
    <t>-481.850412622167 -17.458262512306 809.279891135492</t>
  </si>
  <si>
    <t>-480.32887090718 -258.184970251791 308.202585843214</t>
  </si>
  <si>
    <t>-521.73488000079 -262.713744156574 754.138658151814</t>
  </si>
  <si>
    <t>-410.691971494436 -348.747132535445 827.316567649062</t>
  </si>
  <si>
    <t>9763-20170724T104945.142586400.bin</t>
  </si>
  <si>
    <t>-640.751786846991 18.3647334869968 -258.166081784365</t>
  </si>
  <si>
    <t>-400.770456604503 38.9419095126375 -264.199929072063</t>
  </si>
  <si>
    <t>-580.64777195854 -56.2412202464857 302.277297083145</t>
  </si>
  <si>
    <t>-626.257130323674 -37.8775992671563 747.441361269844</t>
  </si>
  <si>
    <t>-481.853924477842 -17.6611261860946 809.298474852742</t>
  </si>
  <si>
    <t>-480.426607046035 -258.127489805908 308.21724351167</t>
  </si>
  <si>
    <t>-521.767505877644 -262.802865139847 754.156902831062</t>
  </si>
  <si>
    <t>-410.49504419065 -348.55801087343 827.312753693152</t>
  </si>
  <si>
    <t>9763-20170724T104945.215787300.bin</t>
  </si>
  <si>
    <t>-639.224694818522 19.9980266460345 -258.434888781688</t>
  </si>
  <si>
    <t>-399.165183572239 39.7823080638434 -263.995642790703</t>
  </si>
  <si>
    <t>-580.263242655109 -55.7598915611229 302.367632666318</t>
  </si>
  <si>
    <t>-626.271738109619 -37.8740493141072 747.498354916509</t>
  </si>
  <si>
    <t>-481.859452701554 -17.6472744225619 809.330721241157</t>
  </si>
  <si>
    <t>-480.291014123555 -257.810591182114 308.239346632061</t>
  </si>
  <si>
    <t>-521.748983641591 -262.825543331098 754.162987027749</t>
  </si>
  <si>
    <t>-410.700666804526 -348.854837003178 827.337776417141</t>
  </si>
  <si>
    <t>9763-20170724T104945.247870500.bin</t>
  </si>
  <si>
    <t>-638.656999855703 20.7222096269518 -258.592141891596</t>
  </si>
  <si>
    <t>-398.576731451561 40.276210894189 -264.070658886948</t>
  </si>
  <si>
    <t>-580.068985102537 -55.4397307754612 302.405566892872</t>
  </si>
  <si>
    <t>-626.330688815057 -37.7427582875343 747.522440105978</t>
  </si>
  <si>
    <t>-481.887205219862 -17.7317610163127 809.352260114559</t>
  </si>
  <si>
    <t>-480.143517435863 -257.48508595798 308.247689224688</t>
  </si>
  <si>
    <t>-521.618024483149 -262.563123196884 754.155754169822</t>
  </si>
  <si>
    <t>-410.99116651787 -349.107520076809 827.361438072834</t>
  </si>
  <si>
    <t>9763-20170724T104945.312614900.bin</t>
  </si>
  <si>
    <t>-637.849119711298 21.6107987147223 -258.840974574127</t>
  </si>
  <si>
    <t>-397.778159604039 41.3199431613853 -264.168027992315</t>
  </si>
  <si>
    <t>-579.679065832151 -55.1279723784317 302.472973867181</t>
  </si>
  <si>
    <t>-626.263666690157 -37.8781358175304 747.574444230136</t>
  </si>
  <si>
    <t>-481.864444306056 -17.4761500454481 809.379971940118</t>
  </si>
  <si>
    <t>-479.989937788417 -257.288932012356 308.278220546289</t>
  </si>
  <si>
    <t>-521.663752287135 -262.767301943921 754.159953933833</t>
  </si>
  <si>
    <t>-410.611535845892 -348.767729257149 827.362830668331</t>
  </si>
  <si>
    <t>9763-20170724T104945.350719800.bin</t>
  </si>
  <si>
    <t>-637.368776748796 22.2554896235883 -258.963911333523</t>
  </si>
  <si>
    <t>-397.296811773326 41.9996303827443 -264.106505383391</t>
  </si>
  <si>
    <t>-579.538181390757 -54.8546887164487 302.499316808111</t>
  </si>
  <si>
    <t>-626.279949159908 -37.8236492306826 747.594744019459</t>
  </si>
  <si>
    <t>-481.859851510107 -17.5706615971576 809.400613864903</t>
  </si>
  <si>
    <t>-479.753280447977 -256.9967737967 308.274609407142</t>
  </si>
  <si>
    <t>-521.59901100612 -262.675363555467 754.14278627142</t>
  </si>
  <si>
    <t>-411.02320710865 -349.244982437767 827.395515613992</t>
  </si>
  <si>
    <t>9763-20170724T104945.413441600.bin</t>
  </si>
  <si>
    <t>-635.918822168943 23.5314040010135 -259.158008712143</t>
  </si>
  <si>
    <t>-395.808593719974 42.8852469249894 -263.996244621975</t>
  </si>
  <si>
    <t>-579.272690272132 -54.4947536819061 302.565313719071</t>
  </si>
  <si>
    <t>-626.232396894428 -37.8489928185422 747.644986659768</t>
  </si>
  <si>
    <t>-481.83231904531 -17.4624786092145 809.453330613894</t>
  </si>
  <si>
    <t>-479.190729448173 -256.629846006858 308.270919919784</t>
  </si>
  <si>
    <t>-521.488656709982 -262.524932895016 754.107698386664</t>
  </si>
  <si>
    <t>-411.069952588554 -349.263160575709 827.398251418233</t>
  </si>
  <si>
    <t>9763-20170724T104945.446525500.bin</t>
  </si>
  <si>
    <t>-635.122927702707 24.0202114412657 -259.253711077217</t>
  </si>
  <si>
    <t>-394.979392804609 42.9761564914945 -264.007278369837</t>
  </si>
  <si>
    <t>-579.178183979624 -54.371591811682 302.599874379528</t>
  </si>
  <si>
    <t>-626.239560135374 -37.8040477845043 747.677250847785</t>
  </si>
  <si>
    <t>-481.854682202245 -17.2986558960281 809.481866501886</t>
  </si>
  <si>
    <t>-478.967364709981 -256.553539041296 308.269071774767</t>
  </si>
  <si>
    <t>-521.528444615267 -262.673131896996 754.089812844727</t>
  </si>
  <si>
    <t>-411.118008381494 -349.406594624836 827.398193631245</t>
  </si>
  <si>
    <t>9763-20170724T104945.514474200.bin</t>
  </si>
  <si>
    <t>-634.000182285927 24.6668815521873 -259.420647171851</t>
  </si>
  <si>
    <t>-393.820926213652 43.2172968556888 -263.962986413373</t>
  </si>
  <si>
    <t>-579.009010472825 -54.087097134116 302.698752564745</t>
  </si>
  <si>
    <t>-626.222989482508 -37.7930061397437 747.767488331167</t>
  </si>
  <si>
    <t>-481.87515748975 -16.9698746897864 809.552589354335</t>
  </si>
  <si>
    <t>-478.52676834957 -256.315921243568 308.259116137335</t>
  </si>
  <si>
    <t>-521.423590156549 -262.542033868093 754.032655758236</t>
  </si>
  <si>
    <t>-410.99019356309 -349.213891633343 827.379458665484</t>
  </si>
  <si>
    <t>9763-20170724T104945.548561300.bin</t>
  </si>
  <si>
    <t>-633.818655445863 25.0061242205106 -259.53191712857</t>
  </si>
  <si>
    <t>-393.632973305579 43.5161327919511 -263.907083756868</t>
  </si>
  <si>
    <t>-579.006875427798 -53.918917922626 302.738496461959</t>
  </si>
  <si>
    <t>-626.258770476744 -37.7146625782289 747.81601162141</t>
  </si>
  <si>
    <t>-481.875258368002 -17.1089649870385 809.590540830279</t>
  </si>
  <si>
    <t>-478.447569978308 -256.317886997916 308.271486111404</t>
  </si>
  <si>
    <t>-521.497900074879 -262.763462238797 754.019520545671</t>
  </si>
  <si>
    <t>-410.614048006618 -348.866760964815 827.356460716215</t>
  </si>
  <si>
    <t>9763-20170724T104945.611736600.bin</t>
  </si>
  <si>
    <t>-633.357664927256 25.7556896254493 -259.814595940815</t>
  </si>
  <si>
    <t>-393.155266956965 44.1425421603124 -263.766792601963</t>
  </si>
  <si>
    <t>-578.856517768679 -53.5360213198514 302.786207632625</t>
  </si>
  <si>
    <t>-626.27102568777 -37.64790025293 747.872868992657</t>
  </si>
  <si>
    <t>-481.865932103701 -17.1937420897852 809.647178247445</t>
  </si>
  <si>
    <t>-478.284099398181 -256.056435614885 308.302582478518</t>
  </si>
  <si>
    <t>-521.507215821175 -262.794400994017 754.029589295734</t>
  </si>
  <si>
    <t>-410.725384247676 -349.033025549758 827.361590253875</t>
  </si>
  <si>
    <t>9763-20170724T104945.645829100.bin</t>
  </si>
  <si>
    <t>-633.201805081046 25.9149836305382 -260.014655577568</t>
  </si>
  <si>
    <t>-392.986303661425 44.1776967889243 -263.737144815142</t>
  </si>
  <si>
    <t>-578.69152128886 -53.4890619125742 302.802388102803</t>
  </si>
  <si>
    <t>-626.225117193828 -37.713656124432 747.885233287991</t>
  </si>
  <si>
    <t>-481.841008861136 -17.1103666637416 809.659178090817</t>
  </si>
  <si>
    <t>-478.268196794399 -256.005310108028 308.322710233705</t>
  </si>
  <si>
    <t>-521.574841671221 -262.963343988498 754.043323451888</t>
  </si>
  <si>
    <t>-410.79196180882 -349.205933845292 827.368949071233</t>
  </si>
  <si>
    <t>9763-20170724T104945.711915900.bin</t>
  </si>
  <si>
    <t>-632.906704171728 26.0693762239841 -260.478240682682</t>
  </si>
  <si>
    <t>-392.65263352693 43.9096263392387 -263.737372639406</t>
  </si>
  <si>
    <t>-578.547903280657 -53.4016652653766 302.831646173855</t>
  </si>
  <si>
    <t>-626.224653745859 -37.6581461134272 747.892552107042</t>
  </si>
  <si>
    <t>-481.862963295186 -16.921191956925 809.674079959967</t>
  </si>
  <si>
    <t>-478.045407496325 -255.96774529663 308.359826317897</t>
  </si>
  <si>
    <t>-521.558640429244 -262.949259904844 754.052188009478</t>
  </si>
  <si>
    <t>-410.726209179357 -349.136471399594 827.368035126772</t>
  </si>
  <si>
    <t>9763-20170724T104945.744001200.bin</t>
  </si>
  <si>
    <t>-632.601511438797 26.1323270802638 -260.738713757774</t>
  </si>
  <si>
    <t>-392.326414979002 43.752932495403 -263.617266970735</t>
  </si>
  <si>
    <t>-578.549906377972 -53.3286277044863 302.829261162641</t>
  </si>
  <si>
    <t>-626.191979284972 -37.6947531026349 747.890265139657</t>
  </si>
  <si>
    <t>-481.836926109502 -16.9405268722899 809.681887483238</t>
  </si>
  <si>
    <t>-477.953848816312 -255.937441535418 308.385577270543</t>
  </si>
  <si>
    <t>-521.566321839272 -262.970075409579 754.065862317984</t>
  </si>
  <si>
    <t>-410.722505547478 -349.15134784832 827.371644134147</t>
  </si>
  <si>
    <t>9763-20170724T104945.814230200.bin</t>
  </si>
  <si>
    <t>-631.974288689684 26.2062079922562 -261.470962612617</t>
  </si>
  <si>
    <t>-391.652955264345 43.2999891623938 -263.556677643715</t>
  </si>
  <si>
    <t>-578.599536718449 -53.1326672789646 302.798598601477</t>
  </si>
  <si>
    <t>-626.162573268965 -37.6570276556804 747.861482622108</t>
  </si>
  <si>
    <t>-481.829762793266 -16.8632860096623 809.691595495405</t>
  </si>
  <si>
    <t>-477.906881141104 -255.766484494608 308.400411280776</t>
  </si>
  <si>
    <t>-521.557134213442 -263.00354070664 754.082791607181</t>
  </si>
  <si>
    <t>-410.616200874923 -349.074405877027 827.371333688052</t>
  </si>
  <si>
    <t>9763-20170724T104945.845313800.bin</t>
  </si>
  <si>
    <t>-631.547354344031 26.4719425389064 -261.93845133519</t>
  </si>
  <si>
    <t>-391.183787037563 43.0057972742418 -263.631256591729</t>
  </si>
  <si>
    <t>-578.619316757351 -53.0602129943522 302.768502970866</t>
  </si>
  <si>
    <t>-626.145518154421 -37.6728892303197 747.842687081351</t>
  </si>
  <si>
    <t>-481.8216140605 -16.8453389226745 809.68236576729</t>
  </si>
  <si>
    <t>-477.954822940973 -255.685169552338 308.42808089436</t>
  </si>
  <si>
    <t>-521.546762651028 -263.012033740892 754.088463046798</t>
  </si>
  <si>
    <t>-410.523422426463 -348.977937589685 827.375526540619</t>
  </si>
  <si>
    <t>9763-20170724T104945.912500100.bin</t>
  </si>
  <si>
    <t>-630.498906942296 27.2700271755918 -263.028955385675</t>
  </si>
  <si>
    <t>-390.069235845482 42.8781350912391 -263.960075677444</t>
  </si>
  <si>
    <t>-578.646043081892 -52.5665149557813 302.630866006304</t>
  </si>
  <si>
    <t>-626.239077706971 -37.4352389268965 747.758056613299</t>
  </si>
  <si>
    <t>-481.873726991778 -16.9436595424638 809.613102614824</t>
  </si>
  <si>
    <t>-478.233210503318 -255.324479685824 308.467429184988</t>
  </si>
  <si>
    <t>-521.511220783504 -262.922361306781 754.135622659958</t>
  </si>
  <si>
    <t>-410.629861989894 -349.086645525752 827.404697844102</t>
  </si>
  <si>
    <t>9763-20170724T104945.945589700.bin</t>
  </si>
  <si>
    <t>-629.928306730047 27.8983363712134 -263.629197664738</t>
  </si>
  <si>
    <t>-389.466430576386 43.0224733085117 -264.142520859926</t>
  </si>
  <si>
    <t>-578.650256119032 -52.2904876871257 302.55426498148</t>
  </si>
  <si>
    <t>-626.276731274769 -37.3452868101838 747.701316694056</t>
  </si>
  <si>
    <t>-481.897624561025 -16.9599426920745 809.559326914106</t>
  </si>
  <si>
    <t>-478.468657768182 -255.119275464256 308.477244590937</t>
  </si>
  <si>
    <t>-521.501139570927 -262.915003747096 754.158480838743</t>
  </si>
  <si>
    <t>-410.686731552531 -349.173089247496 827.418407510486</t>
  </si>
  <si>
    <t>9763-20170724T104946.014312700.bin</t>
  </si>
  <si>
    <t>-628.234160655137 29.3859066880364 -264.770825285996</t>
  </si>
  <si>
    <t>-387.697024669791 43.2689558487209 -264.675631325461</t>
  </si>
  <si>
    <t>-578.594370387805 -51.8184022146231 302.396980323293</t>
  </si>
  <si>
    <t>-626.262161668855 -37.3479833716108 747.564862886043</t>
  </si>
  <si>
    <t>-481.913361952538 -16.7222383465928 809.413796595959</t>
  </si>
  <si>
    <t>-478.924241302761 -254.784142530942 308.515344492831</t>
  </si>
  <si>
    <t>-521.60283583509 -263.158955749551 754.21155498454</t>
  </si>
  <si>
    <t>-410.691925847998 -349.317895680018 827.442102585167</t>
  </si>
  <si>
    <t>9763-20170724T104946.045395200.bin</t>
  </si>
  <si>
    <t>-627.527165676257 30.1058606749709 -265.343126976516</t>
  </si>
  <si>
    <t>-386.98268372278 43.8632013062852 -265.345675973541</t>
  </si>
  <si>
    <t>-578.462973789582 -51.5249521647204 302.329021903993</t>
  </si>
  <si>
    <t>-626.259514809896 -37.366844011282 747.50110099226</t>
  </si>
  <si>
    <t>-481.900257482779 -16.7524221277206 809.32938300296</t>
  </si>
  <si>
    <t>-479.239227244513 -254.553026352908 308.529628051349</t>
  </si>
  <si>
    <t>-521.575437612552 -263.122043097211 754.225557145111</t>
  </si>
  <si>
    <t>-410.606514822726 -349.210302042085 827.451202889219</t>
  </si>
  <si>
    <t>9763-20170724T104946.109596200.bin</t>
  </si>
  <si>
    <t>-626.033820030693 31.8086435169382 -266.202830548063</t>
  </si>
  <si>
    <t>-385.478478040137 45.3715456522914 -266.330035652819</t>
  </si>
  <si>
    <t>-578.147080651341 -50.9587599237298 302.244720678697</t>
  </si>
  <si>
    <t>-626.368141301721 -37.1901576830194 747.407427870697</t>
  </si>
  <si>
    <t>-481.943704849479 -16.8652867818416 809.179206088465</t>
  </si>
  <si>
    <t>-479.622141261163 -254.103920723545 308.519887331788</t>
  </si>
  <si>
    <t>-521.527954960984 -263.083459448087 754.24420032053</t>
  </si>
  <si>
    <t>-410.942733531927 -349.636053475755 827.503191302762</t>
  </si>
  <si>
    <t>9763-20170724T104946.148701500.bin</t>
  </si>
  <si>
    <t>-625.540332023398 32.8634622427251 -266.596484621472</t>
  </si>
  <si>
    <t>-384.957630377589 45.9345897364692 -266.602799574372</t>
  </si>
  <si>
    <t>-577.939754867017 -50.7193793277909 302.218986643216</t>
  </si>
  <si>
    <t>-626.413852360973 -37.1192020283534 747.36222336934</t>
  </si>
  <si>
    <t>-481.932091737254 -17.1224005718932 809.107071978832</t>
  </si>
  <si>
    <t>-479.773879215012 -253.903562441982 308.512295378449</t>
  </si>
  <si>
    <t>-521.517861955192 -263.078821216175 754.253226365192</t>
  </si>
  <si>
    <t>-411.132982989123 -349.87540582031 827.525447156717</t>
  </si>
  <si>
    <t>9763-20170724T104946.214250900.bin</t>
  </si>
  <si>
    <t>-624.446897884603 34.4141276685532 -267.138790388719</t>
  </si>
  <si>
    <t>-383.797666464539 46.1867991380152 -266.635804287816</t>
  </si>
  <si>
    <t>-577.192406124203 -50.6411911145208 302.205075602149</t>
  </si>
  <si>
    <t>-626.376733835777 -37.2398832102081 747.27913217993</t>
  </si>
  <si>
    <t>-481.915115345487 -16.9056762844764 808.96082672995</t>
  </si>
  <si>
    <t>-479.868446717302 -253.852832685164 308.494384756665</t>
  </si>
  <si>
    <t>-521.475129035928 -263.046610032831 754.255123893346</t>
  </si>
  <si>
    <t>-410.930369729416 -349.642424503397 827.523897516658</t>
  </si>
  <si>
    <t>9763-20170724T104946.250344100.bin</t>
  </si>
  <si>
    <t>-623.794189822328 34.7774683071664 -267.188306022736</t>
  </si>
  <si>
    <t>-383.116035380103 45.9223020400398 -266.376913609818</t>
  </si>
  <si>
    <t>-576.807167814 -50.6081146289134 302.204430149623</t>
  </si>
  <si>
    <t>-626.413043284996 -37.1611101111864 747.226856357291</t>
  </si>
  <si>
    <t>-481.926157902635 -16.9846538215486 808.90133793369</t>
  </si>
  <si>
    <t>-479.741438526195 -253.763302988991 308.500712360961</t>
  </si>
  <si>
    <t>-521.390710944443 -262.885949564372 754.251329477307</t>
  </si>
  <si>
    <t>-411.342607624699 -350.084687390708 827.552762269523</t>
  </si>
  <si>
    <t>9763-20170724T104946.313517300.bin</t>
  </si>
  <si>
    <t>-622.791111146488 34.5373227355237 -267.028112799105</t>
  </si>
  <si>
    <t>-382.083660542834 44.9857917495485 -265.741465290841</t>
  </si>
  <si>
    <t>-576.194297244558 -50.7801463788771 302.217637715529</t>
  </si>
  <si>
    <t>-626.408080552571 -37.160308584708 747.15034597368</t>
  </si>
  <si>
    <t>-481.931526122414 -16.8385191035125 808.801497925763</t>
  </si>
  <si>
    <t>-479.601241920207 -253.849817896231 308.517657820894</t>
  </si>
  <si>
    <t>-521.352021123188 -262.844421922965 754.247069969696</t>
  </si>
  <si>
    <t>-411.427424203639 -350.192680838721 827.555657162235</t>
  </si>
  <si>
    <t>9763-20170724T104946.347607900.bin</t>
  </si>
  <si>
    <t>-622.404229046123 34.5280667582667 -266.868641301381</t>
  </si>
  <si>
    <t>-381.683514413068 44.6445299685024 -265.433721762968</t>
  </si>
  <si>
    <t>-576.081591511447 -50.8510646920993 302.223922360825</t>
  </si>
  <si>
    <t>-626.415950813326 -37.1581244963747 747.143106974671</t>
  </si>
  <si>
    <t>-481.928585242406 -16.8095359540839 808.75999175016</t>
  </si>
  <si>
    <t>-479.592734431445 -253.969497730987 308.525719258569</t>
  </si>
  <si>
    <t>-521.357180045292 -262.886293458247 754.245378245594</t>
  </si>
  <si>
    <t>-411.192680351286 -349.94082958886 827.543341465174</t>
  </si>
  <si>
    <t>9763-20170724T104946.410661900.bin</t>
  </si>
  <si>
    <t>-621.788694644909 34.550080984209 -266.524754444357</t>
  </si>
  <si>
    <t>-381.046179533723 44.1512792506128 -265.197266725565</t>
  </si>
  <si>
    <t>-576.055801097977 -51.0436154262275 302.24696530067</t>
  </si>
  <si>
    <t>-626.411823410645 -37.2392335201666 747.145378073613</t>
  </si>
  <si>
    <t>-481.934364360449 -16.5772351877742 808.680939109597</t>
  </si>
  <si>
    <t>-479.681391490535 -254.01510837452 308.489671920618</t>
  </si>
  <si>
    <t>-521.274740411137 -262.748128085448 754.224417121734</t>
  </si>
  <si>
    <t>-411.102619787273 -349.785445789857 827.531307837295</t>
  </si>
  <si>
    <t>9763-20170724T104946.443746900.bin</t>
  </si>
  <si>
    <t>-621.533700297153 34.5474018262723 -266.349349987275</t>
  </si>
  <si>
    <t>-380.776807870398 43.8016451981935 -265.176395654364</t>
  </si>
  <si>
    <t>-575.992970986997 -51.0742197343004 302.247288606303</t>
  </si>
  <si>
    <t>-626.400412140066 -37.2552799831628 747.134817667492</t>
  </si>
  <si>
    <t>-481.919079954265 -16.5608407196553 808.650570604582</t>
  </si>
  <si>
    <t>-479.607376060469 -253.960579390804 308.449588842108</t>
  </si>
  <si>
    <t>-521.245734722308 -262.702743607618 754.204762659489</t>
  </si>
  <si>
    <t>-411.546890946923 -350.303691834423 827.54997799034</t>
  </si>
  <si>
    <t>9763-20170724T104946.517881500.bin</t>
  </si>
  <si>
    <t>-621.247169102661 34.2600577110072 -265.807297243697</t>
  </si>
  <si>
    <t>-380.474038377436 43.1205030269696 -264.978522568199</t>
  </si>
  <si>
    <t>-575.768538482228 -51.3001878815501 302.25418743671</t>
  </si>
  <si>
    <t>-626.374552226265 -37.2740796127819 747.112808023873</t>
  </si>
  <si>
    <t>-481.912249427198 -16.3689625040474 808.602137902238</t>
  </si>
  <si>
    <t>-479.428739924761 -254.21834620315 308.409991723205</t>
  </si>
  <si>
    <t>-521.264104079472 -262.77076709743 754.172762773489</t>
  </si>
  <si>
    <t>-411.470570695486 -350.246121450843 827.526015040561</t>
  </si>
  <si>
    <t>9763-20170724T104946.548964700.bin</t>
  </si>
  <si>
    <t>-621.15737445749 34.2548529200485 -265.437655296031</t>
  </si>
  <si>
    <t>-380.380854440135 43.0379002585396 -264.801622000425</t>
  </si>
  <si>
    <t>-575.76920570645 -51.3678539478456 302.289890081935</t>
  </si>
  <si>
    <t>-626.406252505283 -37.1673476592644 747.111417056235</t>
  </si>
  <si>
    <t>-481.914246737179 -16.4965507496299 808.610043560159</t>
  </si>
  <si>
    <t>-479.4014788163 -254.319087654713 308.390177861376</t>
  </si>
  <si>
    <t>-521.326372625337 -262.924853040066 754.157654464115</t>
  </si>
  <si>
    <t>-411.420411262909 -350.260590500074 827.509174923076</t>
  </si>
  <si>
    <t>9763-20170724T104946.611137500.bin</t>
  </si>
  <si>
    <t>-620.964480306226 34.0179089972764 -264.662638631501</t>
  </si>
  <si>
    <t>-380.186759256213 42.7816087743824 -264.231683695632</t>
  </si>
  <si>
    <t>-575.850790374077 -51.6101159732148 302.348382734818</t>
  </si>
  <si>
    <t>-626.355208419402 -37.1554658019666 747.149197353739</t>
  </si>
  <si>
    <t>-481.887683466442 -16.3702323068146 808.667028696213</t>
  </si>
  <si>
    <t>-479.445273535818 -254.634736690126 308.325555336352</t>
  </si>
  <si>
    <t>-521.410412622665 -263.136197953945 754.123391745159</t>
  </si>
  <si>
    <t>-411.125236097122 -350.006817421703 827.457859252427</t>
  </si>
  <si>
    <t>9763-20170724T104946.643226400.bin</t>
  </si>
  <si>
    <t>-620.729448845842 33.862997452082 -264.222207881118</t>
  </si>
  <si>
    <t>-379.952011452578 42.6412294003221 -263.953121288067</t>
  </si>
  <si>
    <t>-575.876367948946 -51.8070752766348 302.375955117363</t>
  </si>
  <si>
    <t>-626.263620603839 -37.2742159949166 747.168612987144</t>
  </si>
  <si>
    <t>-481.864423583698 -16.0607482980031 808.700702523832</t>
  </si>
  <si>
    <t>-479.52272532417 -254.734460271103 308.308275923874</t>
  </si>
  <si>
    <t>-521.405534775987 -263.12251101827 754.121245363477</t>
  </si>
  <si>
    <t>-411.221601643329 -350.124818027422 827.452005496738</t>
  </si>
  <si>
    <t>9763-20170724T104946.712416200.bin</t>
  </si>
  <si>
    <t>-619.720708510214 33.844788193155 -263.279928513325</t>
  </si>
  <si>
    <t>-378.942814721083 42.6111845551372 -263.428672861008</t>
  </si>
  <si>
    <t>-575.965354634271 -51.9605671808763 302.466200249847</t>
  </si>
  <si>
    <t>-626.27460095475 -37.147795853291 747.252391824778</t>
  </si>
  <si>
    <t>-481.849711240428 -16.1515486882993 808.798359285512</t>
  </si>
  <si>
    <t>-479.59075491217 -254.890523325468 308.293936455181</t>
  </si>
  <si>
    <t>-521.393997803171 -263.102849824832 754.124058239983</t>
  </si>
  <si>
    <t>-411.47075960276 -350.439413712694 827.448806410527</t>
  </si>
  <si>
    <t>9763-20170724T104946.745505800.bin</t>
  </si>
  <si>
    <t>-619.091587655662 33.8196795337024 -262.81660594056</t>
  </si>
  <si>
    <t>-378.312566860971 42.5520798115533 -263.145876589054</t>
  </si>
  <si>
    <t>-576.01036754119 -52.068113945583 302.527212805173</t>
  </si>
  <si>
    <t>-626.247014603035 -37.1758881006344 747.312570447706</t>
  </si>
  <si>
    <t>-481.81529625601 -16.2178472685323 808.85542338416</t>
  </si>
  <si>
    <t>-479.65623109957 -255.057954761007 308.299212095883</t>
  </si>
  <si>
    <t>-521.451289993445 -263.235482855072 754.134742733999</t>
  </si>
  <si>
    <t>-411.348636196879 -350.36405345583 827.437777795954</t>
  </si>
  <si>
    <t>9763-20170724T104946.809691400.bin</t>
  </si>
  <si>
    <t>-617.673417796467 33.7510072314744 -261.931508539631</t>
  </si>
  <si>
    <t>-376.886986886762 42.2607287987069 -262.516947536208</t>
  </si>
  <si>
    <t>-575.927393428807 -52.4207256842597 302.66744297057</t>
  </si>
  <si>
    <t>-626.214185007425 -37.1931626421649 747.436187248105</t>
  </si>
  <si>
    <t>-481.776818838109 -16.2452908913142 808.969226865853</t>
  </si>
  <si>
    <t>-479.730651767329 -255.385396262582 308.299848343675</t>
  </si>
  <si>
    <t>-521.456005558909 -263.264122984806 754.146984796739</t>
  </si>
  <si>
    <t>-411.162179863592 -350.172186699423 827.42427248908</t>
  </si>
  <si>
    <t>9763-20170724T104946.843783500.bin</t>
  </si>
  <si>
    <t>-616.983567593806 33.716088984819 -261.521873338589</t>
  </si>
  <si>
    <t>-376.195641064757 42.1627218122483 -262.348231879807</t>
  </si>
  <si>
    <t>-575.885132923567 -52.5916775828266 302.740882487831</t>
  </si>
  <si>
    <t>-626.238272413726 -37.129182529229 747.500276494567</t>
  </si>
  <si>
    <t>-481.808942100815 -16.0908725571926 809.021433253148</t>
  </si>
  <si>
    <t>-479.741159165857 -255.500259469548 308.306501725603</t>
  </si>
  <si>
    <t>-521.409270193575 -263.167921844659 754.151762126917</t>
  </si>
  <si>
    <t>-411.18363566885 -350.165584308811 827.425290572328</t>
  </si>
  <si>
    <t>9763-20170724T104946.909515500.bin</t>
  </si>
  <si>
    <t>-615.450333742227 33.5384499415991 -260.692384874829</t>
  </si>
  <si>
    <t>-374.664728659569 41.970683767956 -262.12188571275</t>
  </si>
  <si>
    <t>-575.745113357019 -52.9384463643501 302.869263302003</t>
  </si>
  <si>
    <t>-626.141815788802 -37.3217248864448 747.62403960232</t>
  </si>
  <si>
    <t>-481.7816383948 -15.6801985239358 809.098132079718</t>
  </si>
  <si>
    <t>-479.75893711015 -255.736298052139 308.329562881899</t>
  </si>
  <si>
    <t>-521.394287101606 -263.167251167715 754.172550456388</t>
  </si>
  <si>
    <t>-411.504519736344 -350.574687075745 827.462787979698</t>
  </si>
  <si>
    <t>9763-20170724T104946.943613300.bin</t>
  </si>
  <si>
    <t>-614.802591413871 33.2888559325449 -260.259054430093</t>
  </si>
  <si>
    <t>-374.01929049234 41.718791749189 -262.047264719242</t>
  </si>
  <si>
    <t>-575.692783174396 -53.1195722015734 302.917857643374</t>
  </si>
  <si>
    <t>-626.111908353798 -37.4035177053172 747.681393183078</t>
  </si>
  <si>
    <t>-481.785573261613 -15.4268438304243 809.116013042943</t>
  </si>
  <si>
    <t>-479.863735658925 -256.003883539337 308.351425455918</t>
  </si>
  <si>
    <t>-521.469299987648 -263.352724182446 754.191864059813</t>
  </si>
  <si>
    <t>-410.950854199106 -349.998029679543 827.441807440931</t>
  </si>
  <si>
    <t>9763-20170724T104947.010792900.bin</t>
  </si>
  <si>
    <t>-613.585984878983 33.1912076952453 -259.479835018146</t>
  </si>
  <si>
    <t>-372.806159194765 41.5704994532141 -261.876738067271</t>
  </si>
  <si>
    <t>-575.69793479888 -53.2847910267533 302.995257524211</t>
  </si>
  <si>
    <t>-626.177767676787 -37.2360244944027 747.746415777224</t>
  </si>
  <si>
    <t>-481.796823285575 -15.5862432709469 809.168900721962</t>
  </si>
  <si>
    <t>-479.898367841679 -256.203904679722 308.355441467957</t>
  </si>
  <si>
    <t>-521.488143379427 -263.442270622193 754.204903011281</t>
  </si>
  <si>
    <t>-410.971726233883 -350.081752069165 827.464923772816</t>
  </si>
  <si>
    <t>9763-20170724T104947.043882800.bin</t>
  </si>
  <si>
    <t>-612.914858069166 32.9874226776747 -259.093158287912</t>
  </si>
  <si>
    <t>-372.140126052736 41.4348834598536 -261.7482501229</t>
  </si>
  <si>
    <t>-575.61915007463 -53.5248722808285 303.040762365932</t>
  </si>
  <si>
    <t>-626.094257750097 -37.3937244482192 747.774761934718</t>
  </si>
  <si>
    <t>-481.749649612256 -15.4893159126832 809.192472360947</t>
  </si>
  <si>
    <t>-479.928747948281 -256.480738035806 308.357824075721</t>
  </si>
  <si>
    <t>-521.583464307432 -263.677191027449 754.221963915911</t>
  </si>
  <si>
    <t>-410.93584298925 -350.158398219971 827.470964722955</t>
  </si>
  <si>
    <t>9763-20170724T104947.113070900.bin</t>
  </si>
  <si>
    <t>-611.540400097849 32.8305622098583 -258.341345696696</t>
  </si>
  <si>
    <t>-370.771022172117 41.2778038864055 -261.449903740787</t>
  </si>
  <si>
    <t>-575.615498888159 -53.8232789310114 303.109437762751</t>
  </si>
  <si>
    <t>-626.108677882716 -37.2792691441953 747.808858779774</t>
  </si>
  <si>
    <t>-481.755110617314 -15.5215673608634 809.257307348295</t>
  </si>
  <si>
    <t>-479.995488314113 -256.752743988427 308.367101867997</t>
  </si>
  <si>
    <t>-521.567879743975 -263.642821857222 754.243023476971</t>
  </si>
  <si>
    <t>-410.922374673353 -350.144281281338 827.471172748187</t>
  </si>
  <si>
    <t>9763-20170724T104947.144160500.bin</t>
  </si>
  <si>
    <t>-610.745321599243 32.7666058676359 -257.968889273741</t>
  </si>
  <si>
    <t>-369.979383955938 41.2463950281867 -261.247220385717</t>
  </si>
  <si>
    <t>-575.595130907928 -54.0718703116279 303.136665146617</t>
  </si>
  <si>
    <t>-626.065007881378 -37.3329510807944 747.828009049869</t>
  </si>
  <si>
    <t>-481.752161786838 -15.3404332609762 809.289228683672</t>
  </si>
  <si>
    <t>-480.058286512644 -256.992775464978 308.375278071918</t>
  </si>
  <si>
    <t>-521.645896635409 -263.837096596386 754.261572559523</t>
  </si>
  <si>
    <t>-410.810409449407 -350.112190117747 827.469531518505</t>
  </si>
  <si>
    <t>9763-20170724T104947.210336500.bin</t>
  </si>
  <si>
    <t>-608.826868103043 32.8349809169838 -257.192955629709</t>
  </si>
  <si>
    <t>-368.064948531791 41.2959082566524 -260.800819373084</t>
  </si>
  <si>
    <t>-575.639778585988 -54.3279133329147 303.203733684416</t>
  </si>
  <si>
    <t>-626.134797067388 -37.1417859616231 747.887131109118</t>
  </si>
  <si>
    <t>-481.767749001293 -15.5312905013659 809.355904981573</t>
  </si>
  <si>
    <t>-480.225639876512 -257.417435159269 308.401450458051</t>
  </si>
  <si>
    <t>-521.782014299914 -264.147465833229 754.308788367035</t>
  </si>
  <si>
    <t>-410.618011657914 -350.044935006481 827.462839171565</t>
  </si>
  <si>
    <t>9763-20170724T104947.243431400.bin</t>
  </si>
  <si>
    <t>-607.715114208909 32.9719474550586 -256.836713963448</t>
  </si>
  <si>
    <t>-366.952214296944 41.3639405572349 -260.531877009221</t>
  </si>
  <si>
    <t>-575.635774606634 -54.4578236684263 303.23358393779</t>
  </si>
  <si>
    <t>-626.111231017431 -37.1792612876491 747.913277640447</t>
  </si>
  <si>
    <t>-481.773149766044 -15.3530170164295 809.374012982916</t>
  </si>
  <si>
    <t>-480.23384970995 -257.452266183276 308.412362124858</t>
  </si>
  <si>
    <t>-521.673700833951 -263.912179023585 754.316433844918</t>
  </si>
  <si>
    <t>-410.883541362179 -350.281666623338 827.481709012924</t>
  </si>
  <si>
    <t>9763-20170724T104947.313619500.bin</t>
  </si>
  <si>
    <t>-605.336163154856 33.1930629417666 -256.098316245043</t>
  </si>
  <si>
    <t>-364.573625184683 41.3978306410725 -260.214453035058</t>
  </si>
  <si>
    <t>-575.644349582103 -54.7879849028136 303.312197699356</t>
  </si>
  <si>
    <t>-626.06927150066 -37.2446321634279 747.969175380955</t>
  </si>
  <si>
    <t>-481.75034544637 -15.2692902337335 809.421739915083</t>
  </si>
  <si>
    <t>-480.344659988335 -257.75091105286 308.438675154705</t>
  </si>
  <si>
    <t>-521.672342087926 -263.91335887999 754.358185853575</t>
  </si>
  <si>
    <t>-410.694091412519 -350.07665670854 827.481559901086</t>
  </si>
  <si>
    <t>9763-20170724T104947.347711300.bin</t>
  </si>
  <si>
    <t>-603.996082630993 33.3738323908512 -255.74293606542</t>
  </si>
  <si>
    <t>-363.235026344524 41.4426273957583 -260.202329636147</t>
  </si>
  <si>
    <t>-575.629969288081 -54.9592456597902 303.344588641563</t>
  </si>
  <si>
    <t>-626.063009536646 -37.2412878648258 747.992799528883</t>
  </si>
  <si>
    <t>-481.766554348715 -15.1113316358028 809.442619136896</t>
  </si>
  <si>
    <t>-480.4335336629 -257.996685027998 308.459448806995</t>
  </si>
  <si>
    <t>-521.743729151323 -264.070399583779 754.389057144983</t>
  </si>
  <si>
    <t>-410.460412915515 -349.874159841912 827.471429365404</t>
  </si>
  <si>
    <t>9763-20170724T104947.412908400.bin</t>
  </si>
  <si>
    <t>-601.348827959397 33.7571648322012 -255.07774238236</t>
  </si>
  <si>
    <t>-360.595760160078 41.5865945135863 -260.3232360144</t>
  </si>
  <si>
    <t>-575.552795007107 -55.2302258736524 303.402938912112</t>
  </si>
  <si>
    <t>-626.005283458193 -37.3241585883341 748.036920528497</t>
  </si>
  <si>
    <t>-481.723777185518 -15.1286737594535 809.498512812531</t>
  </si>
  <si>
    <t>-480.479982094455 -258.271957489968 308.46870819727</t>
  </si>
  <si>
    <t>-521.814059350548 -264.288490388064 754.408675034073</t>
  </si>
  <si>
    <t>-410.60252805319 -350.18918226019 827.486458600244</t>
  </si>
  <si>
    <t>9763-20170724T104947.446998800.bin</t>
  </si>
  <si>
    <t>-600.204391726626 33.9501082032473 -254.744169127284</t>
  </si>
  <si>
    <t>-359.455567734023 41.6420421038092 -260.375427067181</t>
  </si>
  <si>
    <t>-575.558486069109 -55.3049050422999 303.441920655805</t>
  </si>
  <si>
    <t>-626.070128988895 -37.2015027565287 748.068990097469</t>
  </si>
  <si>
    <t>-481.756991669259 -15.1984744932304 809.525267633617</t>
  </si>
  <si>
    <t>-480.531263262079 -258.373967411218 308.472501651055</t>
  </si>
  <si>
    <t>-521.805253551884 -264.287361277838 754.419259714643</t>
  </si>
  <si>
    <t>-410.43198183039 -349.992506824112 827.480233986499</t>
  </si>
  <si>
    <t>9763-20170724T104947.516761300.bin</t>
  </si>
  <si>
    <t>-598.20607315558 34.1819326197531 -254.090721884233</t>
  </si>
  <si>
    <t>-357.463580550871 41.70108047194 -260.205532049849</t>
  </si>
  <si>
    <t>-575.405366218699 -55.5398643077842 303.533942011917</t>
  </si>
  <si>
    <t>-626.0575822324 -37.2567420613311 748.140154362403</t>
  </si>
  <si>
    <t>-481.79451359426 -14.8291975505508 809.560817917037</t>
  </si>
  <si>
    <t>-480.49697871105 -258.539296115029 308.494461053685</t>
  </si>
  <si>
    <t>-521.726173367182 -264.1472883466 754.43254958978</t>
  </si>
  <si>
    <t>-410.416706796277 -349.94000441865 827.488076578161</t>
  </si>
  <si>
    <t>9763-20170724T104947.543832400.bin</t>
  </si>
  <si>
    <t>-597.517561800438 34.2676093674563 -253.788815324832</t>
  </si>
  <si>
    <t>-356.772532502589 41.6646102114787 -259.952659243346</t>
  </si>
  <si>
    <t>-575.318242040136 -55.6097744496039 303.580988076864</t>
  </si>
  <si>
    <t>-626.057985841476 -37.2761522264916 748.173203589325</t>
  </si>
  <si>
    <t>-481.791355690937 -14.8344990988685 809.5801091633</t>
  </si>
  <si>
    <t>-480.421068846122 -258.547100223361 308.501284858373</t>
  </si>
  <si>
    <t>-521.694390187865 -264.098952242169 754.436291710444</t>
  </si>
  <si>
    <t>-410.50889356028 -350.047634200259 827.497256638399</t>
  </si>
  <si>
    <t>9763-20170724T104947.614021600.bin</t>
  </si>
  <si>
    <t>-596.492349629272 34.3788818032804 -253.231233311287</t>
  </si>
  <si>
    <t>-355.739773795255 41.6048559578501 -259.299774278717</t>
  </si>
  <si>
    <t>-575.250221463665 -55.7495186937108 303.673597513255</t>
  </si>
  <si>
    <t>-626.043883966361 -37.3205333949634 748.243238993313</t>
  </si>
  <si>
    <t>-481.795941754148 -14.6961305396185 809.626913259967</t>
  </si>
  <si>
    <t>-480.37358652964 -258.626925088631 308.507744558134</t>
  </si>
  <si>
    <t>-521.670470737559 -264.09393430524 754.442733003068</t>
  </si>
  <si>
    <t>-410.553131823876 -350.130255514495 827.504303473721</t>
  </si>
  <si>
    <t>9763-20170724T104947.641094100.bin</t>
  </si>
  <si>
    <t>-595.939498602371 34.4398049924703 -252.980918574733</t>
  </si>
  <si>
    <t>-355.185847049262 41.6099837169315 -259.074648352379</t>
  </si>
  <si>
    <t>-575.323093876859 -55.7249325731823 303.711709277651</t>
  </si>
  <si>
    <t>-626.117225337051 -37.1626713855048 748.270469626953</t>
  </si>
  <si>
    <t>-481.819447157322 -14.8812902417644 809.6625614086</t>
  </si>
  <si>
    <t>-480.455279153045 -258.724855554979 308.513050890308</t>
  </si>
  <si>
    <t>-521.78914318878 -264.381904475704 754.458231858556</t>
  </si>
  <si>
    <t>-410.356990791395 -350.033011810282 827.492802171315</t>
  </si>
  <si>
    <t>9763-20170724T104947.714302700.bin</t>
  </si>
  <si>
    <t>-594.541740808015 34.7973288079406 -252.557949144901</t>
  </si>
  <si>
    <t>-353.787845657975 41.9228106168919 -258.695558950582</t>
  </si>
  <si>
    <t>-575.319626937224 -55.8081575381289 303.772083523778</t>
  </si>
  <si>
    <t>-626.050163439929 -37.2711618005544 748.322930890641</t>
  </si>
  <si>
    <t>-481.817377148287 -14.6026031488864 809.725800513969</t>
  </si>
  <si>
    <t>-480.495366504472 -258.805879345534 308.508732198265</t>
  </si>
  <si>
    <t>-521.812872519774 -264.488128413543 754.467381422761</t>
  </si>
  <si>
    <t>-410.210229682936 -349.932138748145 827.484155718684</t>
  </si>
  <si>
    <t>9763-20170724T104947.745384500.bin</t>
  </si>
  <si>
    <t>-593.796229982039 35.2167291471683 -252.41964075324</t>
  </si>
  <si>
    <t>-353.039092870384 42.2712819181686 -258.510058734484</t>
  </si>
  <si>
    <t>-575.355035813356 -55.7069237956393 303.802188925937</t>
  </si>
  <si>
    <t>-626.085572299018 -37.1843172759468 748.356373366836</t>
  </si>
  <si>
    <t>-481.834113006394 -14.667159637544 809.771096949035</t>
  </si>
  <si>
    <t>-480.446896333731 -258.67322387121 308.502272852984</t>
  </si>
  <si>
    <t>-521.749043233917 -264.360672031891 754.466247191388</t>
  </si>
  <si>
    <t>-410.416494244065 -350.146907148506 827.494086098038</t>
  </si>
  <si>
    <t>9763-20170724T104947.809576400.bin</t>
  </si>
  <si>
    <t>-592.437507026784 35.9566825233248 -252.2075862038</t>
  </si>
  <si>
    <t>-351.669224353008 42.7337465333776 -258.169682729028</t>
  </si>
  <si>
    <t>-575.41055480198 -55.6766109314781 303.888060436303</t>
  </si>
  <si>
    <t>-626.073507446719 -37.1905433274965 748.444929485191</t>
  </si>
  <si>
    <t>-481.844009441112 -14.5560672343595 809.868060208363</t>
  </si>
  <si>
    <t>-480.509193127842 -258.680594369582 308.493266739781</t>
  </si>
  <si>
    <t>-521.80114866975 -264.548867303413 754.466094909069</t>
  </si>
  <si>
    <t>-410.189739015914 -349.987252268987 827.476324121373</t>
  </si>
  <si>
    <t>9763-20170724T104947.848684800.bin</t>
  </si>
  <si>
    <t>-591.700006839886 36.5006703364595 -252.11516930481</t>
  </si>
  <si>
    <t>-350.926189097352 43.1685766100277 -257.979981878507</t>
  </si>
  <si>
    <t>-575.426924289779 -55.546057208235 303.929063996072</t>
  </si>
  <si>
    <t>-626.103526181826 -37.1187237573654 748.487125999476</t>
  </si>
  <si>
    <t>-481.847628745973 -14.6717784085954 809.917478462953</t>
  </si>
  <si>
    <t>-480.465285967316 -258.531804409749 308.49439255317</t>
  </si>
  <si>
    <t>-521.758533452946 -264.476505803989 754.463778591515</t>
  </si>
  <si>
    <t>-410.415922428558 -350.249123470526 827.492449283728</t>
  </si>
  <si>
    <t>9763-20170724T104947.908536300.bin</t>
  </si>
  <si>
    <t>-590.129550675995 37.6402422196618 -251.945560308129</t>
  </si>
  <si>
    <t>-349.337239450083 44.0592319024499 -257.304855003187</t>
  </si>
  <si>
    <t>-575.416690554008 -55.3957908569582 303.998163494384</t>
  </si>
  <si>
    <t>-626.011466863733 -37.2825991673938 748.571214420444</t>
  </si>
  <si>
    <t>-481.825228465253 -14.3929576951994 810.001511618384</t>
  </si>
  <si>
    <t>-480.38626396485 -258.305646747561 308.482872520182</t>
  </si>
  <si>
    <t>-521.711103896678 -264.449447323695 754.456275665074</t>
  </si>
  <si>
    <t>-410.648717566754 -350.563314192036 827.509882257635</t>
  </si>
  <si>
    <t>9763-20170724T104947.947642600.bin</t>
  </si>
  <si>
    <t>-589.331769219557 38.1581923257299 -251.843495662813</t>
  </si>
  <si>
    <t>-348.531176907879 44.3732287785658 -257.070910184692</t>
  </si>
  <si>
    <t>-575.45580159622 -55.230380690301 304.027686839391</t>
  </si>
  <si>
    <t>-626.039841634313 -37.2011509473355 748.603733393669</t>
  </si>
  <si>
    <t>-481.816126463282 -14.59099149914 810.049450052446</t>
  </si>
  <si>
    <t>-480.345263035233 -258.193046755705 308.482906281759</t>
  </si>
  <si>
    <t>-521.678066836805 -264.417194197489 754.446766302775</t>
  </si>
  <si>
    <t>-410.349726347785 -350.197283122809 827.488376239377</t>
  </si>
  <si>
    <t>9763-20170724T104948.013827100.bin</t>
  </si>
  <si>
    <t>-587.619204624212 38.9411099768456 -251.707410823757</t>
  </si>
  <si>
    <t>-346.808351834804 44.7880028502213 -256.88722088534</t>
  </si>
  <si>
    <t>-575.44212928713 -55.0436665578588 304.100236026962</t>
  </si>
  <si>
    <t>-626.050969853742 -37.1748340383701 748.693030940613</t>
  </si>
  <si>
    <t>-481.87765070186 -14.2140738760154 810.127226558756</t>
  </si>
  <si>
    <t>-480.217382952494 -258.012428384121 308.475555806074</t>
  </si>
  <si>
    <t>-521.629623573961 -264.401739792449 754.427316029068</t>
  </si>
  <si>
    <t>-410.454848691415 -350.355374827244 827.498682736188</t>
  </si>
  <si>
    <t>9763-20170724T104948.049932300.bin</t>
  </si>
  <si>
    <t>-586.876328576467 39.3648469471364 -251.656231399473</t>
  </si>
  <si>
    <t>-346.06158026278 45.1006148410256 -256.775550905034</t>
  </si>
  <si>
    <t>-575.470833147338 -54.9059704674075 304.128483925914</t>
  </si>
  <si>
    <t>-626.065344955548 -37.1496359998716 748.734971330235</t>
  </si>
  <si>
    <t>-481.890783379479 -14.1737836824784 810.160311238658</t>
  </si>
  <si>
    <t>-480.178986567074 -257.897624056456 308.47923110837</t>
  </si>
  <si>
    <t>-521.594291909151 -264.362501251747 754.421297756194</t>
  </si>
  <si>
    <t>-410.419680024675 -350.311224130956 827.498773845097</t>
  </si>
  <si>
    <t>9763-20170724T104948.113773700.bin</t>
  </si>
  <si>
    <t>-585.466637548662 40.2067359758369 -251.640759419251</t>
  </si>
  <si>
    <t>-344.641737731756 45.7998323202744 -256.431093565259</t>
  </si>
  <si>
    <t>-575.432175846243 -54.5960592055355 304.188905333908</t>
  </si>
  <si>
    <t>-626.115218746282 -37.0618377239598 748.807665572831</t>
  </si>
  <si>
    <t>-481.889909618171 -14.3858507631014 810.225496408716</t>
  </si>
  <si>
    <t>-480.038554828487 -257.634177059275 308.463738593296</t>
  </si>
  <si>
    <t>-521.483619565814 -264.205928340554 754.391951689427</t>
  </si>
  <si>
    <t>-410.502219053136 -350.368365063429 827.511345945818</t>
  </si>
  <si>
    <t>9763-20170724T104948.146861900.bin</t>
  </si>
  <si>
    <t>-584.919912038607 40.3780868308963 -251.628980424026</t>
  </si>
  <si>
    <t>-344.089909530823 45.8623084428996 -256.287078607443</t>
  </si>
  <si>
    <t>-575.3475471262 -54.5680782305253 304.216421314783</t>
  </si>
  <si>
    <t>-626.122472284554 -37.0596245620279 748.834454675992</t>
  </si>
  <si>
    <t>-481.908902753786 -14.2846460633752 810.243299521938</t>
  </si>
  <si>
    <t>-480.02410473662 -257.720393786303 308.465277321231</t>
  </si>
  <si>
    <t>-521.55515118157 -264.411677076935 754.396526341646</t>
  </si>
  <si>
    <t>-410.276396847003 -350.200486208119 827.503446115376</t>
  </si>
  <si>
    <t>9763-20170724T104948.208931300.bin</t>
  </si>
  <si>
    <t>-583.834191956872 40.7414491831053 -251.552630044301</t>
  </si>
  <si>
    <t>-342.99829351375 46.0564163528209 -256.101848756369</t>
  </si>
  <si>
    <t>-575.135911925643 -54.551259376738 304.292370855253</t>
  </si>
  <si>
    <t>-626.113287846179 -37.1209807811308 748.885435684555</t>
  </si>
  <si>
    <t>-481.897082958949 -14.3155841506282 810.276693688553</t>
  </si>
  <si>
    <t>-479.861914487284 -257.827138546352 308.487385185652</t>
  </si>
  <si>
    <t>-521.609127977311 -264.640278552664 754.393057877455</t>
  </si>
  <si>
    <t>-409.920588591922 -349.901547594997 827.492279677147</t>
  </si>
  <si>
    <t>9763-20170724T104948.248006600.bin</t>
  </si>
  <si>
    <t>-583.413269410722 40.9202424637897 -251.502792686595</t>
  </si>
  <si>
    <t>-342.576440225442 46.2312799490371 -256.009184583203</t>
  </si>
  <si>
    <t>-575.030804680059 -54.4524497369907 304.332470464222</t>
  </si>
  <si>
    <t>-626.158711590982 -37.0399301398052 748.908304515957</t>
  </si>
  <si>
    <t>-481.91055705427 -14.4377857951245 810.29995824812</t>
  </si>
  <si>
    <t>-479.698172075785 -257.723947497529 308.482199027568</t>
  </si>
  <si>
    <t>-521.559113497379 -264.572076207909 754.378297702648</t>
  </si>
  <si>
    <t>-410.115461307777 -350.126486328533 827.508623696589</t>
  </si>
  <si>
    <t>9763-20170724T104948.310187800.bin</t>
  </si>
  <si>
    <t>-582.600787716917 41.2665071345114 -251.391185788074</t>
  </si>
  <si>
    <t>-341.760086806548 46.5772585702614 -255.682911511832</t>
  </si>
  <si>
    <t>-574.751116706635 -54.4112870005008 304.386692976281</t>
  </si>
  <si>
    <t>-626.109132994884 -37.1609458914293 748.941576023668</t>
  </si>
  <si>
    <t>-481.877461163611 -14.4495599525922 810.33142141799</t>
  </si>
  <si>
    <t>-479.327521946305 -257.491909290662 308.473479702252</t>
  </si>
  <si>
    <t>-521.421870673138 -264.349873370031 754.34232032092</t>
  </si>
  <si>
    <t>-410.339440650762 -350.328499050207 827.524839011466</t>
  </si>
  <si>
    <t>9763-20170724T104948.343275700.bin</t>
  </si>
  <si>
    <t>-582.177056734335 41.6226377702906 -251.36239239787</t>
  </si>
  <si>
    <t>-341.332266436207 46.8729003410974 -255.498103001084</t>
  </si>
  <si>
    <t>-574.613172620273 -54.3507953513779 304.412163234563</t>
  </si>
  <si>
    <t>-626.109396926875 -37.1662418992396 748.957544629749</t>
  </si>
  <si>
    <t>-481.895155348502 -14.3282066763372 810.341446128692</t>
  </si>
  <si>
    <t>-479.129553087669 -257.331519393961 308.468572494384</t>
  </si>
  <si>
    <t>-521.341211332606 -264.207720002685 754.32591347897</t>
  </si>
  <si>
    <t>-410.479444636434 -350.451980391305 827.530510016481</t>
  </si>
  <si>
    <t>9763-20170724T104948.414475100.bin</t>
  </si>
  <si>
    <t>-581.201352632425 42.4101198680482 -251.340568681349</t>
  </si>
  <si>
    <t>-340.349870727651 47.4889296050385 -255.298219412393</t>
  </si>
  <si>
    <t>-574.570325564122 -54.1761221933605 304.452952916517</t>
  </si>
  <si>
    <t>-626.139757568437 -37.132651725756 748.987582425726</t>
  </si>
  <si>
    <t>-481.941797630998 -14.1704749755127 810.363375216519</t>
  </si>
  <si>
    <t>-478.895959812684 -257.196666167539 308.455285383957</t>
  </si>
  <si>
    <t>-521.367357986959 -264.361475843503 754.303150957074</t>
  </si>
  <si>
    <t>-410.342841831796 -350.389796569619 827.51505705364</t>
  </si>
  <si>
    <t>9763-20170724T104948.449565500.bin</t>
  </si>
  <si>
    <t>-580.78115219674 42.7193817172363 -251.319549160343</t>
  </si>
  <si>
    <t>-339.929121152903 47.7984634269021 -255.247902240973</t>
  </si>
  <si>
    <t>-574.662220279535 -54.0341926901351 304.453798763798</t>
  </si>
  <si>
    <t>-626.130513763336 -37.1657233227822 749.001231794791</t>
  </si>
  <si>
    <t>-481.920152063974 -14.2712990012965 810.373144160177</t>
  </si>
  <si>
    <t>-478.834827505167 -257.063101882901 308.452210112664</t>
  </si>
  <si>
    <t>-521.31724069666 -264.293201671333 754.291333056812</t>
  </si>
  <si>
    <t>-410.385517687414 -350.430219175762 827.515979158167</t>
  </si>
  <si>
    <t>9763-20170724T104948.489681000.bin</t>
  </si>
  <si>
    <t>-580.431137590013 42.7951622067083 -251.328497898846</t>
  </si>
  <si>
    <t>-339.579042043647 47.9110911208979 -255.194096371114</t>
  </si>
  <si>
    <t>-574.749378394457 -53.9832584322633 304.434707888634</t>
  </si>
  <si>
    <t>-626.124798588429 -37.1900245792458 748.999807894964</t>
  </si>
  <si>
    <t>-481.951620166538 -14.0396431546565 810.363172441627</t>
  </si>
  <si>
    <t>-478.820851681563 -257.01110840536 308.461326610364</t>
  </si>
  <si>
    <t>-521.321885058335 -264.340990640176 754.286155829791</t>
  </si>
  <si>
    <t>-410.196216154022 -350.229757539571 827.508445488167</t>
  </si>
  <si>
    <t>9763-20170724T104948.545845100.bin</t>
  </si>
  <si>
    <t>-579.823740990445 43.1768468911027 -251.530215411117</t>
  </si>
  <si>
    <t>-338.964503923429 48.2652479476471 -254.967024266818</t>
  </si>
  <si>
    <t>-574.789085732913 -53.7991706603075 304.383767449042</t>
  </si>
  <si>
    <t>-626.192517091226 -37.0695992755188 748.976821693618</t>
  </si>
  <si>
    <t>-482.004585058249 -14.0302270601728 810.347191575415</t>
  </si>
  <si>
    <t>-478.764526694242 -256.847464212535 308.467703856858</t>
  </si>
  <si>
    <t>-521.254780307184 -264.259634424594 754.276517694566</t>
  </si>
  <si>
    <t>-410.045968233374 -350.035570758211 827.504888527106</t>
  </si>
  <si>
    <t>9763-20170724T104948.608741800.bin</t>
  </si>
  <si>
    <t>-579.008671914449 44.0933108204904 -251.818589025362</t>
  </si>
  <si>
    <t>-338.145095515885 49.0944266265528 -255.077966538253</t>
  </si>
  <si>
    <t>-574.712557448469 -53.5716209991547 304.351590864538</t>
  </si>
  <si>
    <t>-626.253167432182 -36.9687912495417 748.949210713142</t>
  </si>
  <si>
    <t>-482.034817022464 -14.1307040277761 810.32338569435</t>
  </si>
  <si>
    <t>-478.550302290133 -256.608329430379 308.462383383214</t>
  </si>
  <si>
    <t>-521.182120398233 -264.169620553109 754.267268273402</t>
  </si>
  <si>
    <t>-410.283195778509 -350.324954892365 827.520085806397</t>
  </si>
  <si>
    <t>9763-20170724T104948.643835700.bin</t>
  </si>
  <si>
    <t>-578.452936093546 44.4341895877126 -251.948961589287</t>
  </si>
  <si>
    <t>-337.5910528096 49.4623013272326 -255.293732695168</t>
  </si>
  <si>
    <t>-574.673802526216 -53.6224186193879 304.346467325947</t>
  </si>
  <si>
    <t>-626.201015309179 -37.0971021283522 748.93706554021</t>
  </si>
  <si>
    <t>-482.036440730287 -13.8949089640275 810.300912970687</t>
  </si>
  <si>
    <t>-478.5607784311 -256.716782195893 308.474560603795</t>
  </si>
  <si>
    <t>-521.275268687704 -264.417322461157 754.273943160835</t>
  </si>
  <si>
    <t>-410.136694967217 -350.275005322902 827.51307151106</t>
  </si>
  <si>
    <t>9763-20170724T104948.709647800.bin</t>
  </si>
  <si>
    <t>-577.658616947984 45.281538588423 -252.259847858019</t>
  </si>
  <si>
    <t>-336.797196846439 50.3839458095047 -255.512459184576</t>
  </si>
  <si>
    <t>-574.731954433607 -53.5242277325199 304.313235509803</t>
  </si>
  <si>
    <t>-626.266911541886 -37.00714037027 748.906519754693</t>
  </si>
  <si>
    <t>-482.086991392988 -13.8786363049467 810.262262027869</t>
  </si>
  <si>
    <t>-478.600142614471 -256.584685138164 308.479309087882</t>
  </si>
  <si>
    <t>-521.188256082894 -264.259130678138 754.27458560075</t>
  </si>
  <si>
    <t>-410.296410535303 -350.429910747539 827.520177418972</t>
  </si>
  <si>
    <t>9763-20170724T104948.741732100.bin</t>
  </si>
  <si>
    <t>-577.279202916149 45.6418964224297 -252.384168284974</t>
  </si>
  <si>
    <t>-336.417445143925 50.7787282295963 -255.567499805456</t>
  </si>
  <si>
    <t>-574.729815884772 -53.5808307391735 304.302507743742</t>
  </si>
  <si>
    <t>-626.185927401364 -37.1971714339657 748.897523649371</t>
  </si>
  <si>
    <t>-482.053217891268 -13.7417573607192 810.239898113544</t>
  </si>
  <si>
    <t>-478.656418677961 -256.592171890484 308.474616136319</t>
  </si>
  <si>
    <t>-521.207385776786 -264.318129782284 754.281734310813</t>
  </si>
  <si>
    <t>-410.192068092283 -350.342115383446 827.512505803251</t>
  </si>
  <si>
    <t>9763-20170724T104948.814935100.bin</t>
  </si>
  <si>
    <t>-576.416164865599 46.2914124720073 -252.429814550866</t>
  </si>
  <si>
    <t>-335.552057482532 51.3917556813631 -255.487346079789</t>
  </si>
  <si>
    <t>-574.840722156327 -53.4981588992291 304.288481331159</t>
  </si>
  <si>
    <t>-626.198941530808 -37.2025200858407 748.887708296561</t>
  </si>
  <si>
    <t>-482.087218057903 -13.5967176925747 810.221988327444</t>
  </si>
  <si>
    <t>-478.73691286469 -256.543599316247 308.469645256486</t>
  </si>
  <si>
    <t>-521.149619022813 -264.238545189749 754.284935832125</t>
  </si>
  <si>
    <t>-410.23882010529 -350.397852833381 827.515101110802</t>
  </si>
  <si>
    <t>9763-20170724T104948.847022200.bin</t>
  </si>
  <si>
    <t>-575.868133032587 46.5080563194745 -252.360417766241</t>
  </si>
  <si>
    <t>-335.003284254396 51.5481268342323 -255.464032282703</t>
  </si>
  <si>
    <t>-574.900510536441 -53.4768459614595 304.252051849132</t>
  </si>
  <si>
    <t>-626.192290200718 -37.2131218266049 748.857219950036</t>
  </si>
  <si>
    <t>-482.09004844387 -13.5769923163996 810.201777976989</t>
  </si>
  <si>
    <t>-478.764557825202 -256.579327244109 308.470811441134</t>
  </si>
  <si>
    <t>-521.166211980051 -264.312539223888 754.296042669062</t>
  </si>
  <si>
    <t>-410.13243408189 -350.321354142054 827.516789814623</t>
  </si>
  <si>
    <t>9763-20170724T104948.912199300.bin</t>
  </si>
  <si>
    <t>-574.653915271693 46.6643950755195 -252.005419193472</t>
  </si>
  <si>
    <t>-333.797278372836 51.752470197122 -255.62149117739</t>
  </si>
  <si>
    <t>-574.873368769948 -53.6425085019996 304.18361056812</t>
  </si>
  <si>
    <t>-626.098342035295 -37.3764059120665 748.793465095359</t>
  </si>
  <si>
    <t>-482.085924182914 -13.2637823212215 810.163782244582</t>
  </si>
  <si>
    <t>-478.785971652745 -256.620541475171 308.482523588141</t>
  </si>
  <si>
    <t>-521.078169367958 -264.187669636426 754.284992471757</t>
  </si>
  <si>
    <t>-410.284782525579 -350.483649438856 827.531892201922</t>
  </si>
  <si>
    <t>9763-20170724T104948.947293200.bin</t>
  </si>
  <si>
    <t>-573.988081995203 46.4457174631418 -251.757969178789</t>
  </si>
  <si>
    <t>-333.139454360363 51.6300723661866 -255.743632627185</t>
  </si>
  <si>
    <t>-574.875023163334 -53.6872362343654 304.13619326869</t>
  </si>
  <si>
    <t>-626.148088682524 -37.262314957705 748.757733978113</t>
  </si>
  <si>
    <t>-482.122321593559 -13.2714691773645 810.144329644492</t>
  </si>
  <si>
    <t>-478.933064520862 -256.820595034506 308.520282249571</t>
  </si>
  <si>
    <t>-521.113081759044 -264.285335061832 754.30108201299</t>
  </si>
  <si>
    <t>-410.09359360219 -350.306127800558 827.529342755396</t>
  </si>
  <si>
    <t>9763-20170724T104949.013489700.bin</t>
  </si>
  <si>
    <t>-572.812898808235 46.6111853171956 -251.21208216281</t>
  </si>
  <si>
    <t>-331.986503853002 51.9891406417371 -256.176944970436</t>
  </si>
  <si>
    <t>-574.913432986152 -53.7780699140574 304.045917723622</t>
  </si>
  <si>
    <t>-626.21974099178 -37.129871232155 748.689491717227</t>
  </si>
  <si>
    <t>-482.155210035268 -13.3743798722658 810.076551419887</t>
  </si>
  <si>
    <t>-479.243118456193 -257.089442526029 308.4836753911</t>
  </si>
  <si>
    <t>-521.107192460718 -264.300334162671 754.321348824421</t>
  </si>
  <si>
    <t>-410.064946271262 -350.295616332891 827.545148500981</t>
  </si>
  <si>
    <t>9763-20170724T104949.043569300.bin</t>
  </si>
  <si>
    <t>-572.520105760165 46.8569965361569 -250.871422706872</t>
  </si>
  <si>
    <t>-331.708400015343 52.1908187783108 -256.542245942585</t>
  </si>
  <si>
    <t>-574.913052741315 -54.0293645012148 304.040676244525</t>
  </si>
  <si>
    <t>-626.186815204655 -37.2000033396139 748.678629349722</t>
  </si>
  <si>
    <t>-482.155198230629 -13.2170405602176 810.054497378605</t>
  </si>
  <si>
    <t>-479.325272055002 -257.392717891291 308.429682372813</t>
  </si>
  <si>
    <t>-521.197059629308 -264.535073809367 754.320551934669</t>
  </si>
  <si>
    <t>-409.784465952851 -350.070612143474 827.520500479469</t>
  </si>
  <si>
    <t>9763-20170724T104949.089702300.bin</t>
  </si>
  <si>
    <t>-572.345095727514 46.970473969752 -250.436912800092</t>
  </si>
  <si>
    <t>-331.552051480539 52.3470262385306 -256.815922544802</t>
  </si>
  <si>
    <t>-574.905150765258 -54.2103138830225 304.058807246283</t>
  </si>
  <si>
    <t>-626.151893145664 -37.2941349544449 748.69453678499</t>
  </si>
  <si>
    <t>-482.146062241094 -13.1202146476853 810.05625111363</t>
  </si>
  <si>
    <t>-479.325554232838 -257.485579528303 308.381987096267</t>
  </si>
  <si>
    <t>-521.125010365236 -264.4000428626 754.299396579597</t>
  </si>
  <si>
    <t>-410.105722954585 -350.421055966799 827.527833897113</t>
  </si>
  <si>
    <t>9763-20170724T104949.146855500.bin</t>
  </si>
  <si>
    <t>-572.48458137914 46.2856515241274 -249.483078555793</t>
  </si>
  <si>
    <t>-331.727954423927 52.177708343844 -256.72170418019</t>
  </si>
  <si>
    <t>-574.894828663299 -54.5172692956485 304.170588188037</t>
  </si>
  <si>
    <t>-626.185219213154 -37.3001276082991 748.76439120449</t>
  </si>
  <si>
    <t>-482.135560416278 -13.3114997303278 810.095984471804</t>
  </si>
  <si>
    <t>-479.457184826416 -257.954700613801 308.333343952786</t>
  </si>
  <si>
    <t>-521.13579334542 -264.488403142776 754.269636425503</t>
  </si>
  <si>
    <t>-409.858571075849 -350.17909784401 827.493759262272</t>
  </si>
  <si>
    <t>9763-20170724T104949.211781200.bin</t>
  </si>
  <si>
    <t>-572.05864775916 45.7758691534486 -248.845531909458</t>
  </si>
  <si>
    <t>-331.338720156543 52.4512622590235 -256.605262328428</t>
  </si>
  <si>
    <t>-574.88030592657 -54.9614508213858 304.314651457251</t>
  </si>
  <si>
    <t>-626.262805910011 -37.2276801349135 748.855717185693</t>
  </si>
  <si>
    <t>-482.197987577349 -13.2363282468234 810.150407347128</t>
  </si>
  <si>
    <t>-479.599974585918 -258.463006264545 308.362044000797</t>
  </si>
  <si>
    <t>-521.137703651601 -264.499168332402 754.286002255482</t>
  </si>
  <si>
    <t>-409.912675151301 -350.264875544204 827.501712794343</t>
  </si>
  <si>
    <t>9763-20170724T104949.244871800.bin</t>
  </si>
  <si>
    <t>-571.41566978836 45.7813081646834 -248.776740425383</t>
  </si>
  <si>
    <t>-330.708894002172 52.7513593936226 -256.685667773593</t>
  </si>
  <si>
    <t>-574.789982084914 -55.2150214189394 304.349330456252</t>
  </si>
  <si>
    <t>-626.252343034977 -37.2807446347335 748.878593799106</t>
  </si>
  <si>
    <t>-482.207974678032 -13.1234844387275 810.155928057517</t>
  </si>
  <si>
    <t>-479.670961558642 -258.704074443666 308.378351243162</t>
  </si>
  <si>
    <t>-521.158574788034 -264.558943448762 754.298652548964</t>
  </si>
  <si>
    <t>-409.885439426682 -350.266792841602 827.509066598767</t>
  </si>
  <si>
    <t>9763-20170724T104949.309599000.bin</t>
  </si>
  <si>
    <t>-569.752981947227 46.3473573810393 -248.921232979983</t>
  </si>
  <si>
    <t>-329.065076771637 53.5646256950133 -257.173733504786</t>
  </si>
  <si>
    <t>-574.544112605152 -55.6015798245126 304.387380073565</t>
  </si>
  <si>
    <t>-626.192984394659 -37.4282350357853 748.891185258385</t>
  </si>
  <si>
    <t>-482.188798461218 -13.0218313873245 810.164492445356</t>
  </si>
  <si>
    <t>-479.64659152474 -258.965434070367 308.375877193049</t>
  </si>
  <si>
    <t>-521.16378068913 -264.60157248813 754.309221983632</t>
  </si>
  <si>
    <t>-410.031602902726 -350.481848741267 827.531548473029</t>
  </si>
  <si>
    <t>9763-20170724T104949.341685400.bin</t>
  </si>
  <si>
    <t>-568.768470083326 46.6456667536506 -249.002625532278</t>
  </si>
  <si>
    <t>-328.092488353365 53.9770541214689 -257.496603848301</t>
  </si>
  <si>
    <t>-574.604482069997 -55.628949734767 304.394311851659</t>
  </si>
  <si>
    <t>-626.214639626646 -37.377408622521 748.897329488855</t>
  </si>
  <si>
    <t>-482.186086979967 -13.1311069987289 810.17706894067</t>
  </si>
  <si>
    <t>-479.71021775787 -259.141917659509 308.38888440666</t>
  </si>
  <si>
    <t>-521.22064039827 -264.736646717591 754.3219440409</t>
  </si>
  <si>
    <t>-409.699888870921 -350.13986433692 827.511618513747</t>
  </si>
  <si>
    <t>9763-20170724T104949.410885800.bin</t>
  </si>
  <si>
    <t>-566.777813832472 46.6626202138846 -249.078829107949</t>
  </si>
  <si>
    <t>-326.141106059084 54.2143919379282 -258.449677362486</t>
  </si>
  <si>
    <t>-574.600430237397 -55.6089196052769 304.365823986683</t>
  </si>
  <si>
    <t>-626.291477926213 -37.2452450599094 748.897093458261</t>
  </si>
  <si>
    <t>-482.21269049151 -13.2600791637053 810.161158954493</t>
  </si>
  <si>
    <t>-479.892000046642 -259.106829170436 308.433233351654</t>
  </si>
  <si>
    <t>-521.205732467492 -264.688132835285 754.346057196066</t>
  </si>
  <si>
    <t>-409.572303168711 -349.963257119585 827.513396651449</t>
  </si>
  <si>
    <t>9763-20170724T104949.444975800.bin</t>
  </si>
  <si>
    <t>-566.242407710733 46.3019933935529 -249.180125335812</t>
  </si>
  <si>
    <t>-325.610141033496 53.8324494675692 -258.679810073866</t>
  </si>
  <si>
    <t>-574.410491786485 -55.7116470951605 304.354730544908</t>
  </si>
  <si>
    <t>-626.221591267609 -37.4037836328184 748.890343220198</t>
  </si>
  <si>
    <t>-482.193359108072 -13.0642086943458 810.133653865709</t>
  </si>
  <si>
    <t>-479.833933057198 -259.061831652978 308.438353086603</t>
  </si>
  <si>
    <t>-521.160336812042 -264.595897496054 754.344640005361</t>
  </si>
  <si>
    <t>-409.760601153792 -350.157768249017 827.533260195209</t>
  </si>
  <si>
    <t>9763-20170724T104949.509917700.bin</t>
  </si>
  <si>
    <t>-566.227523383731 45.1409263894952 -249.206427476921</t>
  </si>
  <si>
    <t>-325.581222670375 52.5379880432279 -258.45287477101</t>
  </si>
  <si>
    <t>-573.979860496043 -55.8427043111062 304.340133539637</t>
  </si>
  <si>
    <t>-626.337087565286 -37.3134981351056 748.87753604888</t>
  </si>
  <si>
    <t>-482.233867110895 -13.2671489747877 810.060334693063</t>
  </si>
  <si>
    <t>-479.591941866764 -259.122002116697 308.46838709935</t>
  </si>
  <si>
    <t>-521.079618239184 -264.465317067147 754.335943756378</t>
  </si>
  <si>
    <t>-409.907849667047 -350.283175503787 827.571359275343</t>
  </si>
  <si>
    <t>9763-20170724T104949.543006600.bin</t>
  </si>
  <si>
    <t>-567.068520439046 44.449844573051 -249.093214847386</t>
  </si>
  <si>
    <t>-326.402355005925 51.9979131032367 -257.677544453064</t>
  </si>
  <si>
    <t>-573.924266370575 -55.9397421751878 304.343919833307</t>
  </si>
  <si>
    <t>-626.357586439189 -37.3289290080777 748.857720781195</t>
  </si>
  <si>
    <t>-482.245353287853 -13.2465469818694 810.00521149624</t>
  </si>
  <si>
    <t>-479.478523027253 -259.224345826013 308.507791997322</t>
  </si>
  <si>
    <t>-521.1048145581 -264.549187959172 754.3359851219</t>
  </si>
  <si>
    <t>-409.604104183275 -349.942144945583 827.568279079177</t>
  </si>
  <si>
    <t>9763-20170724T104949.612912600.bin</t>
  </si>
  <si>
    <t>-569.404397278805 42.8170056676477 -248.861158369284</t>
  </si>
  <si>
    <t>-328.726958715112 51.7802672497398 -255.559986414991</t>
  </si>
  <si>
    <t>-573.881787860539 -56.187750023219 304.229852042335</t>
  </si>
  <si>
    <t>-626.353122732811 -37.3770200405372 748.729448241317</t>
  </si>
  <si>
    <t>-482.194834981941 -13.4969482130284 809.847543073042</t>
  </si>
  <si>
    <t>-479.188387879974 -259.326798774066 308.489036572965</t>
  </si>
  <si>
    <t>-521.069554724926 -264.456023604263 754.318183512825</t>
  </si>
  <si>
    <t>-409.756883971871 -350.067008411576 827.581776385324</t>
  </si>
  <si>
    <t>9763-20170724T104949.646000400.bin</t>
  </si>
  <si>
    <t>-570.484797809012 42.0187625920275 -248.682471549051</t>
  </si>
  <si>
    <t>-329.815296593008 51.9071136766199 -254.273796543462</t>
  </si>
  <si>
    <t>-573.946125341495 -56.348715910078 304.176283099206</t>
  </si>
  <si>
    <t>-626.35466155816 -37.3503982239129 748.670770245969</t>
  </si>
  <si>
    <t>-482.199078246241 -13.45057615171 809.787580162557</t>
  </si>
  <si>
    <t>-479.107150372183 -259.391005012489 308.459846954156</t>
  </si>
  <si>
    <t>-521.041034818388 -264.34856247201 754.309042532093</t>
  </si>
  <si>
    <t>-409.990187734584 -350.296266671794 827.575466587327</t>
  </si>
  <si>
    <t>9763-20170724T104949.709786100.bin</t>
  </si>
  <si>
    <t>-573.273418257066 40.331937454353 -248.206386751493</t>
  </si>
  <si>
    <t>-332.693356386188 53.060330815136 -251.384862497279</t>
  </si>
  <si>
    <t>-574.1122616508 -56.6930507369452 304.164958424503</t>
  </si>
  <si>
    <t>-626.369964215718 -37.3388584742861 748.598233822574</t>
  </si>
  <si>
    <t>-482.287216573636 -12.9505934874335 809.693610893747</t>
  </si>
  <si>
    <t>-478.663854068737 -259.822525284716 308.446338763087</t>
  </si>
  <si>
    <t>-521.008112309669 -264.26521984798 754.291508910797</t>
  </si>
  <si>
    <t>-409.862350921574 -350.111084023757 827.533627475936</t>
  </si>
  <si>
    <t>9763-20170724T104949.745883100.bin</t>
  </si>
  <si>
    <t>-575.555718157677 39.0468570832043 -247.841006894759</t>
  </si>
  <si>
    <t>-335.085670509877 53.9541823113527 -249.51847427991</t>
  </si>
  <si>
    <t>-574.058650191204 -57.0273775116616 304.190673565749</t>
  </si>
  <si>
    <t>-626.36640047293 -37.403955823137 748.578522944385</t>
  </si>
  <si>
    <t>-482.228523175831 -13.3090545550172 809.660067407316</t>
  </si>
  <si>
    <t>-478.415351267561 -260.075279140116 308.45964819848</t>
  </si>
  <si>
    <t>-521.055357775522 -264.387263806924 754.29121371889</t>
  </si>
  <si>
    <t>-409.781058539951 -350.079686273342 827.517664860491</t>
  </si>
  <si>
    <t>9763-20170724T104949.814075400.bin</t>
  </si>
  <si>
    <t>-582.535347111954 34.7289802264454 -247.070676177593</t>
  </si>
  <si>
    <t>-342.475176738814 55.0747299567765 -244.234942003822</t>
  </si>
  <si>
    <t>-573.700449849373 -57.6811648297044 304.231443892801</t>
  </si>
  <si>
    <t>-626.409550258238 -37.4078290870666 748.513116530433</t>
  </si>
  <si>
    <t>-482.296464630186 -13.0695779966436 809.557199017087</t>
  </si>
  <si>
    <t>-478.150328500057 -260.445650977117 308.500176656182</t>
  </si>
  <si>
    <t>-521.018527525253 -264.308877302209 754.303644743099</t>
  </si>
  <si>
    <t>-409.783590082605 -350.069519528549 827.510036802853</t>
  </si>
  <si>
    <t>9763-20170724T104949.841147300.bin</t>
  </si>
  <si>
    <t>-587.499902312176 32.2322524631784 -246.788601023397</t>
  </si>
  <si>
    <t>-347.764008928072 55.2652752946487 -239.926776089661</t>
  </si>
  <si>
    <t>-573.486478733131 -58.0078333637198 304.238112059736</t>
  </si>
  <si>
    <t>-626.434602440428 -37.4247538134975 748.467372975843</t>
  </si>
  <si>
    <t>-482.307730375689 -13.1225294738754 809.492756689373</t>
  </si>
  <si>
    <t>-478.07220587818 -260.795165234805 308.522901362857</t>
  </si>
  <si>
    <t>-521.095269736947 -264.479195515437 754.332026215254</t>
  </si>
  <si>
    <t>-409.588054335576 -349.922664751708 827.495136728602</t>
  </si>
  <si>
    <t>9763-20170724T104949.911985600.bin</t>
  </si>
  <si>
    <t>-598.394561926583 28.4460532618068 -246.830478711184</t>
  </si>
  <si>
    <t>-359.7443885804 55.4046786430379 -227.58960629774</t>
  </si>
  <si>
    <t>-573.265924473447 -58.395817052304 304.257104428423</t>
  </si>
  <si>
    <t>-626.486656694487 -37.4085787356732 748.397840303148</t>
  </si>
  <si>
    <t>-482.381877876237 -12.915795742204 809.399281524146</t>
  </si>
  <si>
    <t>-478.084622231878 -260.978772030076 308.526595656473</t>
  </si>
  <si>
    <t>-521.014744455966 -264.279847161356 754.363550808444</t>
  </si>
  <si>
    <t>-409.626836199497 -349.919331322041 827.479373851362</t>
  </si>
  <si>
    <t>9763-20170724T104949.945066400.bin</t>
  </si>
  <si>
    <t>-602.746422418698 26.9074306881878 -246.851615242265</t>
  </si>
  <si>
    <t>-364.811449810495 55.1166674176643 -221.512966691599</t>
  </si>
  <si>
    <t>-573.172381357337 -58.5638948745386 304.24877536361</t>
  </si>
  <si>
    <t>-626.487270376607 -37.4092174777804 748.377152360742</t>
  </si>
  <si>
    <t>-482.384491520213 -12.9951104313845 809.41518620487</t>
  </si>
  <si>
    <t>-478.285141932017 -261.190913063886 308.537009515924</t>
  </si>
  <si>
    <t>-521.145073581054 -264.567830679485 754.398166292829</t>
  </si>
  <si>
    <t>-409.210267113612 -349.548405442516 827.44745063845</t>
  </si>
  <si>
    <t>9763-20170724T104950.015259800.bin</t>
  </si>
  <si>
    <t>-604.428568049763 25.3584007097556 -245.995421398036</t>
  </si>
  <si>
    <t>-367.685624436185 57.0078960395101 -214.341285915619</t>
  </si>
  <si>
    <t>-573.234856888325 -58.8076581366363 304.212374180253</t>
  </si>
  <si>
    <t>-626.562959307329 -37.2910516421243 748.32368726349</t>
  </si>
  <si>
    <t>-482.526373892418 -12.5216245962267 809.374464094997</t>
  </si>
  <si>
    <t>-478.520079392512 -261.549046544707 308.544370420867</t>
  </si>
  <si>
    <t>-521.286688398774 -264.924644918063 754.458895580089</t>
  </si>
  <si>
    <t>-408.976749163947 -349.479608481175 827.426355517384</t>
  </si>
  <si>
    <t>9763-20170724T104950.042332700.bin</t>
  </si>
  <si>
    <t>-602.454553156339 25.7596694356134 -245.277328709346</t>
  </si>
  <si>
    <t>-365.655425125233 58.139569323939 -214.804685696021</t>
  </si>
  <si>
    <t>-573.501035207349 -58.8880999581902 304.197797557954</t>
  </si>
  <si>
    <t>-626.589933323256 -37.3038906162988 748.311862209849</t>
  </si>
  <si>
    <t>-482.570012731821 -12.4177673714184 809.354631934498</t>
  </si>
  <si>
    <t>-478.359937147425 -261.671723029534 308.524786276355</t>
  </si>
  <si>
    <t>-521.245887747117 -264.86980731527 754.455405746635</t>
  </si>
  <si>
    <t>-409.086663777238 -349.621622082533 827.426019113125</t>
  </si>
  <si>
    <t>9763-20170724T104950.114319500.bin</t>
  </si>
  <si>
    <t>-597.452977229419 26.8248463058835 -244.573592371696</t>
  </si>
  <si>
    <t>-360.300098858974 60.0800459655798 -218.050828777689</t>
  </si>
  <si>
    <t>-574.363925300185 -59.0370772299852 304.201346104415</t>
  </si>
  <si>
    <t>-626.677853661588 -37.2071845543815 748.338117054644</t>
  </si>
  <si>
    <t>-482.701783521559 -12.0820841898633 809.38637101117</t>
  </si>
  <si>
    <t>-478.385937239932 -261.762274588029 308.445310883963</t>
  </si>
  <si>
    <t>-521.099250667089 -264.62259404571 754.430287664652</t>
  </si>
  <si>
    <t>-409.070991857426 -349.54876253397 827.399539147176</t>
  </si>
  <si>
    <t>9763-20170724T104950.141385000.bin</t>
  </si>
  <si>
    <t>-595.216700718835 27.6974789925757 -244.535582503404</t>
  </si>
  <si>
    <t>-357.791913038874 60.1322406211025 -219.468587480623</t>
  </si>
  <si>
    <t>-574.71676533037 -59.0980304913362 304.216873749763</t>
  </si>
  <si>
    <t>-626.718582243458 -37.1506598193248 748.374219033303</t>
  </si>
  <si>
    <t>-482.807975283873 -11.6739741706845 809.431558925533</t>
  </si>
  <si>
    <t>-478.541863270947 -261.996919738428 308.447568307391</t>
  </si>
  <si>
    <t>-521.175527823476 -264.859101422576 754.441452811682</t>
  </si>
  <si>
    <t>-408.713623069237 -349.244133698206 827.371407996015</t>
  </si>
  <si>
    <t>9763-20170724T104950.211577700.bin</t>
  </si>
  <si>
    <t>-592.014763826068 29.4014501853394 -244.831282683396</t>
  </si>
  <si>
    <t>-354.091233277639 59.5821251350656 -221.758193873101</t>
  </si>
  <si>
    <t>-575.106552523852 -59.1599037783067 304.24672717389</t>
  </si>
  <si>
    <t>-626.798330557144 -37.100706733281 748.438953831234</t>
  </si>
  <si>
    <t>-482.884217072925 -11.6703458359625 809.506950579595</t>
  </si>
  <si>
    <t>-478.840828669201 -262.153414952687 308.452732796846</t>
  </si>
  <si>
    <t>-521.170716385203 -264.930181814077 754.471289582953</t>
  </si>
  <si>
    <t>-408.669261225803 -349.288479519087 827.371373823851</t>
  </si>
  <si>
    <t>9763-20170724T104950.249680500.bin</t>
  </si>
  <si>
    <t>-590.407320938481 29.9285994238537 -244.941372469037</t>
  </si>
  <si>
    <t>-352.341129887921 59.4035093166722 -222.433833988668</t>
  </si>
  <si>
    <t>-575.12412215353 -59.1587253464475 304.265272962557</t>
  </si>
  <si>
    <t>-626.83275674397 -37.1201165108002 748.463883204871</t>
  </si>
  <si>
    <t>-482.90701051067 -11.7317006600565 809.522041412787</t>
  </si>
  <si>
    <t>-478.879184035267 -262.092418429403 308.455333044785</t>
  </si>
  <si>
    <t>-521.048596546582 -264.703192720478 754.468796705239</t>
  </si>
  <si>
    <t>-408.759650182449 -349.334573644154 827.379909019933</t>
  </si>
  <si>
    <t>9763-20170724T104950.277755500.bin</t>
  </si>
  <si>
    <t>-588.981957541577 30.1882554085103 -245.018654316323</t>
  </si>
  <si>
    <t>-350.820107168563 59.2534433827673 -222.99476918458</t>
  </si>
  <si>
    <t>-575.104306265021 -59.1562077467338 304.281685538947</t>
  </si>
  <si>
    <t>-626.883040271024 -37.1017174589144 748.475973561804</t>
  </si>
  <si>
    <t>-482.972530392893 -11.5771092346622 809.51302941727</t>
  </si>
  <si>
    <t>-478.816267819356 -262.109023699273 308.469423518144</t>
  </si>
  <si>
    <t>-520.987007017001 -264.625948232524 754.472273047241</t>
  </si>
  <si>
    <t>-408.762016491552 -349.3358244526 827.390333184001</t>
  </si>
  <si>
    <t>9763-20170724T104950.344937900.bin</t>
  </si>
  <si>
    <t>-586.411502100462 30.6661694251193 -245.123682592146</t>
  </si>
  <si>
    <t>-347.95706151312 58.0624462671281 -224.152415458625</t>
  </si>
  <si>
    <t>-575.02980787083 -59.2347627915235 304.303359234408</t>
  </si>
  <si>
    <t>-626.962762181359 -37.1165035221818 748.490330324785</t>
  </si>
  <si>
    <t>-483.058125844567 -11.4933878422673 809.500192948661</t>
  </si>
  <si>
    <t>-478.753927606768 -262.324046560801 308.491676821021</t>
  </si>
  <si>
    <t>-521.039165909668 -264.882916311286 754.492373064975</t>
  </si>
  <si>
    <t>-408.508585266995 -349.203052137921 827.391481604722</t>
  </si>
  <si>
    <t>9763-20170724T104950.410116000.bin</t>
  </si>
  <si>
    <t>-583.815669299911 31.1438976223783 -245.130870703144</t>
  </si>
  <si>
    <t>-345.076486685072 57.1164653422316 -225.641046608292</t>
  </si>
  <si>
    <t>-574.8680541897 -59.1818024783006 304.303012064199</t>
  </si>
  <si>
    <t>-627.041261541509 -37.0956762549481 748.487860872895</t>
  </si>
  <si>
    <t>-483.167164001677 -11.2622945204757 809.481072880319</t>
  </si>
  <si>
    <t>-478.538973376798 -262.291434915102 308.529798505418</t>
  </si>
  <si>
    <t>-521.000168402014 -264.904054665526 754.504202724476</t>
  </si>
  <si>
    <t>-408.746672707987 -349.577055737282 827.421323065613</t>
  </si>
  <si>
    <t>9763-20170724T104950.444207800.bin</t>
  </si>
  <si>
    <t>-582.595194419154 31.0661987472213 -245.10014434264</t>
  </si>
  <si>
    <t>-343.704674934039 56.4822526257112 -226.764087605113</t>
  </si>
  <si>
    <t>-574.795985176852 -59.2378526269511 304.304366815764</t>
  </si>
  <si>
    <t>-627.073814016913 -37.128561924106 748.476460493557</t>
  </si>
  <si>
    <t>-483.167007731874 -11.4451545769402 809.455652416741</t>
  </si>
  <si>
    <t>-478.527401896034 -262.453570527381 308.536040242751</t>
  </si>
  <si>
    <t>-521.02691943755 -265.019641362681 754.510013369053</t>
  </si>
  <si>
    <t>-408.240241290178 -349.011464693139 827.39229012107</t>
  </si>
  <si>
    <t>9763-20170724T104950.513396900.bin</t>
  </si>
  <si>
    <t>-580.854100724879 31.2490487825569 -245.10423348553</t>
  </si>
  <si>
    <t>-341.751822850113 56.0693852324114 -228.827238913142</t>
  </si>
  <si>
    <t>-574.771181348853 -59.2339599465195 304.326436228055</t>
  </si>
  <si>
    <t>-627.13532214648 -37.1387705566412 748.474139708094</t>
  </si>
  <si>
    <t>-483.261374424983 -11.2442269807218 809.441916347879</t>
  </si>
  <si>
    <t>-478.387782594352 -262.33492331137 308.518490665101</t>
  </si>
  <si>
    <t>-520.809566943353 -264.566874506563 754.50116289763</t>
  </si>
  <si>
    <t>-408.431997664356 -349.095341139208 827.395015024051</t>
  </si>
  <si>
    <t>9763-20170724T104950.548491500.bin</t>
  </si>
  <si>
    <t>-580.193022179247 31.6801933889303 -245.156796479891</t>
  </si>
  <si>
    <t>-341.049810626301 56.2900183377521 -229.164196354245</t>
  </si>
  <si>
    <t>-574.77441037619 -59.1787779264778 304.330700095555</t>
  </si>
  <si>
    <t>-627.169781247684 -37.0818047010289 748.482666176191</t>
  </si>
  <si>
    <t>-483.392062485644 -10.6859633166475 809.462370760133</t>
  </si>
  <si>
    <t>-478.332383718497 -262.318917445808 308.513048532968</t>
  </si>
  <si>
    <t>-520.825236799848 -264.660569316785 754.50012612286</t>
  </si>
  <si>
    <t>-408.519677183911 -349.281670873158 827.397409966524</t>
  </si>
  <si>
    <t>9763-20170724T104950.609290500.bin</t>
  </si>
  <si>
    <t>-578.758141231544 32.9862413561857 -245.292944544192</t>
  </si>
  <si>
    <t>-339.572382582479 57.2599453364005 -229.422648968892</t>
  </si>
  <si>
    <t>-574.836118493472 -59.0789274112303 304.352900092014</t>
  </si>
  <si>
    <t>-627.215185920051 -37.0564440707633 748.502296791106</t>
  </si>
  <si>
    <t>-483.466504463063 -10.59811795367 809.523076123174</t>
  </si>
  <si>
    <t>-478.175090661286 -262.336814814377 308.517152824725</t>
  </si>
  <si>
    <t>-520.831054390022 -264.767184004477 754.50258846916</t>
  </si>
  <si>
    <t>-408.44345901773 -349.288382565285 827.389523136554</t>
  </si>
  <si>
    <t>9763-20170724T104950.643382600.bin</t>
  </si>
  <si>
    <t>-578.020004020431 33.4942969477352 -245.359852218966</t>
  </si>
  <si>
    <t>-338.786661323112 57.4696362458337 -229.757987947541</t>
  </si>
  <si>
    <t>-574.904439879896 -59.0587241638825 304.382284965571</t>
  </si>
  <si>
    <t>-627.225491102992 -37.1090898431437 748.526980864006</t>
  </si>
  <si>
    <t>-483.429831295427 -10.9348443435465 809.560144016132</t>
  </si>
  <si>
    <t>-478.129775753077 -262.397918691706 308.526957763828</t>
  </si>
  <si>
    <t>-520.81713079149 -264.779915424421 754.509903978466</t>
  </si>
  <si>
    <t>-408.314485916187 -349.164908896357 827.376853441482</t>
  </si>
  <si>
    <t>9763-20170724T104950.709306200.bin</t>
  </si>
  <si>
    <t>-576.681360955979 34.4612333708046 -245.33688637308</t>
  </si>
  <si>
    <t>-337.303106773328 57.7062832973415 -230.893852826348</t>
  </si>
  <si>
    <t>-575.191394885003 -58.9872403127422 304.406633628805</t>
  </si>
  <si>
    <t>-627.307140160708 -37.04923395984 748.570311353147</t>
  </si>
  <si>
    <t>-483.576603112489 -10.5251026809296 809.605665799115</t>
  </si>
  <si>
    <t>-478.307497586586 -262.375653543997 308.553028517505</t>
  </si>
  <si>
    <t>-520.829582183572 -264.868964283805 754.5329935569</t>
  </si>
  <si>
    <t>-407.978659283594 -348.828410575522 827.353261633931</t>
  </si>
  <si>
    <t>9763-20170724T104950.744381000.bin</t>
  </si>
  <si>
    <t>-576.0565506773 35.01568277975 -245.314828982243</t>
  </si>
  <si>
    <t>-336.584504944195 57.8270405256062 -231.763494329228</t>
  </si>
  <si>
    <t>-575.385386981592 -58.9065313225569 304.414557528668</t>
  </si>
  <si>
    <t>-627.344512074934 -37.0124420007212 748.597484357716</t>
  </si>
  <si>
    <t>-483.655749653047 -10.2802973446005 809.640134661004</t>
  </si>
  <si>
    <t>-478.379630742009 -262.304418980679 308.559002735186</t>
  </si>
  <si>
    <t>-520.846511055238 -264.948580162663 754.543745375874</t>
  </si>
  <si>
    <t>-408.005856853411 -348.930854691556 827.353436889059</t>
  </si>
  <si>
    <t>9763-20170724T104950.811570800.bin</t>
  </si>
  <si>
    <t>-574.882526873296 35.8228524502606 -245.33364894017</t>
  </si>
  <si>
    <t>-335.269078936492 58.0485090050897 -233.406152523874</t>
  </si>
  <si>
    <t>-575.578976601745 -58.7130553410168 304.423074455785</t>
  </si>
  <si>
    <t>-627.447268964901 -37.0364823472607 748.645868486712</t>
  </si>
  <si>
    <t>-483.801210205655 -10.0921798013135 809.695850932887</t>
  </si>
  <si>
    <t>-478.421445591582 -262.039635454779 308.546607939451</t>
  </si>
  <si>
    <t>-520.729325143872 -264.744253705363 754.547010483255</t>
  </si>
  <si>
    <t>-407.859316766271 -348.696774083308 827.345540065955</t>
  </si>
  <si>
    <t>9763-20170724T104950.842655800.bin</t>
  </si>
  <si>
    <t>-574.552330951949 36.2252824849363 -245.354644466051</t>
  </si>
  <si>
    <t>-334.89063678541 58.3019389783783 -234.141544607254</t>
  </si>
  <si>
    <t>-575.646280412516 -58.5546386929529 304.430355961312</t>
  </si>
  <si>
    <t>-627.473321141939 -37.0160581416749 748.668227005122</t>
  </si>
  <si>
    <t>-483.790386442872 -10.2799188111178 809.723085086655</t>
  </si>
  <si>
    <t>-478.347995701583 -261.856345688688 308.544576338054</t>
  </si>
  <si>
    <t>-520.675018810711 -264.656770019759 754.543740847758</t>
  </si>
  <si>
    <t>-408.262863577755 -349.19778147872 827.369897698835</t>
  </si>
  <si>
    <t>9763-20170724T104950.913855600.bin</t>
  </si>
  <si>
    <t>-574.057009235558 37.2431963343761 -245.542563880787</t>
  </si>
  <si>
    <t>-334.327305838862 58.9993699092965 -235.189059343221</t>
  </si>
  <si>
    <t>-575.790407824455 -58.4105418321044 304.426376255954</t>
  </si>
  <si>
    <t>-627.515955538986 -37.0302436992724 748.692483300095</t>
  </si>
  <si>
    <t>-483.855682956846 -10.1795649044636 809.750401881971</t>
  </si>
  <si>
    <t>-478.418701755106 -261.802102450939 308.575718260272</t>
  </si>
  <si>
    <t>-520.71008006666 -264.810823014995 754.557378701841</t>
  </si>
  <si>
    <t>-407.879445164458 -348.823375257665 827.347734206572</t>
  </si>
  <si>
    <t>9763-20170724T104950.946946900.bin</t>
  </si>
  <si>
    <t>-573.770154142162 37.8469228951196 -245.696959816179</t>
  </si>
  <si>
    <t>-334.007951833333 59.4612747741307 -235.809082529397</t>
  </si>
  <si>
    <t>-575.862123493298 -58.3067715307041 304.407899562203</t>
  </si>
  <si>
    <t>-627.519832861001 -37.0692060420297 748.698495368072</t>
  </si>
  <si>
    <t>-483.869062657531 -10.1739224455096 809.759286247221</t>
  </si>
  <si>
    <t>-478.449141099007 -261.635047493947 308.572276072239</t>
  </si>
  <si>
    <t>-520.686019210468 -264.792655956496 754.564929682938</t>
  </si>
  <si>
    <t>-407.938315910866 -348.915777606215 827.356222200935</t>
  </si>
  <si>
    <t>9763-20170724T104951.014138100.bin</t>
  </si>
  <si>
    <t>-572.772019784869 39.2273977922682 -246.106056433864</t>
  </si>
  <si>
    <t>-332.921132018743 60.3356321217955 -237.339709216693</t>
  </si>
  <si>
    <t>-576.093413266959 -58.0991943764184 304.368211668943</t>
  </si>
  <si>
    <t>-627.581796215716 -37.0411121876998 748.694896533927</t>
  </si>
  <si>
    <t>-483.944494966919 -10.1148882924947 809.773579087258</t>
  </si>
  <si>
    <t>-478.476068354303 -261.451206663328 308.571661364778</t>
  </si>
  <si>
    <t>-520.684603123401 -264.87386147898 754.567175696558</t>
  </si>
  <si>
    <t>-407.67838179773 -348.661024907093 827.345053542513</t>
  </si>
  <si>
    <t>9763-20170724T104951.043215300.bin</t>
  </si>
  <si>
    <t>-571.971084915168 40.0038611698194 -246.347266311231</t>
  </si>
  <si>
    <t>-332.080847915742 60.810523119598 -237.945507461673</t>
  </si>
  <si>
    <t>-576.147166197585 -57.9357022846036 304.368664531231</t>
  </si>
  <si>
    <t>-627.64687950426 -36.9694873068245 748.7050515866</t>
  </si>
  <si>
    <t>-483.987882813379 -10.1683154497198 809.787504562893</t>
  </si>
  <si>
    <t>-478.310532666519 -261.19319347848 308.561777727089</t>
  </si>
  <si>
    <t>-520.527253025111 -264.54046836255 754.546223035444</t>
  </si>
  <si>
    <t>-407.982031327585 -348.912496380916 827.362595052006</t>
  </si>
  <si>
    <t>9763-20170724T104951.113068800.bin</t>
  </si>
  <si>
    <t>-570.661816832734 40.8758319343635 -246.7586086207</t>
  </si>
  <si>
    <t>-330.674160827009 60.9870301420517 -239.529410719237</t>
  </si>
  <si>
    <t>-576.149646932916 -57.7370240813821 304.367627566276</t>
  </si>
  <si>
    <t>-627.634263978022 -37.1038253918796 748.730386863812</t>
  </si>
  <si>
    <t>-484.0165189553 -10.0569166937346 809.8016406057</t>
  </si>
  <si>
    <t>-478.314645739759 -261.025316641443 308.572607124268</t>
  </si>
  <si>
    <t>-520.51999619727 -264.615754275842 754.539735766344</t>
  </si>
  <si>
    <t>-407.840426072205 -348.803717314793 827.361404078003</t>
  </si>
  <si>
    <t>9763-20170724T104951.144155900.bin</t>
  </si>
  <si>
    <t>-569.6147090802 41.531654361346 -246.962223146896</t>
  </si>
  <si>
    <t>-329.578892324662 61.2492523403625 -240.262940913012</t>
  </si>
  <si>
    <t>-576.144033761216 -57.668477188008 304.368079489235</t>
  </si>
  <si>
    <t>-627.668806779849 -37.0908128095898 748.733674014353</t>
  </si>
  <si>
    <t>-484.048636090195 -10.0646709093512 809.808362489986</t>
  </si>
  <si>
    <t>-478.384882317482 -260.945438617101 308.574088814881</t>
  </si>
  <si>
    <t>-520.531726015416 -264.672926508588 754.542236240974</t>
  </si>
  <si>
    <t>-407.730007035545 -348.700456162599 827.360267265849</t>
  </si>
  <si>
    <t>9763-20170724T104951.208972600.bin</t>
  </si>
  <si>
    <t>-566.799770030978 42.7583976140895 -247.399283395251</t>
  </si>
  <si>
    <t>-326.678772444847 61.8231573436196 -241.985581725819</t>
  </si>
  <si>
    <t>-575.97646951314 -57.565560892443 304.375595515727</t>
  </si>
  <si>
    <t>-627.644695875557 -37.2645456756281 748.752101004746</t>
  </si>
  <si>
    <t>-484.094000699029 -9.84029844802353 809.812810988193</t>
  </si>
  <si>
    <t>-478.37750606747 -260.865210958096 308.577248507222</t>
  </si>
  <si>
    <t>-520.425833015224 -264.470895032933 754.541354910132</t>
  </si>
  <si>
    <t>-407.627995786543 -348.502545950266 827.360454541296</t>
  </si>
  <si>
    <t>9763-20170724T104951.243062200.bin</t>
  </si>
  <si>
    <t>-565.282623812123 43.408781245324 -247.658043066449</t>
  </si>
  <si>
    <t>-325.14034456297 62.311997403358 -242.634686909006</t>
  </si>
  <si>
    <t>-575.932749525203 -57.460230832907 304.379988082317</t>
  </si>
  <si>
    <t>-627.651258139683 -37.3187497709664 748.760816418543</t>
  </si>
  <si>
    <t>-484.095639440224 -9.90694990377551 809.815423172158</t>
  </si>
  <si>
    <t>-478.371148868531 -260.770932150185 308.578878976595</t>
  </si>
  <si>
    <t>-520.371265629534 -264.375405565013 754.540034156927</t>
  </si>
  <si>
    <t>-407.810609617551 -348.709894358888 827.376173694094</t>
  </si>
  <si>
    <t>9763-20170724T104951.313266900.bin</t>
  </si>
  <si>
    <t>-562.561247470527 44.7595324118106 -248.267381105053</t>
  </si>
  <si>
    <t>-322.384199521138 63.3290895471389 -243.679756838059</t>
  </si>
  <si>
    <t>-575.766908995874 -57.2137634457256 304.392856984352</t>
  </si>
  <si>
    <t>-627.823172658404 -37.1569192977365 748.790875293502</t>
  </si>
  <si>
    <t>-484.162307680987 -10.2213496859667 809.809939547258</t>
  </si>
  <si>
    <t>-478.628311286936 -260.530285496222 308.584311595305</t>
  </si>
  <si>
    <t>-520.311909087346 -264.290939993426 754.539151174542</t>
  </si>
  <si>
    <t>-407.921055542487 -348.834313258774 827.395280768021</t>
  </si>
  <si>
    <t>9763-20170724T104951.346362800.bin</t>
  </si>
  <si>
    <t>-561.526476513723 45.3034366044831 -248.55445882365</t>
  </si>
  <si>
    <t>-321.331901926142 63.6478770146721 -243.979423290574</t>
  </si>
  <si>
    <t>-575.592836865677 -57.1684263900936 304.383590615244</t>
  </si>
  <si>
    <t>-627.863554550266 -37.2026273517433 748.77119574575</t>
  </si>
  <si>
    <t>-484.212349020368 -10.1284694412016 809.751957377691</t>
  </si>
  <si>
    <t>-478.729483184961 -260.498203419926 308.564887717652</t>
  </si>
  <si>
    <t>-520.24998141361 -264.197297779914 754.524529673527</t>
  </si>
  <si>
    <t>-408.117991240463 -349.050104682866 827.419720795394</t>
  </si>
  <si>
    <t>9763-20170724T104951.415205700.bin</t>
  </si>
  <si>
    <t>-559.871714323722 46.2602472642918 -249.040179994293</t>
  </si>
  <si>
    <t>-319.641603701832 64.1487694891382 -244.529542354066</t>
  </si>
  <si>
    <t>-575.194836841955 -57.1340340680438 304.374891882479</t>
  </si>
  <si>
    <t>-627.881918513222 -37.3640046904482 748.70567556514</t>
  </si>
  <si>
    <t>-484.136673191111 -10.6935092499675 809.642525595742</t>
  </si>
  <si>
    <t>-478.597420610752 -260.428454904421 308.518311716819</t>
  </si>
  <si>
    <t>-520.064721021514 -263.844399258072 754.489395838061</t>
  </si>
  <si>
    <t>-408.257977948841 -349.079016421755 827.438800004679</t>
  </si>
  <si>
    <t>9763-20170724T104951.446284400.bin</t>
  </si>
  <si>
    <t>-559.018961966616 46.4803746841037 -249.226489165697</t>
  </si>
  <si>
    <t>-318.769623059222 64.0913984539748 -244.64670358181</t>
  </si>
  <si>
    <t>-575.07227763407 -57.1118543290252 304.375077331018</t>
  </si>
  <si>
    <t>-627.921186642199 -37.3197454335118 748.681378266568</t>
  </si>
  <si>
    <t>-484.25197398043 -10.198973649728 809.598591070516</t>
  </si>
  <si>
    <t>-478.578993633569 -260.555540374895 308.516616109906</t>
  </si>
  <si>
    <t>-520.184387154452 -264.141708846742 754.492106936019</t>
  </si>
  <si>
    <t>-408.028455341517 -348.930324300135 827.425181750781</t>
  </si>
  <si>
    <t>9763-20170724T104951.513464600.bin</t>
  </si>
  <si>
    <t>-557.270321208361 47.0982090923685 -249.611425499384</t>
  </si>
  <si>
    <t>-317.002269029199 64.4685955454124 -245.099117105285</t>
  </si>
  <si>
    <t>-574.843098063641 -56.9884130774963 304.363567030609</t>
  </si>
  <si>
    <t>-627.93448585337 -37.4071312364451 748.646695728135</t>
  </si>
  <si>
    <t>-484.166860158608 -10.7757163576928 809.547937787008</t>
  </si>
  <si>
    <t>-478.536707059786 -260.258482997931 308.507764504948</t>
  </si>
  <si>
    <t>-520.073920868786 -263.916316230666 754.460836029924</t>
  </si>
  <si>
    <t>-408.317825160973 -349.195958394849 827.435227708594</t>
  </si>
  <si>
    <t>9763-20170724T104951.544546100.bin</t>
  </si>
  <si>
    <t>-556.536290358045 47.4079479786565 -249.745190860806</t>
  </si>
  <si>
    <t>-316.283021904941 65.0227185684093 -245.390691747904</t>
  </si>
  <si>
    <t>-574.774250667061 -56.8622881032836 304.354783451646</t>
  </si>
  <si>
    <t>-627.943534723237 -37.4130270969715 748.635945727717</t>
  </si>
  <si>
    <t>-484.194418695731 -10.6650869312873 809.529608222642</t>
  </si>
  <si>
    <t>-478.435880780063 -260.123587276407 308.48860798546</t>
  </si>
  <si>
    <t>-520.016890540972 -263.814259054651 754.435466466141</t>
  </si>
  <si>
    <t>-408.369137639962 -349.216283305354 827.432557078332</t>
  </si>
  <si>
    <t>9763-20170724T104951.612611800.bin</t>
  </si>
  <si>
    <t>-554.890050480019 48.3863509390392 -250.020134494944</t>
  </si>
  <si>
    <t>-314.656362480244 66.3031939786185 -245.818576294767</t>
  </si>
  <si>
    <t>-574.631507001346 -56.5837094433357 304.384047783637</t>
  </si>
  <si>
    <t>-627.947203204146 -37.4190143892329 748.658861772568</t>
  </si>
  <si>
    <t>-484.197689425209 -10.7155129272946 809.571191211858</t>
  </si>
  <si>
    <t>-478.278162590285 -259.890780556895 308.435749819913</t>
  </si>
  <si>
    <t>-520.000312219002 -263.807175327574 754.405963495092</t>
  </si>
  <si>
    <t>-408.283080949312 -349.114873593823 827.407122607915</t>
  </si>
  <si>
    <t>9763-20170724T104951.644696100.bin</t>
  </si>
  <si>
    <t>-554.007050699264 49.0670452406537 -250.160830170866</t>
  </si>
  <si>
    <t>-313.771232726224 66.9141645967686 -245.789400832404</t>
  </si>
  <si>
    <t>-574.608718423791 -56.4840895157809 304.411914656931</t>
  </si>
  <si>
    <t>-627.947080000005 -37.4299126363403 748.677779053476</t>
  </si>
  <si>
    <t>-484.177448706034 -10.8581263651263 809.600112227668</t>
  </si>
  <si>
    <t>-478.27991429225 -259.785949656923 308.434473686723</t>
  </si>
  <si>
    <t>-520.007686835172 -263.822310428532 754.40000815374</t>
  </si>
  <si>
    <t>-408.264489048111 -349.100869692481 827.395344789218</t>
  </si>
  <si>
    <t>9763-20170724T104951.710483900.bin</t>
  </si>
  <si>
    <t>-551.744015000988 50.7418359238534 -250.50633800491</t>
  </si>
  <si>
    <t>-311.481799005963 68.1892072856572 -245.983120392195</t>
  </si>
  <si>
    <t>-574.540138354585 -56.201472103158 304.477210582136</t>
  </si>
  <si>
    <t>-627.97521700477 -37.3901428737599 748.730543077901</t>
  </si>
  <si>
    <t>-484.259307486776 -10.5241112421415 809.650603774701</t>
  </si>
  <si>
    <t>-478.21953750627 -259.667767355833 308.444812616813</t>
  </si>
  <si>
    <t>-520.04429444174 -263.914221713365 754.38751006709</t>
  </si>
  <si>
    <t>-408.149639772813 -349.000931119455 827.374669299146</t>
  </si>
  <si>
    <t>9763-20170724T104951.747583100.bin</t>
  </si>
  <si>
    <t>-550.488763481572 51.4693812125383 -250.614267250513</t>
  </si>
  <si>
    <t>-310.222312373106 68.8500631137299 -246.051082521203</t>
  </si>
  <si>
    <t>-574.497549914881 -56.0497251440818 304.513559552379</t>
  </si>
  <si>
    <t>-627.980283634485 -37.4167996065321 748.759808532918</t>
  </si>
  <si>
    <t>-484.225272465861 -10.7412353656925 809.671577894661</t>
  </si>
  <si>
    <t>-478.155819079622 -259.43846694324 308.451222512967</t>
  </si>
  <si>
    <t>-519.932805693362 -263.667128143665 754.376688824787</t>
  </si>
  <si>
    <t>-408.384369910483 -349.187358481689 827.387307910613</t>
  </si>
  <si>
    <t>9763-20170724T104951.813765800.bin</t>
  </si>
  <si>
    <t>-547.862146075758 52.4653997405546 -250.739526372326</t>
  </si>
  <si>
    <t>-307.616814935598 70.2159815120892 -246.503404374703</t>
  </si>
  <si>
    <t>-574.362327494506 -55.8112562510346 304.564958841427</t>
  </si>
  <si>
    <t>-628.009492885579 -37.4744055379074 748.811352290369</t>
  </si>
  <si>
    <t>-484.240128423794 -10.7565924640298 809.670312729156</t>
  </si>
  <si>
    <t>-478.071784785931 -259.19028380538 308.455361922931</t>
  </si>
  <si>
    <t>-519.90658408533 -263.612500495746 754.374759720901</t>
  </si>
  <si>
    <t>-408.428054796098 -349.220030212956 827.389666321337</t>
  </si>
  <si>
    <t>9763-20170724T104951.848859700.bin</t>
  </si>
  <si>
    <t>-546.512399273671 52.9134034987912 -250.796038277499</t>
  </si>
  <si>
    <t>-306.287836029759 70.9956975111384 -246.785259613403</t>
  </si>
  <si>
    <t>-574.346125786833 -55.684457831921 304.588665863988</t>
  </si>
  <si>
    <t>-628.022894141554 -37.4828918210128 748.837219960088</t>
  </si>
  <si>
    <t>-484.28606272364 -10.5485221544423 809.677867090773</t>
  </si>
  <si>
    <t>-478.057826668492 -259.116091279989 308.441883412397</t>
  </si>
  <si>
    <t>-519.882668879642 -263.566302513752 754.365923579445</t>
  </si>
  <si>
    <t>-408.390515670569 -349.154025201101 827.383188575134</t>
  </si>
  <si>
    <t>9763-20170724T104951.909032100.bin</t>
  </si>
  <si>
    <t>-544.146178074021 53.8151116001941 -250.967810053942</t>
  </si>
  <si>
    <t>-303.960445700333 72.4834965557984 -247.332493814747</t>
  </si>
  <si>
    <t>-574.385144494552 -55.5265443663236 304.67090689196</t>
  </si>
  <si>
    <t>-628.022686480309 -37.5094859049984 748.922869465497</t>
  </si>
  <si>
    <t>-484.249315213303 -10.7999670726545 809.776115499391</t>
  </si>
  <si>
    <t>-478.170891816972 -259.148345780046 308.413938132529</t>
  </si>
  <si>
    <t>-520.013533674873 -263.889602767824 754.373318274371</t>
  </si>
  <si>
    <t>-408.324337572062 -349.22829921426 827.38099598634</t>
  </si>
  <si>
    <t>9763-20170724T104951.944125600.bin</t>
  </si>
  <si>
    <t>-542.95862140461 54.4915884220998 -251.06919483186</t>
  </si>
  <si>
    <t>-302.795013795925 73.4961381736359 -247.737601333413</t>
  </si>
  <si>
    <t>-574.412912338065 -55.4144418732251 304.713370079577</t>
  </si>
  <si>
    <t>-628.031502398482 -37.4822247886857 748.970788841961</t>
  </si>
  <si>
    <t>-484.295640163604 -10.5921963992048 809.833069196022</t>
  </si>
  <si>
    <t>-478.190432357948 -259.051395767879 308.409260725359</t>
  </si>
  <si>
    <t>-519.960848897963 -263.77298530541 754.361475213927</t>
  </si>
  <si>
    <t>-408.196116861673 -349.01533415018 827.366322534782</t>
  </si>
  <si>
    <t>9763-20170724T104952.015837100.bin</t>
  </si>
  <si>
    <t>-539.974203077182 55.8593698013353 -251.229838427529</t>
  </si>
  <si>
    <t>-299.807488953909 74.8817464486563 -248.24199554774</t>
  </si>
  <si>
    <t>-574.479208203383 -55.1801435665127 304.787002103532</t>
  </si>
  <si>
    <t>-628.038184805307 -37.4402941158235 749.072646167733</t>
  </si>
  <si>
    <t>-484.285062513189 -10.7019874693624 809.960978242212</t>
  </si>
  <si>
    <t>-478.252756477511 -258.846830089872 308.399358077811</t>
  </si>
  <si>
    <t>-519.949828389681 -263.758830535282 754.354230797833</t>
  </si>
  <si>
    <t>-408.140353660279 -348.938919149333 827.363083204736</t>
  </si>
  <si>
    <t>9763-20170724T104952.046919900.bin</t>
  </si>
  <si>
    <t>-538.532556056051 56.4888231961677 -251.309874690901</t>
  </si>
  <si>
    <t>-298.372173089877 75.586535242998 -248.29286003607</t>
  </si>
  <si>
    <t>-574.566989804776 -55.04546294032 304.819953743717</t>
  </si>
  <si>
    <t>-628.057966266753 -37.3896443881758 749.1143679541</t>
  </si>
  <si>
    <t>-484.339620636417 -10.469459404738 810.00465449552</t>
  </si>
  <si>
    <t>-478.269547082447 -258.793182840619 308.400956577467</t>
  </si>
  <si>
    <t>-519.961270355354 -263.791814352931 754.358131438075</t>
  </si>
  <si>
    <t>-408.170299911882 -348.995429168495 827.367710305223</t>
  </si>
  <si>
    <t>9763-20170724T104952.113600900.bin</t>
  </si>
  <si>
    <t>-536.005940619278 57.1357807911713 -251.33820224288</t>
  </si>
  <si>
    <t>-295.861496701265 76.4465907157792 -248.403662225854</t>
  </si>
  <si>
    <t>-574.813305993009 -54.8156190879283 304.890699099091</t>
  </si>
  <si>
    <t>-628.049690923849 -37.4018949449944 749.210885699145</t>
  </si>
  <si>
    <t>-484.298560118601 -10.7206101445438 810.128956692173</t>
  </si>
  <si>
    <t>-478.245487916428 -258.576806359197 308.403997250102</t>
  </si>
  <si>
    <t>-519.95274029739 -263.750031121121 754.37318563111</t>
  </si>
  <si>
    <t>-408.30591328821 -349.1541437117 827.369074765993</t>
  </si>
  <si>
    <t>9763-20170724T104952.144682300.bin</t>
  </si>
  <si>
    <t>-534.908415550876 57.3556700696795 -251.289673697554</t>
  </si>
  <si>
    <t>-294.778236676348 76.8584315969376 -248.450468331295</t>
  </si>
  <si>
    <t>-574.910790313352 -54.7236805634227 304.935968419077</t>
  </si>
  <si>
    <t>-628.066270127437 -37.3617111454414 749.262922668564</t>
  </si>
  <si>
    <t>-484.340612079524 -10.5499046431805 810.183701120414</t>
  </si>
  <si>
    <t>-478.20963480472 -258.526298096369 308.416661899044</t>
  </si>
  <si>
    <t>-519.993461983413 -263.843691422315 754.375551009664</t>
  </si>
  <si>
    <t>-408.08301709577 -348.918467800351 827.352398140962</t>
  </si>
  <si>
    <t>9763-20170724T104952.211873900.bin</t>
  </si>
  <si>
    <t>-531.905486829929 58.017262000594 -251.269024247292</t>
  </si>
  <si>
    <t>-291.790122284934 77.714704956895 -248.539251812747</t>
  </si>
  <si>
    <t>-575.157132073264 -54.4066160771783 304.983142626459</t>
  </si>
  <si>
    <t>-628.093387910594 -37.2773818596606 749.359189950875</t>
  </si>
  <si>
    <t>-484.431258981387 -10.1765406783263 810.301941512334</t>
  </si>
  <si>
    <t>-478.216373278215 -258.386093936981 308.402783813701</t>
  </si>
  <si>
    <t>-520.022925104315 -263.953633543448 754.367168519202</t>
  </si>
  <si>
    <t>-408.102181997596 -349.00145514091 827.359631598861</t>
  </si>
  <si>
    <t>9763-20170724T104952.246969600.bin</t>
  </si>
  <si>
    <t>-530.360534264052 58.3528377300797 -251.265100857671</t>
  </si>
  <si>
    <t>-290.252711063113 78.1326182688956 -248.45753501747</t>
  </si>
  <si>
    <t>-575.386072677348 -54.1318073804016 304.994941271803</t>
  </si>
  <si>
    <t>-628.098983411335 -37.2622042123235 749.407910324228</t>
  </si>
  <si>
    <t>-484.405263110995 -10.3547006692099 810.362000034281</t>
  </si>
  <si>
    <t>-478.201978004709 -258.081090348553 308.389153572643</t>
  </si>
  <si>
    <t>-519.841398558671 -263.54832372194 754.340744170375</t>
  </si>
  <si>
    <t>-408.147581384842 -348.872034740501 827.358888978528</t>
  </si>
  <si>
    <t>9763-20170724T104952.312725600.bin</t>
  </si>
  <si>
    <t>-527.48618636535 58.9169513791198 -251.229026133583</t>
  </si>
  <si>
    <t>-287.406408337408 78.9642698240434 -247.969198713577</t>
  </si>
  <si>
    <t>-576.186401595039 -53.5404797239642 304.976887306073</t>
  </si>
  <si>
    <t>-628.155616648186 -37.1257289702389 749.498529435532</t>
  </si>
  <si>
    <t>-484.478162114318 -10.1979741203374 810.482020429018</t>
  </si>
  <si>
    <t>-478.510192526366 -257.633909590929 308.328710281253</t>
  </si>
  <si>
    <t>-519.879912092065 -263.68853852842 754.314494139824</t>
  </si>
  <si>
    <t>-408.254904469785 -349.077747383636 827.361246501924</t>
  </si>
  <si>
    <t>9763-20170724T104952.345812800.bin</t>
  </si>
  <si>
    <t>-526.74494336144 59.0079785128771 -251.187505914633</t>
  </si>
  <si>
    <t>-286.708975065923 79.5524067329961 -247.789222206579</t>
  </si>
  <si>
    <t>-576.936104533507 -53.2081948962616 304.918425483668</t>
  </si>
  <si>
    <t>-628.15495393888 -37.0552389572902 749.506804317099</t>
  </si>
  <si>
    <t>-484.503164825249 -10.0527165901694 810.517472368645</t>
  </si>
  <si>
    <t>-478.969024693005 -257.346744894327 308.303094332353</t>
  </si>
  <si>
    <t>-519.915800529462 -263.774205760559 754.308431547744</t>
  </si>
  <si>
    <t>-408.269093505806 -349.125072574351 827.366906683635</t>
  </si>
  <si>
    <t>9763-20170724T104952.409616000.bin</t>
  </si>
  <si>
    <t>-527.977964831229 58.9825454468917 -251.176789122883</t>
  </si>
  <si>
    <t>-288.184463276588 82.0608537078219 -247.013154682715</t>
  </si>
  <si>
    <t>-579.034178932193 -52.3776373678022 304.715247772991</t>
  </si>
  <si>
    <t>-628.168739521177 -36.8948650735283 749.556970286304</t>
  </si>
  <si>
    <t>-484.535957402162 -9.95541239020031 810.64042850594</t>
  </si>
  <si>
    <t>-480.327744961947 -256.522778715993 308.172537406944</t>
  </si>
  <si>
    <t>-519.843892374803 -263.555209177082 754.300557436037</t>
  </si>
  <si>
    <t>-408.32706863944 -349.076095377265 827.358554159371</t>
  </si>
  <si>
    <t>9763-20170724T104952.443709900.bin</t>
  </si>
  <si>
    <t>-530.157193059133 59.2670453367984 -251.09695699452</t>
  </si>
  <si>
    <t>-290.497263263408 83.5341641336313 -246.085547601788</t>
  </si>
  <si>
    <t>-579.938915482286 -51.7212823490386 304.654841756132</t>
  </si>
  <si>
    <t>-628.213755756281 -36.7796323816835 749.640684267972</t>
  </si>
  <si>
    <t>-484.550693191019 -10.0522382694373 810.74599468116</t>
  </si>
  <si>
    <t>-480.862616953352 -256.246988825695 308.090109575458</t>
  </si>
  <si>
    <t>-519.846030806817 -263.581848518187 754.283841122814</t>
  </si>
  <si>
    <t>-408.38950795043 -349.170635820087 827.35455038491</t>
  </si>
  <si>
    <t>9763-20170724T104952.512903600.bin</t>
  </si>
  <si>
    <t>-535.738924477037 59.6709058264553 -250.193962275923</t>
  </si>
  <si>
    <t>-296.286441925638 85.3904477657086 -242.992439894165</t>
  </si>
  <si>
    <t>-581.171164659258 -50.7397540327083 304.789399520857</t>
  </si>
  <si>
    <t>-628.350198156598 -36.5216293881724 749.884508521165</t>
  </si>
  <si>
    <t>-484.597055594776 -10.3302182845937 811.01023096917</t>
  </si>
  <si>
    <t>-481.480650675833 -255.587255953339 307.920758432484</t>
  </si>
  <si>
    <t>-519.756365252679 -263.442576242944 754.236216991452</t>
  </si>
  <si>
    <t>-408.663970314603 -349.467660646796 827.348935296678</t>
  </si>
  <si>
    <t>9763-20170724T104952.542981500.bin</t>
  </si>
  <si>
    <t>-538.155260587511 59.5975304903213 -249.463599177153</t>
  </si>
  <si>
    <t>-298.871203576658 86.6927765856622 -241.725298609175</t>
  </si>
  <si>
    <t>-581.620215720215 -50.4503673456088 304.891738859652</t>
  </si>
  <si>
    <t>-628.428297711754 -36.3707005011231 750.0023512742</t>
  </si>
  <si>
    <t>-484.633416575329 -10.4191386724631 811.132105888577</t>
  </si>
  <si>
    <t>-482.000988202684 -255.233185574788 307.920583274465</t>
  </si>
  <si>
    <t>-519.817338279611 -263.557459448656 754.267161406959</t>
  </si>
  <si>
    <t>-408.684899193813 -349.558958459963 827.34669123095</t>
  </si>
  <si>
    <t>9763-20170724T104952.614791700.bin</t>
  </si>
  <si>
    <t>-543.125611084925 0.623330921993784 -536.255559258702</t>
  </si>
  <si>
    <t>-544.800587537741 58.1557458241798 -247.675531127198</t>
  </si>
  <si>
    <t>-305.911629720527 87.7915243217908 -237.443343622671</t>
  </si>
  <si>
    <t>-582.502003045521 -50.0068641637031 305.053331767076</t>
  </si>
  <si>
    <t>-628.507899399028 -36.2119197617681 750.215776136125</t>
  </si>
  <si>
    <t>-484.679794784605 -10.4687398559247 811.355804595381</t>
  </si>
  <si>
    <t>-482.832422937525 -254.478292350678 307.978307893039</t>
  </si>
  <si>
    <t>-519.721856508325 -263.311337966135 754.322167957794</t>
  </si>
  <si>
    <t>-408.917667943599 -349.76132895861 827.371213815047</t>
  </si>
  <si>
    <t>9763-20170724T104952.650885900.bin</t>
  </si>
  <si>
    <t>-543.419911755811 1.00915177740035 -535.786618382072</t>
  </si>
  <si>
    <t>-549.76833216405 56.0312240766534 -246.782239333905</t>
  </si>
  <si>
    <t>-311.33203717795 88.0583784010178 -233.618479657443</t>
  </si>
  <si>
    <t>-582.920899521074 -49.8343071622126 305.110735207018</t>
  </si>
  <si>
    <t>-628.511549303679 -36.16550946958 750.291179737476</t>
  </si>
  <si>
    <t>-484.665997708106 -10.6180886334478 811.471961178508</t>
  </si>
  <si>
    <t>-483.299057707017 -254.235547797821 307.964495469246</t>
  </si>
  <si>
    <t>-519.720130536628 -263.285984591349 754.352881637766</t>
  </si>
  <si>
    <t>-408.943088785614 -349.791693287119 827.376873411723</t>
  </si>
  <si>
    <t>9763-20170724T104952.711675400.bin</t>
  </si>
  <si>
    <t>-543.951476844912 2.07541365045086 -535.115968552863</t>
  </si>
  <si>
    <t>-563.103108270424 49.2978156665592 -245.297987716306</t>
  </si>
  <si>
    <t>-326.543416960531 88.419578066633 -221.636036571588</t>
  </si>
  <si>
    <t>-583.272216611624 -49.6650697571947 305.248452757807</t>
  </si>
  <si>
    <t>-628.479252213491 -36.1854223486059 750.48981478462</t>
  </si>
  <si>
    <t>-484.644132516918 -10.7155109294108 811.727418259922</t>
  </si>
  <si>
    <t>-484.561479165284 -254.002566063854 307.884893007376</t>
  </si>
  <si>
    <t>-519.775545519832 -263.417694567208 754.403377788436</t>
  </si>
  <si>
    <t>-408.769077022926 -349.684920684436 827.361086583656</t>
  </si>
  <si>
    <t>9763-20170724T104952.742757500.bin</t>
  </si>
  <si>
    <t>-544.112685068457 3.33036059330811 -534.592378158217</t>
  </si>
  <si>
    <t>-569.567554027244 47.7863708471916 -244.822000127548</t>
  </si>
  <si>
    <t>-333.998899800048 88.4875318998193 -214.793695031105</t>
  </si>
  <si>
    <t>-583.402617002918 -49.5231656723622 305.386754520459</t>
  </si>
  <si>
    <t>-628.541142930309 -36.0803316812824 750.637487832957</t>
  </si>
  <si>
    <t>-484.660212422911 -10.8733430751142 811.876197838273</t>
  </si>
  <si>
    <t>-485.479070809207 -253.921800549462 307.849434078364</t>
  </si>
  <si>
    <t>-519.894786005772 -263.684166998978 754.443907547446</t>
  </si>
  <si>
    <t>-408.782446539564 -349.848123023579 827.362458529918</t>
  </si>
  <si>
    <t>9763-20170724T104952.815965100.bin</t>
  </si>
  <si>
    <t>-544.084547360716 6.46163431273771 -533.528264092475</t>
  </si>
  <si>
    <t>-577.974967473043 48.2901521587032 -244.230793431305</t>
  </si>
  <si>
    <t>-343.649558222871 89.6401117043297 -206.380460021942</t>
  </si>
  <si>
    <t>-583.869491597151 -48.8713975705398 305.638667094508</t>
  </si>
  <si>
    <t>-628.578198766366 -36.0125472929556 750.940602979105</t>
  </si>
  <si>
    <t>-484.679250347435 -10.8781625053687 812.166945249871</t>
  </si>
  <si>
    <t>-487.696865304745 -253.001230678211 307.863403305705</t>
  </si>
  <si>
    <t>-519.817435586186 -263.42381833431 754.538817576543</t>
  </si>
  <si>
    <t>-409.234639515018 -350.32405946398 827.388805029098</t>
  </si>
  <si>
    <t>9763-20170724T104952.844040200.bin</t>
  </si>
  <si>
    <t>-543.768055769433 7.76585831030934 -533.191300855948</t>
  </si>
  <si>
    <t>-578.474547871412 49.0991762830174 -243.919447882555</t>
  </si>
  <si>
    <t>-343.936237919575 89.4326812675924 -206.291581467842</t>
  </si>
  <si>
    <t>-584.203094465424 -48.4136940847445 305.701096301409</t>
  </si>
  <si>
    <t>-628.518083159763 -36.1341729386281 751.073457738096</t>
  </si>
  <si>
    <t>-484.654472637401 -10.780440058659 812.292249413783</t>
  </si>
  <si>
    <t>-488.906143328976 -252.292956844585 307.81939668686</t>
  </si>
  <si>
    <t>-519.78281000508 -263.34510881716 754.576861250456</t>
  </si>
  <si>
    <t>-409.519766364763 -350.656742296625 827.419386431903</t>
  </si>
  <si>
    <t>9763-20170724T104952.914239600.bin</t>
  </si>
  <si>
    <t>-541.439667679258 9.3316524404097 -532.888871275826</t>
  </si>
  <si>
    <t>-574.308032105437 50.7152303275629 -243.409643468514</t>
  </si>
  <si>
    <t>-338.732595181139 89.3662715798896 -210.834022358202</t>
  </si>
  <si>
    <t>-586.051291187079 -47.0194293654827 305.807941932786</t>
  </si>
  <si>
    <t>-628.643079344827 -35.7836573413122 751.309133079519</t>
  </si>
  <si>
    <t>-484.701186891412 -11.0009596702912 812.577975592162</t>
  </si>
  <si>
    <t>-491.406899958459 -251.221029047597 307.69538456425</t>
  </si>
  <si>
    <t>-519.871087223054 -263.614226401426 754.6340670092</t>
  </si>
  <si>
    <t>-409.571190657786 -350.904446962546 827.446422329047</t>
  </si>
  <si>
    <t>9763-20170724T104952.944311100.bin</t>
  </si>
  <si>
    <t>-539.374843667344 10.5047493036927 -532.838643317034</t>
  </si>
  <si>
    <t>-571.533136488233 52.3010050888324 -243.338831304166</t>
  </si>
  <si>
    <t>-335.524930709799 90.0604738976197 -212.921861458765</t>
  </si>
  <si>
    <t>-587.430726729815 -46.1325272262693 305.878843353358</t>
  </si>
  <si>
    <t>-628.681461681641 -35.588658585898 751.46910829475</t>
  </si>
  <si>
    <t>-484.720769268364 -11.0091832208964 812.775619996899</t>
  </si>
  <si>
    <t>-492.945715642874 -250.573441826881 307.689971255264</t>
  </si>
  <si>
    <t>-519.923275897695 -263.723640110014 754.672726547522</t>
  </si>
  <si>
    <t>-409.806344909729 -351.261964130867 827.46408670804</t>
  </si>
  <si>
    <t>9763-20170724T104953.013499900.bin</t>
  </si>
  <si>
    <t>-535.018619763541 13.4872369608506 -533.134290396164</t>
  </si>
  <si>
    <t>-569.192896056083 56.9458900327304 -244.110692068594</t>
  </si>
  <si>
    <t>-332.784278062098 93.5109377958051 -215.391046289229</t>
  </si>
  <si>
    <t>-590.375348520005 -43.6215896297654 305.998573063577</t>
  </si>
  <si>
    <t>-628.978928603734 -34.6780051300884 751.888166232239</t>
  </si>
  <si>
    <t>-484.796942705821 -11.6802751292919 813.288597127674</t>
  </si>
  <si>
    <t>-496.59073116484 -248.90901229142 307.706267299491</t>
  </si>
  <si>
    <t>-520.04917869466 -264.014907679104 754.785868202771</t>
  </si>
  <si>
    <t>-410.078202523887 -351.795591080536 827.506118175069</t>
  </si>
  <si>
    <t>9763-20170724T104953.045585300.bin</t>
  </si>
  <si>
    <t>-533.193732316572 14.8589482003795 -533.392333391689</t>
  </si>
  <si>
    <t>-569.106010380375 59.6571224763698 -244.78422324826</t>
  </si>
  <si>
    <t>-332.672480488478 95.5326755721983 -215.407409143963</t>
  </si>
  <si>
    <t>-591.749987138989 -42.3827390473939 306.093826123701</t>
  </si>
  <si>
    <t>-629.057434832961 -34.3694660792571 752.132802515148</t>
  </si>
  <si>
    <t>-484.840525894725 -11.6697391077462 813.561855266358</t>
  </si>
  <si>
    <t>-498.316806908093 -248.131747762225 307.719748619207</t>
  </si>
  <si>
    <t>-520.106968803043 -264.161755847171 754.848286659176</t>
  </si>
  <si>
    <t>-410.168897488735 -352.010739380786 827.535865866253</t>
  </si>
  <si>
    <t>9763-20170724T104953.113775400.bin</t>
  </si>
  <si>
    <t>-530.31307373099 16.6490173919856 -534.22200440467</t>
  </si>
  <si>
    <t>-568.535127819551 65.0514149145072 -246.493789839649</t>
  </si>
  <si>
    <t>-331.8991512285 99.0557164155953 -216.527575679908</t>
  </si>
  <si>
    <t>-594.13879777994 -39.6338694795736 306.282161099871</t>
  </si>
  <si>
    <t>-629.194936650906 -33.7191626901661 752.589922393656</t>
  </si>
  <si>
    <t>-484.869997396505 -11.9097085336512 814.08775163838</t>
  </si>
  <si>
    <t>-501.291321741966 -246.136150609662 307.851026384183</t>
  </si>
  <si>
    <t>-519.953406815324 -263.885220773745 754.975151059523</t>
  </si>
  <si>
    <t>-411.003130068501 -352.946636821339 827.674673056167</t>
  </si>
  <si>
    <t>9763-20170724T104953.144859400.bin</t>
  </si>
  <si>
    <t>-529.684097401311 16.9024034668832 -534.817943955988</t>
  </si>
  <si>
    <t>-568.341111504223 66.9796713191629 -247.434799639611</t>
  </si>
  <si>
    <t>-331.579540050661 100.347498992182 -217.74578388029</t>
  </si>
  <si>
    <t>-595.339435627245 -38.3914160332356 306.367702934133</t>
  </si>
  <si>
    <t>-629.227320153504 -33.4517800377819 752.78805745481</t>
  </si>
  <si>
    <t>-484.876517878047 -11.9182261259157 814.321862698036</t>
  </si>
  <si>
    <t>-502.434916313468 -245.378291263311 307.951108970862</t>
  </si>
  <si>
    <t>-519.973000157541 -263.997044954845 755.053554260796</t>
  </si>
  <si>
    <t>-410.790865071435 -352.801134894699 827.719865301108</t>
  </si>
  <si>
    <t>9763-20170724T104953.208846700.bin</t>
  </si>
  <si>
    <t>-529.825495117602 16.6724692257626 -536.190236323917</t>
  </si>
  <si>
    <t>-567.783537607155 69.4154223987744 -249.190803300346</t>
  </si>
  <si>
    <t>-330.756759789414 101.906503097751 -220.668699364496</t>
  </si>
  <si>
    <t>-597.156009121423 -36.5507177151985 306.436520555427</t>
  </si>
  <si>
    <t>-629.209621703987 -33.1018934249955 753.083876968188</t>
  </si>
  <si>
    <t>-484.874681754716 -11.6326899355745 814.677896920986</t>
  </si>
  <si>
    <t>-503.66327510514 -243.713959057087 308.228736092722</t>
  </si>
  <si>
    <t>-519.972113368984 -264.044369700048 755.247533898734</t>
  </si>
  <si>
    <t>-411.290018948443 -353.48192647767 827.886579066077</t>
  </si>
  <si>
    <t>9763-20170724T104953.245947000.bin</t>
  </si>
  <si>
    <t>-530.507032749015 16.1557744435063 -536.927947872509</t>
  </si>
  <si>
    <t>-567.495083423659 70.235427335419 -250.050632985059</t>
  </si>
  <si>
    <t>-330.368351395887 102.333496159928 -221.916950372292</t>
  </si>
  <si>
    <t>-597.708294194235 -35.7781305161225 306.444472348194</t>
  </si>
  <si>
    <t>-629.26283468168 -32.8026070642231 753.176060503413</t>
  </si>
  <si>
    <t>-484.915771812998 -11.5127526363274 814.803570543787</t>
  </si>
  <si>
    <t>-503.913718617494 -243.223581402866 308.375982106639</t>
  </si>
  <si>
    <t>-520.027862466477 -264.187712573231 755.350527609038</t>
  </si>
  <si>
    <t>-411.171417367286 -353.449509939393 827.944643133612</t>
  </si>
  <si>
    <t>9763-20170724T104953.313130400.bin</t>
  </si>
  <si>
    <t>-532.870189936026 14.9639701116878 -538.361137301102</t>
  </si>
  <si>
    <t>-567.767327835948 71.2597901753084 -251.648495237049</t>
  </si>
  <si>
    <t>-330.603985949749 103.078869866554 -223.506837499966</t>
  </si>
  <si>
    <t>-597.926700579173 -34.7405931581352 306.395619236935</t>
  </si>
  <si>
    <t>-629.169654547615 -32.6381496251581 753.229888005304</t>
  </si>
  <si>
    <t>-484.879508453103 -11.1533322258358 814.923031649834</t>
  </si>
  <si>
    <t>-503.755873837564 -242.27180989454 308.640038923357</t>
  </si>
  <si>
    <t>-520.099876142421 -264.451713123543 755.495667319377</t>
  </si>
  <si>
    <t>-411.322548929394 -353.818079143745 828.079796980495</t>
  </si>
  <si>
    <t>9763-20170724T104953.349227200.bin</t>
  </si>
  <si>
    <t>-534.255991407675 14.495936042578 -539.019835612973</t>
  </si>
  <si>
    <t>-568.151089558042 71.5995468492179 -252.346776793114</t>
  </si>
  <si>
    <t>-331.027528569983 103.457831050664 -223.915605459356</t>
  </si>
  <si>
    <t>-597.546528054476 -34.4024278752329 306.3715139012</t>
  </si>
  <si>
    <t>-629.137851942549 -32.5149028777487 753.20450849671</t>
  </si>
  <si>
    <t>-484.868768047309 -10.9981853607444 814.935783330291</t>
  </si>
  <si>
    <t>-503.197410551705 -241.834017136261 308.680519144633</t>
  </si>
  <si>
    <t>-520.016173696106 -264.373257094709 755.503419559272</t>
  </si>
  <si>
    <t>-411.184873681497 -353.645770207689 828.122178001845</t>
  </si>
  <si>
    <t>9763-20170724T104953.411415400.bin</t>
  </si>
  <si>
    <t>-536.534999341892 12.6581580534028 -540.147083182408</t>
  </si>
  <si>
    <t>-568.225279977283 71.0298951021164 -253.477070297615</t>
  </si>
  <si>
    <t>-331.289093673531 103.305002615066 -223.974210824729</t>
  </si>
  <si>
    <t>-595.556474992634 -34.1017771374841 306.343753790897</t>
  </si>
  <si>
    <t>-629.023895114047 -32.3968468406065 753.113011192663</t>
  </si>
  <si>
    <t>-484.857988867401 -10.3330592462871 814.892503444949</t>
  </si>
  <si>
    <t>-501.248612176696 -241.311183196855 308.650731491695</t>
  </si>
  <si>
    <t>-519.928814269692 -264.470115895792 755.430117751347</t>
  </si>
  <si>
    <t>-410.922251306975 -353.424194767719 828.176404990026</t>
  </si>
  <si>
    <t>9763-20170724T104953.445495900.bin</t>
  </si>
  <si>
    <t>-537.074475409042 11.3406778376836 -540.64466335543</t>
  </si>
  <si>
    <t>-567.848664167133 70.2256703784194 -253.979848358194</t>
  </si>
  <si>
    <t>-331.098837793319 103.022519803098 -223.569298809726</t>
  </si>
  <si>
    <t>-593.715091182173 -34.1168598079998 306.36768882002</t>
  </si>
  <si>
    <t>-628.977433976284 -32.4218129016531 753.071753782723</t>
  </si>
  <si>
    <t>-484.840832781364 -10.1332849538269 814.838744479792</t>
  </si>
  <si>
    <t>-499.684145347027 -241.214784483462 308.58082172403</t>
  </si>
  <si>
    <t>-519.872206715565 -264.446771379783 755.384164995186</t>
  </si>
  <si>
    <t>-410.883489497758 -353.374654446131 828.189045085703</t>
  </si>
  <si>
    <t>9763-20170724T104953.514202000.bin</t>
  </si>
  <si>
    <t>-535.91260715776 9.15699494263458 -540.834407575316</t>
  </si>
  <si>
    <t>-566.324113902068 68.6645717136664 -254.259287908193</t>
  </si>
  <si>
    <t>-330.124038073862 103.303666241186 -221.693812655812</t>
  </si>
  <si>
    <t>-585.813023594867 -33.9962399813146 306.80430252791</t>
  </si>
  <si>
    <t>-629.128368058452 -31.9401002971347 752.945851315939</t>
  </si>
  <si>
    <t>-484.882309174345 -10.5321578344631 814.768867754178</t>
  </si>
  <si>
    <t>-496.005402908452 -244.129018842789 308.575163953979</t>
  </si>
  <si>
    <t>-520.971552941 -266.054878006244 755.632592115273</t>
  </si>
  <si>
    <t>-409.685273838353 -352.55435901602 827.885620086746</t>
  </si>
  <si>
    <t>9763-20170724T104953.550288100.bin</t>
  </si>
  <si>
    <t>-535.092365803469 8.3314745724997 -540.398176649609</t>
  </si>
  <si>
    <t>-566.214640962595 67.7694267499455 -253.885102622009</t>
  </si>
  <si>
    <t>-330.18747771192 102.910696359044 -220.611573522096</t>
  </si>
  <si>
    <t>-579.257535996609 -33.7730730118965 307.074947540535</t>
  </si>
  <si>
    <t>-629.447120110779 -31.0541243270629 752.593551246082</t>
  </si>
  <si>
    <t>-485.036247974586 -11.3331130342453 814.592815653069</t>
  </si>
  <si>
    <t>-495.535266393171 -245.669114520601 309.253912349769</t>
  </si>
  <si>
    <t>-521.570062397697 -267.494455114737 755.894768388626</t>
  </si>
  <si>
    <t>-408.3465996144 -351.718551708758 827.825550914743</t>
  </si>
  <si>
    <t>9763-20170724T104953.611961200.bin</t>
  </si>
  <si>
    <t>-535.719128617915 11.941217708543 -538.585129392362</t>
  </si>
  <si>
    <t>-567.881698133896 70.9138104908991 -252.090688820152</t>
  </si>
  <si>
    <t>-332.080349585093 106.565166187749 -217.774384627149</t>
  </si>
  <si>
    <t>-571.703998283255 -22.2017986866108 307.30761602442</t>
  </si>
  <si>
    <t>-640.128161157572 -0.131519517949073 749.628936404372</t>
  </si>
  <si>
    <t>-494.927380632168 8.96489629604412 812.249226991592</t>
  </si>
  <si>
    <t>-494.623421069089 -244.740727478139 310.483571308032</t>
  </si>
  <si>
    <t>-521.719436137681 -268.17039086211 756.410436840912</t>
  </si>
  <si>
    <t>-408.169946642664 -352.064279210415 828.213137477723</t>
  </si>
  <si>
    <t>9763-20170724T104953.644046900.bin</t>
  </si>
  <si>
    <t>-537.31338780696 18.6253069178358 -537.91381268305</t>
  </si>
  <si>
    <t>-569.630570300574 77.8262890438007 -251.48393450865</t>
  </si>
  <si>
    <t>-333.829944029113 113.260481082108 -216.939078655993</t>
  </si>
  <si>
    <t>-572.253325821672 -9.34091598951386 307.261548114071</t>
  </si>
  <si>
    <t>-644.343579312528 28.0585600042582 747.71287203182</t>
  </si>
  <si>
    <t>-499.177198044029 25.527952194097 811.018467575907</t>
  </si>
  <si>
    <t>-495.303921112025 -241.229740394387 310.658731263646</t>
  </si>
  <si>
    <t>-521.647316161636 -268.113702327153 756.484828111818</t>
  </si>
  <si>
    <t>-408.618036469604 -352.625272758003 828.383779084451</t>
  </si>
  <si>
    <t>9763-20170724T104953.713247000.bin</t>
  </si>
  <si>
    <t>-535.250743870644 30.5588722128487 -536.977448069216</t>
  </si>
  <si>
    <t>-568.54144583538 90.3777236114647 -250.787660319982</t>
  </si>
  <si>
    <t>-332.693740519339 124.84137980472 -215.58883565024</t>
  </si>
  <si>
    <t>-572.715447241648 8.75620450826182 308.649806623312</t>
  </si>
  <si>
    <t>-640.43579828877 65.2718686391086 747.525225959435</t>
  </si>
  <si>
    <t>-497.810752737745 40.9116831918725 811.961153217167</t>
  </si>
  <si>
    <t>-496.86004744833 -233.735281204453 310.828821733064</t>
  </si>
  <si>
    <t>-521.273250474075 -267.316961739059 756.519583133998</t>
  </si>
  <si>
    <t>-410.133804122201 -354.059985404775 828.706512635889</t>
  </si>
  <si>
    <t>9763-20170724T104953.747332400.bin</t>
  </si>
  <si>
    <t>-530.741740023972 36.1443930207008 -536.411081191462</t>
  </si>
  <si>
    <t>-565.293696536691 96.2649247425911 -250.434080690016</t>
  </si>
  <si>
    <t>-329.218523584483 129.532138416 -215.609741275309</t>
  </si>
  <si>
    <t>-572.139761968685 13.9396413426791 309.924362862352</t>
  </si>
  <si>
    <t>-637.774255728162 69.566094205351 749.214374632751</t>
  </si>
  <si>
    <t>-496.089243965884 39.5689663116816 813.345659678043</t>
  </si>
  <si>
    <t>-497.246354986763 -230.490593939561 311.013031861015</t>
  </si>
  <si>
    <t>-521.357037799136 -267.267817884086 756.60234017829</t>
  </si>
  <si>
    <t>-410.813800861963 -354.743969510904 828.820270119294</t>
  </si>
  <si>
    <t>9763-20170724T104953.814513000.bin</t>
  </si>
  <si>
    <t>-519.9111320973 43.6522582464977 -535.533885534886</t>
  </si>
  <si>
    <t>-557.275178039414 104.369480582666 -250.036934058194</t>
  </si>
  <si>
    <t>-320.809213850034 135.263716581387 -215.681603285715</t>
  </si>
  <si>
    <t>-598.497822475658 7.43405855460719 -91.4989079642206</t>
  </si>
  <si>
    <t>-571.509945464859 18.8721700608244 310.987747459524</t>
  </si>
  <si>
    <t>-638.113290059571 68.7413302980378 751.18545463182</t>
  </si>
  <si>
    <t>-496.000243806491 38.3652417564776 814.181316815449</t>
  </si>
  <si>
    <t>-498.838884312231 -222.9791160167 311.819870718035</t>
  </si>
  <si>
    <t>-521.337590940529 -266.594504629258 756.830708451827</t>
  </si>
  <si>
    <t>-412.334765887779 -355.997641562971 829.030182901666</t>
  </si>
  <si>
    <t>9763-20170724T104953.843589500.bin</t>
  </si>
  <si>
    <t>-515.459835353081 45.5442319729318 -534.842712223967</t>
  </si>
  <si>
    <t>-553.574935192067 107.342287974646 -249.677013537393</t>
  </si>
  <si>
    <t>-316.880051442962 136.205502021346 -215.132749576719</t>
  </si>
  <si>
    <t>-599.773621218285 12.4400591821793 -91.0169462064965</t>
  </si>
  <si>
    <t>-569.946320452336 22.0255376845148 311.317608099993</t>
  </si>
  <si>
    <t>-637.960097964762 69.8527600022517 751.779422615814</t>
  </si>
  <si>
    <t>-496.314857364917 37.0172247200151 814.594736088089</t>
  </si>
  <si>
    <t>-497.574226176579 -220.009841987196 312.023613985319</t>
  </si>
  <si>
    <t>-521.23667754993 -266.129290117325 756.905834707492</t>
  </si>
  <si>
    <t>-413.071191364162 -356.515898911618 829.140073762506</t>
  </si>
  <si>
    <t>9763-20170724T104953.911658400.bin</t>
  </si>
  <si>
    <t>-514.116965588131 51.2514478070209 -533.209194973977</t>
  </si>
  <si>
    <t>-550.57729202603 115.796634242583 -248.435958426838</t>
  </si>
  <si>
    <t>-313.10457853819 138.672900329181 -214.757010571722</t>
  </si>
  <si>
    <t>-605.517387932877 24.6691248388927 -89.6566732825979</t>
  </si>
  <si>
    <t>-570.151027982998 26.2421482462139 312.340087377683</t>
  </si>
  <si>
    <t>-637.724040559562 70.6034466100912 753.329664851282</t>
  </si>
  <si>
    <t>-496.619222365553 35.190345761026 815.960673612295</t>
  </si>
  <si>
    <t>-493.402316478973 -212.735783107296 312.554674132542</t>
  </si>
  <si>
    <t>-521.145357957637 -265.664645740303 756.732625636123</t>
  </si>
  <si>
    <t>-413.937992547496 -356.906711549974 829.318853066949</t>
  </si>
  <si>
    <t>9763-20170724T104953.944745200.bin</t>
  </si>
  <si>
    <t>-514.203898464951 51.7617468649362 -532.863434220698</t>
  </si>
  <si>
    <t>-548.696425752185 117.055247313266 -248.015701959162</t>
  </si>
  <si>
    <t>-310.779573567158 136.662451343024 -215.427569069656</t>
  </si>
  <si>
    <t>-606.215981265347 28.8666524545915 -89.1386728269212</t>
  </si>
  <si>
    <t>-569.652695228307 28.1047428115596 312.753344328671</t>
  </si>
  <si>
    <t>-637.516984279176 70.7586899317589 754.008268602104</t>
  </si>
  <si>
    <t>-496.579606564766 34.6957803882053 816.6454705874</t>
  </si>
  <si>
    <t>-489.565102638446 -210.345732674885 312.646133884508</t>
  </si>
  <si>
    <t>-520.986769834419 -265.216388163922 756.531059670479</t>
  </si>
  <si>
    <t>-414.532021013111 -357.100248581762 829.414802543845</t>
  </si>
  <si>
    <t>9763-20170724T104954.009926500.bin</t>
  </si>
  <si>
    <t>-515.551652472568 50.3877704739227 -532.376301842601</t>
  </si>
  <si>
    <t>-544.716112219556 116.359772936202 -247.089858118637</t>
  </si>
  <si>
    <t>-306.233544484971 130.783806963084 -215.963033109984</t>
  </si>
  <si>
    <t>-607.864508377045 36.4653852572408 -88.3401934902081</t>
  </si>
  <si>
    <t>-570.43720418595 31.4932474496143 313.442302671201</t>
  </si>
  <si>
    <t>-636.995762321015 70.9238152038538 755.507447442409</t>
  </si>
  <si>
    <t>-496.383151151098 33.7027738758754 818.196942605505</t>
  </si>
  <si>
    <t>-476.740459848562 -206.436706564517 312.22928297579</t>
  </si>
  <si>
    <t>-519.646273126935 -263.652780637408 755.209414590505</t>
  </si>
  <si>
    <t>-414.007990144638 -355.266070061096 829.606123161018</t>
  </si>
  <si>
    <t>9763-20170724T104954.044016800.bin</t>
  </si>
  <si>
    <t>-514.81077997858 46.9794833474803 -532.286852310191</t>
  </si>
  <si>
    <t>-541.13860201232 113.514334492066 -246.855221511939</t>
  </si>
  <si>
    <t>-302.507660563157 125.857456352311 -215.972106375389</t>
  </si>
  <si>
    <t>-607.704245408056 37.9011924948818 -87.9362885518351</t>
  </si>
  <si>
    <t>-570.45106098488 30.8601780286617 313.831382743033</t>
  </si>
  <si>
    <t>-636.73207748101 70.8755451805609 756.191171194733</t>
  </si>
  <si>
    <t>-496.284090355223 33.0715709613933 818.900914770498</t>
  </si>
  <si>
    <t>-467.236633886244 -204.69118713184 311.191567692102</t>
  </si>
  <si>
    <t>-517.718202018823 -261.824122810729 753.534223321483</t>
  </si>
  <si>
    <t>-412.92764234825 -352.905600685453 829.760168336635</t>
  </si>
  <si>
    <t>9763-20170724T104954.113207000.bin</t>
  </si>
  <si>
    <t>-520.684386152821 55.2714305439226 -531.446242468288</t>
  </si>
  <si>
    <t>-542.662049105416 122.642953781618 -245.842979882868</t>
  </si>
  <si>
    <t>-303.779227931999 131.445819447749 -215.703542333165</t>
  </si>
  <si>
    <t>-611.060802632598 44.1166715385377 -86.424349840334</t>
  </si>
  <si>
    <t>-573.702948061344 35.7014381614667 315.307233910185</t>
  </si>
  <si>
    <t>-636.183779822775 70.3938183429325 758.177043393491</t>
  </si>
  <si>
    <t>-495.87426305918 32.2176693013332 820.971333694657</t>
  </si>
  <si>
    <t>-458.792905711464 -170.434520293416 306.146474091061</t>
  </si>
  <si>
    <t>-534.747508938384 -186.861940862641 747.180955780586</t>
  </si>
  <si>
    <t>-433.736213982477 -279.177686848798 826.941859685581</t>
  </si>
  <si>
    <t>9763-20170724T104954.143291300.bin</t>
  </si>
  <si>
    <t>-527.560617745002 69.4072249898175 -531.634627734359</t>
  </si>
  <si>
    <t>-548.127505986135 136.424301255584 -245.842918609608</t>
  </si>
  <si>
    <t>-309.132302969411 144.20330464802 -216.319954510161</t>
  </si>
  <si>
    <t>-614.829528911273 51.1670844699095 -86.4134612501128</t>
  </si>
  <si>
    <t>-577.119652424748 42.8724857111542 315.287665470341</t>
  </si>
  <si>
    <t>-636.06670940572 70.4241661112023 758.379675414744</t>
  </si>
  <si>
    <t>-495.756751072884 32.3614304394052 821.241802325639</t>
  </si>
  <si>
    <t>-459.414117295693 -141.854251010781 301.397014576714</t>
  </si>
  <si>
    <t>-544.430629977856 -137.788404993642 741.044852666047</t>
  </si>
  <si>
    <t>-445.932529865056 -230.709431531725 823.210082735899</t>
  </si>
  <si>
    <t>9763-20170724T104954.212034400.bin</t>
  </si>
  <si>
    <t>-532.985324175874 79.3820531093138 -531.882850648926</t>
  </si>
  <si>
    <t>-551.208240606007 144.352669968442 -245.460132152786</t>
  </si>
  <si>
    <t>-312.008490113461 151.48376761628 -217.469325235858</t>
  </si>
  <si>
    <t>-617.848554318289 53.9798099694647 -86.8431215176754</t>
  </si>
  <si>
    <t>-579.547604856667 47.2797740771148 314.831902486877</t>
  </si>
  <si>
    <t>-635.871068362559 70.3379134487468 758.231893621269</t>
  </si>
  <si>
    <t>-495.29318587602 33.6055304057727 821.286527126615</t>
  </si>
  <si>
    <t>-453.994903061888 -116.322608487612 294.963914569552</t>
  </si>
  <si>
    <t>-549.258073880649 -78.9599724559507 730.900010847132</t>
  </si>
  <si>
    <t>-447.703547009032 -165.346216867914 816.406649961356</t>
  </si>
  <si>
    <t>9763-20170724T104954.246126100.bin</t>
  </si>
  <si>
    <t>-532.988764176298 77.5173807255064 -531.649172875669</t>
  </si>
  <si>
    <t>-550.081495176455 140.754515128341 -244.769113817567</t>
  </si>
  <si>
    <t>-310.735380252517 147.820324848979 -218.040415532695</t>
  </si>
  <si>
    <t>-616.695100118002 50.7098595763334 -87.0574918110736</t>
  </si>
  <si>
    <t>-579.1953622308 45.7882008293971 314.718797408958</t>
  </si>
  <si>
    <t>-635.812363512769 70.2622571848142 758.098366711231</t>
  </si>
  <si>
    <t>-495.090966109779 34.2164177882769 821.229109694249</t>
  </si>
  <si>
    <t>-452.016763561763 -111.741632699559 294.090377843768</t>
  </si>
  <si>
    <t>-545.593304713767 -64.6712933328629 729.44321309874</t>
  </si>
  <si>
    <t>-441.502445197777 -147.680712812876 815.24427802027</t>
  </si>
  <si>
    <t>9763-20170724T104954.312318000.bin</t>
  </si>
  <si>
    <t>-532.175420665823 69.2311698115038 -530.650463417694</t>
  </si>
  <si>
    <t>-545.841788174608 128.703466958353 -242.783385304425</t>
  </si>
  <si>
    <t>-306.313614700573 137.459650541464 -218.279216061594</t>
  </si>
  <si>
    <t>-611.928984892173 40.972706419516 -87.5546519606866</t>
  </si>
  <si>
    <t>-577.590870566137 41.0992925638232 314.534302945278</t>
  </si>
  <si>
    <t>-635.713963199147 69.9767028359126 757.759494310437</t>
  </si>
  <si>
    <t>-494.60796533342 35.6138153282525 820.97033646772</t>
  </si>
  <si>
    <t>-452.152130007425 -115.763910799117 297.349056630825</t>
  </si>
  <si>
    <t>-540.366694325418 -65.8016694041075 733.580798549187</t>
  </si>
  <si>
    <t>-435.762880334621 -150.302521526097 817.27632855526</t>
  </si>
  <si>
    <t>9763-20170724T104954.343399100.bin</t>
  </si>
  <si>
    <t>-532.865210172114 69.0983515404678 -530.44754374955</t>
  </si>
  <si>
    <t>-544.523718564925 126.65198987067 -242.102599402794</t>
  </si>
  <si>
    <t>-304.907367563206 137.069916647071 -219.15981247599</t>
  </si>
  <si>
    <t>-609.516514193439 37.4579733850212 -87.7990368619161</t>
  </si>
  <si>
    <t>-576.596398696372 40.0838539818278 314.400023399619</t>
  </si>
  <si>
    <t>-635.669088053909 69.6854124556883 757.563247482223</t>
  </si>
  <si>
    <t>-494.357500044684 36.2156675069459 820.793697876343</t>
  </si>
  <si>
    <t>-457.773111764663 -112.087829464345 300.328205460228</t>
  </si>
  <si>
    <t>-541.741875497192 -62.3127417493474 737.292532320891</t>
  </si>
  <si>
    <t>-437.410221108959 -149.556507179565 818.475827155883</t>
  </si>
  <si>
    <t>9763-20170724T104954.414596400.bin</t>
  </si>
  <si>
    <t>-535.575028544385 68.8271461456725 -530.750654890664</t>
  </si>
  <si>
    <t>-543.817463236266 123.042402921864 -241.641704422697</t>
  </si>
  <si>
    <t>-304.298123025023 137.869998045436 -220.159143935083</t>
  </si>
  <si>
    <t>-606.026305993688 28.6662791654369 -87.3292565874649</t>
  </si>
  <si>
    <t>-572.459128105282 34.8528998703312 314.777312458202</t>
  </si>
  <si>
    <t>-635.670909547849 69.3905773091128 757.195107095397</t>
  </si>
  <si>
    <t>-494.085266953725 37.0767254596956 820.41391020966</t>
  </si>
  <si>
    <t>-471.125904258086 -110.004839718488 304.342902979702</t>
  </si>
  <si>
    <t>-545.320304934336 -60.8969349430845 744.015230946943</t>
  </si>
  <si>
    <t>-437.330801274035 -148.671481028216 819.654010827414</t>
  </si>
  <si>
    <t>9763-20170724T104954.444677800.bin</t>
  </si>
  <si>
    <t>-538.770100796174 69.0803285818824 -530.49380943009</t>
  </si>
  <si>
    <t>-545.791473191632 122.186042619818 -241.146669252657</t>
  </si>
  <si>
    <t>-306.439791532108 139.524485668254 -219.674216487886</t>
  </si>
  <si>
    <t>-605.449582423112 23.1892047732069 -86.4903117266483</t>
  </si>
  <si>
    <t>-570.13880001893 31.6461627073656 315.425499186693</t>
  </si>
  <si>
    <t>-635.70360941673 69.2933761221673 756.914917954284</t>
  </si>
  <si>
    <t>-493.931539929494 37.8722354187998 820.165628113191</t>
  </si>
  <si>
    <t>-477.389218246532 -112.741891211697 305.924857172579</t>
  </si>
  <si>
    <t>-545.835561404602 -60.4996747874131 746.142708399889</t>
  </si>
  <si>
    <t>-437.533582660418 -148.999479745772 820.478282772866</t>
  </si>
  <si>
    <t>9763-20170724T104954.508484300.bin</t>
  </si>
  <si>
    <t>-541.416722106699 63.5414401508187 -527.924144975841</t>
  </si>
  <si>
    <t>-544.980796691521 115.437890083641 -238.294660566967</t>
  </si>
  <si>
    <t>-305.888583834692 137.021447043522 -217.80222077565</t>
  </si>
  <si>
    <t>-600.420021429059 7.07465235948825 -83.3448381636944</t>
  </si>
  <si>
    <t>-559.249294558274 24.1882064447811 317.737147764156</t>
  </si>
  <si>
    <t>-635.398512962612 69.0425360054342 755.846602791784</t>
  </si>
  <si>
    <t>-493.138680209469 40.9218661237294 819.554123162085</t>
  </si>
  <si>
    <t>-481.900695336206 -121.051823273323 310.083364472397</t>
  </si>
  <si>
    <t>-547.059882999477 -61.8830038978235 750.264127705574</t>
  </si>
  <si>
    <t>-437.349415715285 -150.098012576479 822.852273252711</t>
  </si>
  <si>
    <t>9763-20170724T104954.546586700.bin</t>
  </si>
  <si>
    <t>-543.530042982195 59.5739540512204 -526.09703524232</t>
  </si>
  <si>
    <t>-544.546484957751 110.781631541471 -236.324840319851</t>
  </si>
  <si>
    <t>-305.583396519242 134.446319195705 -216.641226206665</t>
  </si>
  <si>
    <t>-551.163330100575 19.3480194958388 319.00784256326</t>
  </si>
  <si>
    <t>-635.012272637224 68.4912097857869 754.427164254304</t>
  </si>
  <si>
    <t>-492.702646037653 42.1664426640355 818.787219169995</t>
  </si>
  <si>
    <t>-484.531218086321 -126.225605217842 311.804718601314</t>
  </si>
  <si>
    <t>-547.455720652061 -63.1133344531274 752.050671844686</t>
  </si>
  <si>
    <t>-436.689417315565 -150.448923682236 824.096640812482</t>
  </si>
  <si>
    <t>9763-20170724T104954.615349900.bin</t>
  </si>
  <si>
    <t>-549.053733426298 49.7026183457717 -522.978600472397</t>
  </si>
  <si>
    <t>-545.240389226512 98.8827528187965 -232.878734775768</t>
  </si>
  <si>
    <t>-306.382594423541 125.196719865369 -215.40308352275</t>
  </si>
  <si>
    <t>-535.489450000311 7.47481200596008 319.445953405272</t>
  </si>
  <si>
    <t>-633.139894220057 64.0254505100395 750.14380363987</t>
  </si>
  <si>
    <t>-490.779983130889 44.6718608109256 816.824989942968</t>
  </si>
  <si>
    <t>-487.15347221646 -133.157804643886 313.497479039351</t>
  </si>
  <si>
    <t>-547.308323167839 -64.1245238625713 753.512876082785</t>
  </si>
  <si>
    <t>-435.667208455499 -150.776103460733 825.032714553165</t>
  </si>
  <si>
    <t>9763-20170724T104954.641418200.bin</t>
  </si>
  <si>
    <t>-555.488034928654 54.9869593711073 -522.904642876574</t>
  </si>
  <si>
    <t>-549.19861904511 102.931592755657 -232.641087688838</t>
  </si>
  <si>
    <t>-310.508929527888 130.871797746796 -215.395363237131</t>
  </si>
  <si>
    <t>-537.191819995974 22.3353873401848 317.607758189236</t>
  </si>
  <si>
    <t>-639.470428280391 91.8977749009957 747.3116342398</t>
  </si>
  <si>
    <t>-496.908487113736 77.1116029674536 814.726370858166</t>
  </si>
  <si>
    <t>-489.702746023388 -130.997839218245 313.410485584831</t>
  </si>
  <si>
    <t>-547.214576461364 -64.5793178689416 753.649833078026</t>
  </si>
  <si>
    <t>-435.430467655684 -151.097887284627 825.107242473267</t>
  </si>
  <si>
    <t>9763-20170724T104954.710615400.bin</t>
  </si>
  <si>
    <t>-572.295810201742 87.5415030405422 -526.636381310011</t>
  </si>
  <si>
    <t>-561.05202291856 132.523407573718 -236.048426961247</t>
  </si>
  <si>
    <t>-322.508288295415 162.182512231244 -219.673817570722</t>
  </si>
  <si>
    <t>-615.399158475787 40.5701730446413 -85.3675653114109</t>
  </si>
  <si>
    <t>-551.628019302107 74.3944293028999 311.67629347616</t>
  </si>
  <si>
    <t>-641.430326185134 148.549831389131 744.404347363476</t>
  </si>
  <si>
    <t>-497.830120270389 140.058828336254 810.693120433194</t>
  </si>
  <si>
    <t>-498.649733226067 -116.420691451928 311.740718480008</t>
  </si>
  <si>
    <t>-547.130082062561 -64.6492723538779 753.294637196431</t>
  </si>
  <si>
    <t>-435.5100937584 -151.332511285955 824.808988060585</t>
  </si>
  <si>
    <t>9763-20170724T104954.744706800.bin</t>
  </si>
  <si>
    <t>-577.189743421426 97.5474882655865 -529.384066715723</t>
  </si>
  <si>
    <t>-562.947117428534 141.768071535669 -238.810593354754</t>
  </si>
  <si>
    <t>-324.480418988753 171.917976898122 -222.21227418708</t>
  </si>
  <si>
    <t>-615.462737544071 49.5276703314601 -88.5583941089535</t>
  </si>
  <si>
    <t>-555.518411334514 85.7186577257776 308.872784566158</t>
  </si>
  <si>
    <t>-636.535375314479 158.941684738001 743.586499693198</t>
  </si>
  <si>
    <t>-492.518972898303 151.377961319667 809.079720156856</t>
  </si>
  <si>
    <t>-502.520291313546 -111.927521789803 310.765613498656</t>
  </si>
  <si>
    <t>-547.163426389369 -64.7058488149619 753.034119814614</t>
  </si>
  <si>
    <t>-435.567353559382 -151.361767813505 824.618889753104</t>
  </si>
  <si>
    <t>9763-20170724T104954.812903300.bin</t>
  </si>
  <si>
    <t>-584.972946257863 106.002448616564 -534.688124122611</t>
  </si>
  <si>
    <t>-566.274133041683 150.058621345666 -244.342344049005</t>
  </si>
  <si>
    <t>-327.763146168611 180.030755536576 -228.061347278866</t>
  </si>
  <si>
    <t>-613.417667890202 56.754645091479 -93.941982058866</t>
  </si>
  <si>
    <t>-562.198371737516 93.5093023523877 304.656043831432</t>
  </si>
  <si>
    <t>-634.974474542509 166.022533126923 740.761275378355</t>
  </si>
  <si>
    <t>-490.420569813835 156.960621181466 804.865628037917</t>
  </si>
  <si>
    <t>-510.059921102895 -106.716266808943 308.666910865125</t>
  </si>
  <si>
    <t>-546.891005197279 -64.2782080889854 752.402682570039</t>
  </si>
  <si>
    <t>-435.898237728079 -151.421437143448 824.333041757127</t>
  </si>
  <si>
    <t>9763-20170724T104954.847986300.bin</t>
  </si>
  <si>
    <t>-589.016873216547 108.519807064238 -536.966369930015</t>
  </si>
  <si>
    <t>-569.066813929971 152.383457628372 -246.675006431703</t>
  </si>
  <si>
    <t>-330.632279093624 182.553506225106 -229.655629760846</t>
  </si>
  <si>
    <t>-611.73789732196 58.6196034513978 -96.0808269055962</t>
  </si>
  <si>
    <t>-567.757441687172 95.2647052702923 303.390686631802</t>
  </si>
  <si>
    <t>-635.247752178629 165.427963428107 740.707868643786</t>
  </si>
  <si>
    <t>-490.311943949991 156.232568736452 803.92447171929</t>
  </si>
  <si>
    <t>-514.241905456139 -104.41116347194 307.797706101503</t>
  </si>
  <si>
    <t>-546.80410541696 -64.1239527892385 752.200405782334</t>
  </si>
  <si>
    <t>-436.331759945964 -151.782946857427 824.30493944732</t>
  </si>
  <si>
    <t>9763-20170724T104954.911198200.bin</t>
  </si>
  <si>
    <t>-595.767048378588 111.511989478629 -540.613889471105</t>
  </si>
  <si>
    <t>-576.72959899036 153.972745651282 -250.05259119929</t>
  </si>
  <si>
    <t>-338.399728319574 183.605396908769 -230.775269249585</t>
  </si>
  <si>
    <t>-609.072073843225 63.4377424237841 -100.126559918232</t>
  </si>
  <si>
    <t>-578.779250523583 100.604169655348 300.567419006399</t>
  </si>
  <si>
    <t>-637.014938022296 167.92512709427 739.911631342092</t>
  </si>
  <si>
    <t>-491.641353805809 158.537978258389 802.086432508392</t>
  </si>
  <si>
    <t>-522.700176034834 -99.1554206222881 306.443982610146</t>
  </si>
  <si>
    <t>-546.796599274502 -64.1588962887624 752.026483670451</t>
  </si>
  <si>
    <t>-436.81985151287 -152.276819968955 824.328951955013</t>
  </si>
  <si>
    <t>9763-20170724T104954.944287800.bin</t>
  </si>
  <si>
    <t>-598.011671742232 113.726958493259 -541.709441549394</t>
  </si>
  <si>
    <t>-580.37771035451 155.452211896021 -250.95310082677</t>
  </si>
  <si>
    <t>-342.088460930673 184.709836860824 -230.629230203947</t>
  </si>
  <si>
    <t>-608.908208731317 66.4335166968028 -101.809230214939</t>
  </si>
  <si>
    <t>-582.219130326345 102.381524307889 299.25197348064</t>
  </si>
  <si>
    <t>-637.109845806667 168.004032254795 739.411498294142</t>
  </si>
  <si>
    <t>-491.754735936344 157.402016963511 801.43404482855</t>
  </si>
  <si>
    <t>-525.531763737059 -97.4833969627605 305.896516603975</t>
  </si>
  <si>
    <t>-546.628829221799 -63.8078665877808 751.953794455391</t>
  </si>
  <si>
    <t>-437.440349384333 -152.808726577548 824.36933067236</t>
  </si>
  <si>
    <t>9763-20170724T104955.015991500.bin</t>
  </si>
  <si>
    <t>-601.325035582001 119.308245888864 -542.808042489011</t>
  </si>
  <si>
    <t>-586.747842002331 158.707415448456 -251.558338932621</t>
  </si>
  <si>
    <t>-348.597156248947 187.704115822318 -229.324195053093</t>
  </si>
  <si>
    <t>-607.886287176661 71.9356377659265 -104.077963371418</t>
  </si>
  <si>
    <t>-587.681121854001 105.380286393328 297.578446817766</t>
  </si>
  <si>
    <t>-637.099779278567 168.1658920667 738.932597750246</t>
  </si>
  <si>
    <t>-491.821229512263 156.350373198618 800.915219446978</t>
  </si>
  <si>
    <t>-528.264396478605 -94.2609302003193 305.29515846938</t>
  </si>
  <si>
    <t>-546.500460958902 -63.4402307343105 751.780231011435</t>
  </si>
  <si>
    <t>-438.294338761712 -153.506040061153 824.353274660793</t>
  </si>
  <si>
    <t>9763-20170724T104955.043063000.bin</t>
  </si>
  <si>
    <t>-601.911141578358 121.098969288044 -543.156524246977</t>
  </si>
  <si>
    <t>-588.628888466801 159.344589134327 -251.691192696907</t>
  </si>
  <si>
    <t>-350.569497120038 188.247227158515 -228.385165339669</t>
  </si>
  <si>
    <t>-606.64169048668 73.6959636987547 -104.668545567896</t>
  </si>
  <si>
    <t>-589.758340882256 106.710213933723 297.176817554971</t>
  </si>
  <si>
    <t>-637.061348100629 168.390991198778 738.868983645783</t>
  </si>
  <si>
    <t>-491.821063976288 156.346905503451 800.897116233116</t>
  </si>
  <si>
    <t>-528.889048372685 -93.3253500372371 304.981362012229</t>
  </si>
  <si>
    <t>-546.600729586172 -63.5607142021979 751.684601191222</t>
  </si>
  <si>
    <t>-438.194116556823 -153.364519844069 824.283486166689</t>
  </si>
  <si>
    <t>9763-20170724T104955.110249600.bin</t>
  </si>
  <si>
    <t>-602.014966326173 123.124551049515 -543.7934577203</t>
  </si>
  <si>
    <t>-591.607310584063 159.292923533855 -251.946414571931</t>
  </si>
  <si>
    <t>-353.954458616323 188.633775254653 -225.279219055143</t>
  </si>
  <si>
    <t>-604.582022239404 75.8750850557149 -105.252625077149</t>
  </si>
  <si>
    <t>-593.127457368232 109.653960101284 296.7205760263</t>
  </si>
  <si>
    <t>-636.991716454548 168.706101803724 738.910586446393</t>
  </si>
  <si>
    <t>-491.779091014721 156.719688401566 801.014594995212</t>
  </si>
  <si>
    <t>-528.65399023976 -92.4109339989639 304.7040807345</t>
  </si>
  <si>
    <t>-546.54592049994 -63.3602635644513 751.518025445502</t>
  </si>
  <si>
    <t>-438.37754101436 -153.373092043226 824.213185971532</t>
  </si>
  <si>
    <t>9763-20170724T104955.146343200.bin</t>
  </si>
  <si>
    <t>-601.913059976108 124.175826854766 -543.929591057087</t>
  </si>
  <si>
    <t>-593.127310769372 159.626810322182 -251.94116178657</t>
  </si>
  <si>
    <t>-355.691435284687 188.6171835037 -223.050992526112</t>
  </si>
  <si>
    <t>-604.168992042702 77.3520851775334 -105.430915700717</t>
  </si>
  <si>
    <t>-594.320818548459 110.90586365914 296.603728532542</t>
  </si>
  <si>
    <t>-636.958926805052 168.888313659436 738.996170191132</t>
  </si>
  <si>
    <t>-491.741782114757 157.077109276295 801.12334889296</t>
  </si>
  <si>
    <t>-528.535956066761 -91.9807592478799 304.640826711669</t>
  </si>
  <si>
    <t>-546.674883788067 -63.6037646321397 751.467164108103</t>
  </si>
  <si>
    <t>-438.517032511763 -153.590007524276 824.210658240731</t>
  </si>
  <si>
    <t>9763-20170724T104955.212525900.bin</t>
  </si>
  <si>
    <t>-602.359486711549 127.118828816798 -543.997199819785</t>
  </si>
  <si>
    <t>-596.817321214445 161.482875135907 -251.799253897225</t>
  </si>
  <si>
    <t>-359.718409211049 189.924724797879 -219.766833900763</t>
  </si>
  <si>
    <t>-604.276392577167 80.5868877171743 -105.669671008939</t>
  </si>
  <si>
    <t>-595.96616146462 112.678066510897 296.519051863281</t>
  </si>
  <si>
    <t>-636.862261286255 169.000848965173 739.22493850116</t>
  </si>
  <si>
    <t>-491.73044764037 156.470936616305 801.410329379822</t>
  </si>
  <si>
    <t>-529.455502950142 -90.3784150750162 304.649113847626</t>
  </si>
  <si>
    <t>-546.81490262698 -63.8315485232422 751.469095285084</t>
  </si>
  <si>
    <t>-438.425079921443 -153.500304537689 824.259690865859</t>
  </si>
  <si>
    <t>9763-20170724T104955.279204100.bin</t>
  </si>
  <si>
    <t>-603.827313090623 130.115793195086 -543.860115152484</t>
  </si>
  <si>
    <t>-600.722157298181 162.806115021781 -251.434133492495</t>
  </si>
  <si>
    <t>-363.796598017163 191.385214430538 -218.261622282654</t>
  </si>
  <si>
    <t>-604.504833858933 83.2826695677704 -105.771850448355</t>
  </si>
  <si>
    <t>-597.210199335748 114.813199812011 296.480952656465</t>
  </si>
  <si>
    <t>-636.856338401715 169.275488412572 739.438388342433</t>
  </si>
  <si>
    <t>-491.793588250122 156.127284118886 801.657765525343</t>
  </si>
  <si>
    <t>-529.883282726854 -88.7414872682396 304.685252183918</t>
  </si>
  <si>
    <t>-546.715037596608 -63.4520471354469 751.530008889542</t>
  </si>
  <si>
    <t>-438.939141185068 -153.817437826703 824.370672086089</t>
  </si>
  <si>
    <t>9763-20170724T104955.309786900.bin</t>
  </si>
  <si>
    <t>-604.279396903838 130.678563714383 -543.797332657316</t>
  </si>
  <si>
    <t>-602.059870792645 163.03813740894 -251.326710275316</t>
  </si>
  <si>
    <t>-365.08782797534 191.176046313387 -218.108887258693</t>
  </si>
  <si>
    <t>-604.195842759157 83.9753915313809 -105.802124039555</t>
  </si>
  <si>
    <t>-597.447430576071 115.457460325466 296.463923062467</t>
  </si>
  <si>
    <t>-636.824927905664 169.271257210448 739.522943795028</t>
  </si>
  <si>
    <t>-491.769035621363 156.084435978831 801.749978934916</t>
  </si>
  <si>
    <t>-529.817826827146 -88.278742426917 304.715775768189</t>
  </si>
  <si>
    <t>-546.792382302703 -63.5340911365768 751.570475278413</t>
  </si>
  <si>
    <t>-438.804225482044 -153.653906701515 824.40083834064</t>
  </si>
  <si>
    <t>9763-20170724T104955.362929500.bin</t>
  </si>
  <si>
    <t>-604.39117774437 130.995120181861 -543.789669570538</t>
  </si>
  <si>
    <t>-603.09477689316 163.061890672481 -251.281109104682</t>
  </si>
  <si>
    <t>-366.21547581238 191.052226164282 -217.286701567846</t>
  </si>
  <si>
    <t>-603.763893298218 84.4659500893797 -105.856744892944</t>
  </si>
  <si>
    <t>-597.443452677898 115.841096410878 296.424606458679</t>
  </si>
  <si>
    <t>-636.788251238657 169.256154510776 739.58434330263</t>
  </si>
  <si>
    <t>-491.727307603475 156.154782896743 801.817370786626</t>
  </si>
  <si>
    <t>-529.517737231182 -87.8676449731308 304.738628409087</t>
  </si>
  <si>
    <t>-546.756315324579 -63.4047588230071 751.589379050323</t>
  </si>
  <si>
    <t>-438.885858637586 -153.647242469627 824.442484815793</t>
  </si>
  <si>
    <t>9763-20170724T104955.415083000.bin</t>
  </si>
  <si>
    <t>-604.136792559651 130.872541380535 -543.655668573619</t>
  </si>
  <si>
    <t>-603.923648717277 162.747379223303 -251.123264639827</t>
  </si>
  <si>
    <t>-367.083510478252 190.331511872731 -216.529880973961</t>
  </si>
  <si>
    <t>-602.842756657665 84.8910718692746 -105.866198757755</t>
  </si>
  <si>
    <t>-596.844973594056 116.053033959622 296.436640773936</t>
  </si>
  <si>
    <t>-636.729330302409 169.294364645324 739.661533050883</t>
  </si>
  <si>
    <t>-491.67327812465 156.181717044937 801.903883951067</t>
  </si>
  <si>
    <t>-528.342045610878 -87.4185601473912 304.815423709327</t>
  </si>
  <si>
    <t>-546.757332689211 -63.250843041747 751.599249829645</t>
  </si>
  <si>
    <t>-438.789891931502 -153.349307980566 824.486767239294</t>
  </si>
  <si>
    <t>9763-20170724T104955.444167600.bin</t>
  </si>
  <si>
    <t>-603.779272941223 130.414589372476 -543.596990627467</t>
  </si>
  <si>
    <t>-603.350294845845 162.401418150469 -251.077061684342</t>
  </si>
  <si>
    <t>-366.476350164001 189.732676283606 -216.513141161294</t>
  </si>
  <si>
    <t>-602.198190180476 84.7042898431371 -105.836450004674</t>
  </si>
  <si>
    <t>-596.36814122257 115.796676112487 296.474315615357</t>
  </si>
  <si>
    <t>-636.681120038915 169.161975474667 739.695733291255</t>
  </si>
  <si>
    <t>-491.608574051342 156.20089548389 801.931261043495</t>
  </si>
  <si>
    <t>-527.794842542506 -87.391203728464 304.871815199392</t>
  </si>
  <si>
    <t>-546.840787288829 -63.3099613163226 751.599248807703</t>
  </si>
  <si>
    <t>-438.549418576588 -153.026263654031 824.47778623975</t>
  </si>
  <si>
    <t>9763-20170724T104955.513947400.bin</t>
  </si>
  <si>
    <t>-603.725135077013 129.988856825011 -543.379315123654</t>
  </si>
  <si>
    <t>-602.650111076802 162.269557115828 -250.893411018951</t>
  </si>
  <si>
    <t>-365.75094246888 189.14174323957 -216.143957139752</t>
  </si>
  <si>
    <t>-601.395714613786 84.4269815642876 -105.768589628246</t>
  </si>
  <si>
    <t>-595.873868894796 115.499805989189 296.547985863351</t>
  </si>
  <si>
    <t>-636.62392790753 168.987993623262 739.7583396298</t>
  </si>
  <si>
    <t>-491.541328663003 156.066721506732 801.97882182685</t>
  </si>
  <si>
    <t>-526.870510703972 -87.7978459447527 304.952686866203</t>
  </si>
  <si>
    <t>-546.78867274906 -62.9496849388202 751.569045488059</t>
  </si>
  <si>
    <t>-438.381958140814 -152.51175488273 824.465512156637</t>
  </si>
  <si>
    <t>9763-20170724T104955.549030700.bin</t>
  </si>
  <si>
    <t>-603.86130631567 130.391794914263 -543.178884861484</t>
  </si>
  <si>
    <t>-602.672437055191 162.621679636493 -250.68789867812</t>
  </si>
  <si>
    <t>-365.812128232166 189.409242226933 -215.610141392874</t>
  </si>
  <si>
    <t>-601.025180341524 84.4167290245159 -105.686046513933</t>
  </si>
  <si>
    <t>-595.642031679789 115.491631551189 296.632270136717</t>
  </si>
  <si>
    <t>-636.600357044106 168.844165904486 739.795314245104</t>
  </si>
  <si>
    <t>-491.474581099681 156.283547472334 801.988924023748</t>
  </si>
  <si>
    <t>-526.483211312505 -88.1286015623252 305.005875095933</t>
  </si>
  <si>
    <t>-546.771093335665 -62.8038300278897 751.568123652903</t>
  </si>
  <si>
    <t>-438.6074279542 -152.643341029832 824.484378624493</t>
  </si>
  <si>
    <t>9763-20170724T104955.609896300.bin</t>
  </si>
  <si>
    <t>-603.07362107242 131.185378892729 -542.898580529325</t>
  </si>
  <si>
    <t>-601.752268799652 163.531186553154 -250.420918261246</t>
  </si>
  <si>
    <t>-364.909363682103 189.742413106396 -214.794307186056</t>
  </si>
  <si>
    <t>-599.402391556194 84.4535778367972 -105.546999763258</t>
  </si>
  <si>
    <t>-594.641135091678 115.455227102617 296.784816761435</t>
  </si>
  <si>
    <t>-636.607267907293 168.669361715731 739.821991327798</t>
  </si>
  <si>
    <t>-491.457141282503 156.089873692462 801.954887752582</t>
  </si>
  <si>
    <t>-526.318850111802 -88.2968853677744 305.126299064864</t>
  </si>
  <si>
    <t>-546.739431620891 -62.4964184969108 751.606155377702</t>
  </si>
  <si>
    <t>-438.981410487021 -152.814184307207 824.532118543738</t>
  </si>
  <si>
    <t>9763-20170724T104955.642982700.bin</t>
  </si>
  <si>
    <t>-602.544174666117 130.944741887472 -542.956901972665</t>
  </si>
  <si>
    <t>-600.815018074185 163.581225117181 -250.513536633542</t>
  </si>
  <si>
    <t>-363.88132059772 189.118977126129 -215.001336379864</t>
  </si>
  <si>
    <t>-598.489286361244 84.1825256634288 -105.547119622392</t>
  </si>
  <si>
    <t>-593.934425687813 115.175543069382 296.78784326518</t>
  </si>
  <si>
    <t>-636.595938940507 168.607971863632 739.76520316699</t>
  </si>
  <si>
    <t>-491.448573472377 155.929334619263 801.884427521145</t>
  </si>
  <si>
    <t>-526.521577610727 -88.247930842005 305.213865883091</t>
  </si>
  <si>
    <t>-546.780449455204 -62.394602382042 751.654517728973</t>
  </si>
  <si>
    <t>-439.202378057819 -152.94391048411 824.559073423181</t>
  </si>
  <si>
    <t>9763-20170724T104955.716180800.bin</t>
  </si>
  <si>
    <t>-602.190583646031 130.333145256426 -543.223858532938</t>
  </si>
  <si>
    <t>-598.910790667808 164.050369814191 -250.916651981834</t>
  </si>
  <si>
    <t>-361.64019271344 188.883270641331 -217.198745364757</t>
  </si>
  <si>
    <t>-597.270971367963 83.5416061870935 -105.616563353675</t>
  </si>
  <si>
    <t>-592.473804448358 114.310627044831 296.732750727448</t>
  </si>
  <si>
    <t>-636.53356859199 168.285110339278 739.582517480159</t>
  </si>
  <si>
    <t>-491.33990680812 155.864374397328 801.645620082845</t>
  </si>
  <si>
    <t>-526.644349878426 -88.7319019606973 305.38611817461</t>
  </si>
  <si>
    <t>-546.976024603394 -62.4239868207226 751.779721768304</t>
  </si>
  <si>
    <t>-439.044038838589 -152.641444032716 824.572513551639</t>
  </si>
  <si>
    <t>9763-20170724T104955.746260400.bin</t>
  </si>
  <si>
    <t>-602.232377979344 130.221717106382 -543.422132108654</t>
  </si>
  <si>
    <t>-597.945360148703 164.339173065377 -251.17418621854</t>
  </si>
  <si>
    <t>-360.470937389563 189.474230047902 -219.158344211351</t>
  </si>
  <si>
    <t>-596.81725689867 83.3151720989663 -105.684864466383</t>
  </si>
  <si>
    <t>-591.921086152334 114.079008044392 296.663560373886</t>
  </si>
  <si>
    <t>-636.540854974072 168.137904589085 739.435838513784</t>
  </si>
  <si>
    <t>-491.354817255154 155.542186651991 801.481520971664</t>
  </si>
  <si>
    <t>-526.489150993946 -89.0121014910771 305.456567784406</t>
  </si>
  <si>
    <t>-546.928092328142 -62.1309796761068 751.830739803722</t>
  </si>
  <si>
    <t>-439.403469923586 -152.856299752471 824.595226313417</t>
  </si>
  <si>
    <t>9763-20170724T104955.813443900.bin</t>
  </si>
  <si>
    <t>-601.718478071031 129.515702834217 -543.961916952631</t>
  </si>
  <si>
    <t>-595.122466988032 165.19121250277 -251.943140308606</t>
  </si>
  <si>
    <t>-357.352796377285 190.780694363277 -222.589776439162</t>
  </si>
  <si>
    <t>-595.36870373826 82.9574032514163 -105.831089288174</t>
  </si>
  <si>
    <t>-591.057162226423 113.909733818872 296.509642504368</t>
  </si>
  <si>
    <t>-636.539612497692 167.986553222823 739.118634559693</t>
  </si>
  <si>
    <t>-491.297653476101 155.832725058929 801.121312738353</t>
  </si>
  <si>
    <t>-525.875015634843 -89.2452832947997 305.605134513375</t>
  </si>
  <si>
    <t>-546.811304650291 -61.5575200952542 751.932045803847</t>
  </si>
  <si>
    <t>-440.047723789781 -153.218031029383 824.644888337103</t>
  </si>
  <si>
    <t>9763-20170724T104955.849541700.bin</t>
  </si>
  <si>
    <t>-601.247093687825 128.620018989561 -544.353122714625</t>
  </si>
  <si>
    <t>-593.22092356834 165.390816182998 -252.506114700397</t>
  </si>
  <si>
    <t>-355.35053111862 191.010510687404 -224.007144362983</t>
  </si>
  <si>
    <t>-594.627540904379 82.682318170248 -105.904214903122</t>
  </si>
  <si>
    <t>-590.754693729091 113.695775219304 296.436241801115</t>
  </si>
  <si>
    <t>-636.527872421269 167.941460347239 738.974471748659</t>
  </si>
  <si>
    <t>-491.269794127977 155.953264232435 800.97159251405</t>
  </si>
  <si>
    <t>-525.877681435249 -89.5094159783901 305.70496103955</t>
  </si>
  <si>
    <t>-547.06159904835 -61.9220126662378 752.008046554707</t>
  </si>
  <si>
    <t>-439.758232495974 -153.014669239406 824.640186045664</t>
  </si>
  <si>
    <t>9763-20170724T104955.912725800.bin</t>
  </si>
  <si>
    <t>-600.628629465818 127.109334336229 -545.353179672953</t>
  </si>
  <si>
    <t>-589.696491690464 166.294909328724 -253.915057724587</t>
  </si>
  <si>
    <t>-351.65129512029 191.438637092844 -226.470986356637</t>
  </si>
  <si>
    <t>-593.821543428236 82.7921280642584 -106.135008621824</t>
  </si>
  <si>
    <t>-590.535108037823 113.723311257122 296.216950946242</t>
  </si>
  <si>
    <t>-636.499302663321 167.88027557875 738.714545601721</t>
  </si>
  <si>
    <t>-491.211534751317 156.262109712299 800.712740895937</t>
  </si>
  <si>
    <t>-525.660573395829 -89.5976408227862 305.827513273462</t>
  </si>
  <si>
    <t>-547.151211662067 -61.8721462480805 752.113302843819</t>
  </si>
  <si>
    <t>-440.039629104398 -153.236445590465 824.687029984134</t>
  </si>
  <si>
    <t>9763-20170724T104955.944805800.bin</t>
  </si>
  <si>
    <t>-600.505618227626 126.461887143449 -545.940360054805</t>
  </si>
  <si>
    <t>-588.854332401718 166.848602756787 -254.694021038096</t>
  </si>
  <si>
    <t>-350.802497620961 191.71009769512 -227.052811272833</t>
  </si>
  <si>
    <t>-593.642444668573 83.0470692217261 -106.254460057423</t>
  </si>
  <si>
    <t>-590.550973622823 113.875737768887 296.106875747546</t>
  </si>
  <si>
    <t>-636.487245561932 167.808741504197 738.613551517017</t>
  </si>
  <si>
    <t>-491.220429181925 155.967167924577 800.618616235821</t>
  </si>
  <si>
    <t>-525.54652658371 -89.6865318865512 305.836694526389</t>
  </si>
  <si>
    <t>-547.231185847355 -61.9512786512903 752.143091546953</t>
  </si>
  <si>
    <t>-439.61022502037 -152.753188460829 824.669443299943</t>
  </si>
  <si>
    <t>9763-20170724T104956.010986100.bin</t>
  </si>
  <si>
    <t>-600.28438561229 125.289343940923 -547.103279353014</t>
  </si>
  <si>
    <t>-588.963207363325 166.824389890064 -256.005638850467</t>
  </si>
  <si>
    <t>-351.00096334363 191.418407064348 -227.369744336026</t>
  </si>
  <si>
    <t>-593.005274966645 83.6757717203418 -106.469235042419</t>
  </si>
  <si>
    <t>-590.126724931346 114.134660368646 295.922007821364</t>
  </si>
  <si>
    <t>-636.465365545829 167.649924726209 738.437294465349</t>
  </si>
  <si>
    <t>-491.224088667051 155.509785864539 800.444278450606</t>
  </si>
  <si>
    <t>-525.097946067509 -89.4661495111422 305.844780197234</t>
  </si>
  <si>
    <t>-547.268884980265 -61.8711118313126 752.153310649659</t>
  </si>
  <si>
    <t>-439.826557720277 -152.884465237122 824.679519987636</t>
  </si>
  <si>
    <t>9763-20170724T104956.048086700.bin</t>
  </si>
  <si>
    <t>-600.141612046032 124.895716238957 -547.605832885411</t>
  </si>
  <si>
    <t>-589.299705448792 167.014652928347 -256.573632228773</t>
  </si>
  <si>
    <t>-351.377144118983 191.316541783934 -227.364987013877</t>
  </si>
  <si>
    <t>-592.639362595919 84.0601922706528 -106.562759278647</t>
  </si>
  <si>
    <t>-589.744228736664 114.25617560664 295.848128674972</t>
  </si>
  <si>
    <t>-636.461384990524 167.554815507742 738.346420975588</t>
  </si>
  <si>
    <t>-491.238511178013 155.156970722334 800.345463623765</t>
  </si>
  <si>
    <t>-524.797984827776 -89.3355302000216 305.839540602128</t>
  </si>
  <si>
    <t>-547.282570859512 -61.8405670703412 752.143070166099</t>
  </si>
  <si>
    <t>-439.788175515366 -152.789852638132 824.672073863665</t>
  </si>
  <si>
    <t>9763-20170724T104956.112263400.bin</t>
  </si>
  <si>
    <t>-599.832457055636 124.216355148245 -548.48158788579</t>
  </si>
  <si>
    <t>-589.542800068277 167.467595721678 -257.595552642147</t>
  </si>
  <si>
    <t>-351.674669247124 191.37707699911 -227.630120885886</t>
  </si>
  <si>
    <t>-591.558779298665 84.7114758287075 -106.711779201673</t>
  </si>
  <si>
    <t>-588.689197915773 114.559862625777 295.725164945549</t>
  </si>
  <si>
    <t>-636.434868304075 167.42734286874 738.162173129313</t>
  </si>
  <si>
    <t>-491.230077684721 154.78319417669 800.153992909414</t>
  </si>
  <si>
    <t>-524.030999345604 -88.9047622668174 305.824888836855</t>
  </si>
  <si>
    <t>-547.201897274593 -61.5468956274619 752.11151708852</t>
  </si>
  <si>
    <t>-440.085776600959 -152.920120671036 824.667617829116</t>
  </si>
  <si>
    <t>9763-20170724T104956.145351300.bin</t>
  </si>
  <si>
    <t>-599.730896703951 123.924482307187 -548.824394981801</t>
  </si>
  <si>
    <t>-589.611052321912 167.496358981112 -257.980206738389</t>
  </si>
  <si>
    <t>-351.780221346375 191.534164738999 -227.821236643616</t>
  </si>
  <si>
    <t>-590.955859724799 85.1101404315393 -106.783020952773</t>
  </si>
  <si>
    <t>-588.165669884937 114.612657962949 295.679985774598</t>
  </si>
  <si>
    <t>-636.420874854954 167.418055457855 738.077705162218</t>
  </si>
  <si>
    <t>-491.176519918478 155.140048232986 800.050372738938</t>
  </si>
  <si>
    <t>-523.853415025286 -88.6803701758242 305.814671868206</t>
  </si>
  <si>
    <t>-547.205589032671 -61.463709990207 752.097275045684</t>
  </si>
  <si>
    <t>-440.207216757886 -152.974205715387 824.654058324129</t>
  </si>
  <si>
    <t>9763-20170724T104956.209537800.bin</t>
  </si>
  <si>
    <t>-599.797284664319 123.772467375764 -549.347164257854</t>
  </si>
  <si>
    <t>-590.697235369471 166.972840371582 -258.413920860293</t>
  </si>
  <si>
    <t>-352.978226510082 191.594029948069 -227.847181183929</t>
  </si>
  <si>
    <t>-589.874515540418 85.9472797189599 -106.883944532042</t>
  </si>
  <si>
    <t>-587.205183090227 114.780680568853 295.628393529795</t>
  </si>
  <si>
    <t>-636.397794570899 167.272547333519 737.9384534386</t>
  </si>
  <si>
    <t>-491.149260295446 154.842773942797 799.870935252789</t>
  </si>
  <si>
    <t>-523.696304801916 -88.1224643628407 305.754570556648</t>
  </si>
  <si>
    <t>-547.115504616153 -61.1026099393421 752.035393384008</t>
  </si>
  <si>
    <t>-440.51444229541 -153.052374816762 824.621534888306</t>
  </si>
  <si>
    <t>9763-20170724T104956.248642000.bin</t>
  </si>
  <si>
    <t>-599.932712993975 123.85860161531 -549.597938506727</t>
  </si>
  <si>
    <t>-591.585820530002 166.716818147 -258.591538082697</t>
  </si>
  <si>
    <t>-353.939691204097 191.529441494564 -227.615541173337</t>
  </si>
  <si>
    <t>-589.462076985502 86.4071097415294 -106.944464344178</t>
  </si>
  <si>
    <t>-586.834843649814 114.897238576705 295.592569803262</t>
  </si>
  <si>
    <t>-636.386541460465 167.167758357969 737.878718327492</t>
  </si>
  <si>
    <t>-491.156090291285 154.428104617864 799.790749209753</t>
  </si>
  <si>
    <t>-523.657018120129 -87.864536832479 305.709330496038</t>
  </si>
  <si>
    <t>-547.072487936872 -60.9532173075454 751.997758355147</t>
  </si>
  <si>
    <t>-440.609642434633 -153.046463751471 824.604975312497</t>
  </si>
  <si>
    <t>9763-20170724T104956.313824400.bin</t>
  </si>
  <si>
    <t>-599.825108643336 124.060398821994 -550.014221130882</t>
  </si>
  <si>
    <t>-592.866149729246 165.947266340076 -258.829923391971</t>
  </si>
  <si>
    <t>-355.34641153264 191.12012123016 -227.183008844528</t>
  </si>
  <si>
    <t>-588.646543848023 87.2467211472467 -107.069332360912</t>
  </si>
  <si>
    <t>-586.042666815315 115.078714845346 295.513907922758</t>
  </si>
  <si>
    <t>-636.337497869059 166.98913845843 737.776671148128</t>
  </si>
  <si>
    <t>-491.144551466022 153.76636658109 799.675243572108</t>
  </si>
  <si>
    <t>-523.664980392663 -87.2618081043049 305.601242921009</t>
  </si>
  <si>
    <t>-547.05238630472 -60.774720588357 751.931012242868</t>
  </si>
  <si>
    <t>-440.90728646392 -153.196653492611 824.585778375351</t>
  </si>
  <si>
    <t>9763-20170724T104956.344941800.bin</t>
  </si>
  <si>
    <t>-599.767202248732 124.176510477481 -550.139671869489</t>
  </si>
  <si>
    <t>-593.137336973263 165.665122966829 -258.890778187393</t>
  </si>
  <si>
    <t>-355.649228065066 190.958500413193 -227.10274869977</t>
  </si>
  <si>
    <t>-588.279933524986 87.6369060109603 -107.1253288174</t>
  </si>
  <si>
    <t>-585.667400260797 115.132755813006 295.48096547403</t>
  </si>
  <si>
    <t>-636.3083794952 166.993510911922 737.725956660822</t>
  </si>
  <si>
    <t>-491.087920003966 154.002213531259 799.609299316178</t>
  </si>
  <si>
    <t>-523.773851074671 -87.0443120918246 305.561678143976</t>
  </si>
  <si>
    <t>-547.153074594339 -60.892956626637 751.909964364807</t>
  </si>
  <si>
    <t>-440.764224331966 -153.036055469762 824.56218950223</t>
  </si>
  <si>
    <t>9763-20170724T104956.413099900.bin</t>
  </si>
  <si>
    <t>-599.615542153991 124.497808753144 -550.381293616352</t>
  </si>
  <si>
    <t>-593.06793697983 165.581016448195 -259.073077715197</t>
  </si>
  <si>
    <t>-355.67652027322 191.278726874463 -226.888220216875</t>
  </si>
  <si>
    <t>-587.789441535387 88.2958590144744 -107.210847856578</t>
  </si>
  <si>
    <t>-585.165102608551 115.346335511955 295.425516536869</t>
  </si>
  <si>
    <t>-636.243053332917 166.888688828382 737.653008245278</t>
  </si>
  <si>
    <t>-491.05562303692 153.497692862062 799.528832282872</t>
  </si>
  <si>
    <t>-523.917367308746 -86.5204255533597 305.487192817838</t>
  </si>
  <si>
    <t>-547.116992958667 -60.6414379273642 751.86542038422</t>
  </si>
  <si>
    <t>-440.868893090144 -152.92881366359 824.540680727968</t>
  </si>
  <si>
    <t>9763-20170724T104956.448194100.bin</t>
  </si>
  <si>
    <t>-599.767648697759 124.876627789397 -550.460245676742</t>
  </si>
  <si>
    <t>-593.152254149511 165.913647863679 -259.146917542393</t>
  </si>
  <si>
    <t>-355.773329002417 191.541215316837 -226.815859626862</t>
  </si>
  <si>
    <t>-587.749529699776 88.754514481717 -107.247264593099</t>
  </si>
  <si>
    <t>-585.052751289144 115.554054077385 295.405401349196</t>
  </si>
  <si>
    <t>-636.20771063447 166.845049523886 737.641429949765</t>
  </si>
  <si>
    <t>-491.058690506314 153.071969435282 799.523425856482</t>
  </si>
  <si>
    <t>-523.884269825141 -86.2972137578518 305.446681945619</t>
  </si>
  <si>
    <t>-547.12697867156 -60.5698283518891 751.8447089026</t>
  </si>
  <si>
    <t>-441.068943451672 -153.063003372748 824.535788750494</t>
  </si>
  <si>
    <t>9763-20170724T104956.514378600.bin</t>
  </si>
  <si>
    <t>-600.104876811917 125.548739169448 -550.494559833783</t>
  </si>
  <si>
    <t>-593.253839051861 166.524862188174 -259.17808235215</t>
  </si>
  <si>
    <t>-356.000420373714 192.139155610882 -225.927911087492</t>
  </si>
  <si>
    <t>-587.741611174902 89.577127703516 -107.295663665902</t>
  </si>
  <si>
    <t>-584.957229239153 115.982953234914 295.382490700733</t>
  </si>
  <si>
    <t>-636.126004738028 166.828390108329 737.646465232235</t>
  </si>
  <si>
    <t>-490.973187180329 153.081714886181 799.525167678051</t>
  </si>
  <si>
    <t>-524.147482976633 -85.7602835833582 305.369096376563</t>
  </si>
  <si>
    <t>-547.269149564126 -60.676785457641 751.819008671893</t>
  </si>
  <si>
    <t>-441.110906270922 -153.049107803667 824.517628372553</t>
  </si>
  <si>
    <t>9763-20170724T104956.563507400.bin</t>
  </si>
  <si>
    <t>-599.971436701599 125.956735126269 -550.479126078594</t>
  </si>
  <si>
    <t>-592.780024929989 166.892088010983 -259.165116319972</t>
  </si>
  <si>
    <t>-355.596259676484 192.551588370544 -225.456412896266</t>
  </si>
  <si>
    <t>-587.691642259206 89.9613672174291 -107.319313406907</t>
  </si>
  <si>
    <t>-584.92690298754 116.218724975269 295.368649901231</t>
  </si>
  <si>
    <t>-636.079618571745 166.880696472962 737.660329198534</t>
  </si>
  <si>
    <t>-490.896234129718 153.46209028965 799.539339712734</t>
  </si>
  <si>
    <t>-524.237391231653 -85.3489131377671 305.334704772845</t>
  </si>
  <si>
    <t>-547.228146918167 -60.512612945593 751.797967117761</t>
  </si>
  <si>
    <t>-441.361815236116 -153.19673949881 824.525240431407</t>
  </si>
  <si>
    <t>9763-20170724T104956.594134000.bin</t>
  </si>
  <si>
    <t>-599.705733319161 126.316845168943 -550.467633653882</t>
  </si>
  <si>
    <t>-592.045486278393 167.34394117751 -259.178721415549</t>
  </si>
  <si>
    <t>-354.902693358843 192.979872236597 -225.164879482932</t>
  </si>
  <si>
    <t>-587.615971213773 90.2734321954501 -107.343076753642</t>
  </si>
  <si>
    <t>-584.956905950735 116.461530546116 295.350086569593</t>
  </si>
  <si>
    <t>-636.017106674623 166.919544839598 737.672201877082</t>
  </si>
  <si>
    <t>-490.85320120681 153.454798052463 799.586855973597</t>
  </si>
  <si>
    <t>-524.277359915616 -85.0005259777233 305.303404608961</t>
  </si>
  <si>
    <t>-547.264281245188 -60.5023874116475 751.783623468479</t>
  </si>
  <si>
    <t>-441.270308668964 -153.038227861427 824.513948550834</t>
  </si>
  <si>
    <t>9763-20170724T104956.645777200.bin</t>
  </si>
  <si>
    <t>-599.071105196295 126.642890943382 -550.484939609163</t>
  </si>
  <si>
    <t>-590.349810151168 167.415294638082 -259.189986707556</t>
  </si>
  <si>
    <t>-353.257717998131 193.011374495801 -224.794638715957</t>
  </si>
  <si>
    <t>-587.587434584452 90.7287847235857 -107.371684510682</t>
  </si>
  <si>
    <t>-585.121869245251 117.025018599847 295.315642588423</t>
  </si>
  <si>
    <t>-635.90021867734 167.069563342137 737.733770136689</t>
  </si>
  <si>
    <t>-490.769497933291 153.532442565935 799.710597006113</t>
  </si>
  <si>
    <t>-524.359742210903 -84.3138270020065 305.227207022286</t>
  </si>
  <si>
    <t>-547.331656960877 -60.4367012763375 751.753057641234</t>
  </si>
  <si>
    <t>-441.509525763503 -153.150121666993 824.507305514178</t>
  </si>
  <si>
    <t>9763-20170724T104956.712970900.bin</t>
  </si>
  <si>
    <t>-598.58734158423 127.16957503763 -550.391175878484</t>
  </si>
  <si>
    <t>-588.671652475777 167.720892775459 -259.103481755036</t>
  </si>
  <si>
    <t>-351.794254166255 193.22038356129 -223.190558374465</t>
  </si>
  <si>
    <t>-587.853975153538 91.3233141848568 -107.429117143811</t>
  </si>
  <si>
    <t>-585.402628030849 117.441624535365 295.269953516385</t>
  </si>
  <si>
    <t>-635.80141410274 167.088798258613 737.797956452903</t>
  </si>
  <si>
    <t>-490.689375049386 153.452420153232 799.796656005019</t>
  </si>
  <si>
    <t>-524.820020751502 -83.728977936101 305.150144901412</t>
  </si>
  <si>
    <t>-547.490607532266 -60.5679206779998 751.721113524884</t>
  </si>
  <si>
    <t>-441.329377300015 -152.892844841305 824.475278362844</t>
  </si>
  <si>
    <t>9763-20170724T104956.756100200.bin</t>
  </si>
  <si>
    <t>-598.306617416758 127.730538517771 -550.253033760041</t>
  </si>
  <si>
    <t>-587.708560871188 168.450320117269 -259.012844806789</t>
  </si>
  <si>
    <t>-350.800950390531 193.528272994597 -223.002716009431</t>
  </si>
  <si>
    <t>-588.036559971596 91.582909502592 -107.439337689437</t>
  </si>
  <si>
    <t>-585.549387216731 117.709749032757 295.25894491462</t>
  </si>
  <si>
    <t>-635.75616871568 167.107630209332 737.83961077439</t>
  </si>
  <si>
    <t>-490.641772113454 153.496800313431 799.838715344649</t>
  </si>
  <si>
    <t>-525.0379465219 -83.5324413691446 305.110381743001</t>
  </si>
  <si>
    <t>-547.603876034001 -60.691346667845 751.710681329119</t>
  </si>
  <si>
    <t>-441.280436699886 -152.829825813408 824.464422137174</t>
  </si>
  <si>
    <t>9763-20170724T104956.814244300.bin</t>
  </si>
  <si>
    <t>-597.919106598779 128.542599774073 -550.109113694388</t>
  </si>
  <si>
    <t>-585.286074682328 169.673721420166 -259.008109594972</t>
  </si>
  <si>
    <t>-348.208216778866 194.146594584178 -223.708805359895</t>
  </si>
  <si>
    <t>-588.438559428389 92.0472521078029 -107.4511660172</t>
  </si>
  <si>
    <t>-585.778078357323 118.165501719868 295.246585343845</t>
  </si>
  <si>
    <t>-635.672774339801 167.148596656662 737.905775217723</t>
  </si>
  <si>
    <t>-490.572485445066 153.391182481992 799.905358302255</t>
  </si>
  <si>
    <t>-525.313561052694 -83.2087903206425 305.033182333142</t>
  </si>
  <si>
    <t>-547.70123026893 -60.6882114670973 751.670471916111</t>
  </si>
  <si>
    <t>-441.012045536324 -152.400902678682 824.427024655311</t>
  </si>
  <si>
    <t>9763-20170724T104956.847334300.bin</t>
  </si>
  <si>
    <t>-597.873865765055 128.709915347945 -550.134205867923</t>
  </si>
  <si>
    <t>-584.081907097384 170.218458509082 -259.139358930164</t>
  </si>
  <si>
    <t>-346.927472656655 194.560543892095 -224.26619425787</t>
  </si>
  <si>
    <t>-588.60375339302 92.1827379500442 -107.430557336752</t>
  </si>
  <si>
    <t>-585.795337368128 118.303887385648 295.265985997359</t>
  </si>
  <si>
    <t>-635.635316119847 167.153732619098 737.943179290364</t>
  </si>
  <si>
    <t>-490.530144871956 153.414153899337 799.935363861756</t>
  </si>
  <si>
    <t>-525.372990098228 -83.0491387751194 305.003137637115</t>
  </si>
  <si>
    <t>-547.699570969331 -60.576330157138 751.648263498464</t>
  </si>
  <si>
    <t>-441.110093713638 -152.393230514544 824.419333920795</t>
  </si>
  <si>
    <t>9763-20170724T104956.915434200.bin</t>
  </si>
  <si>
    <t>-597.89838472048 128.72817821229 -550.311201994431</t>
  </si>
  <si>
    <t>-582.361699484172 171.295403674379 -259.557357522645</t>
  </si>
  <si>
    <t>-345.047264680488 195.399900758556 -225.619769101463</t>
  </si>
  <si>
    <t>-589.084553968685 92.598092407374 -107.410090220373</t>
  </si>
  <si>
    <t>-585.883845816649 118.645515652751 295.288290653506</t>
  </si>
  <si>
    <t>-635.546302034357 167.241085239335 738.00735061822</t>
  </si>
  <si>
    <t>-490.403287481405 153.906394113098 799.999229501389</t>
  </si>
  <si>
    <t>-525.501902465611 -82.7857244265588 304.993147672874</t>
  </si>
  <si>
    <t>-547.819155117604 -60.5941493123385 751.639131689628</t>
  </si>
  <si>
    <t>-441.160957103631 -152.327486525961 824.415088645395</t>
  </si>
  <si>
    <t>9763-20170724T104956.944511000.bin</t>
  </si>
  <si>
    <t>-597.971910790335 128.64484244415 -550.417538893575</t>
  </si>
  <si>
    <t>-581.612378427707 172.077575516176 -259.836978661745</t>
  </si>
  <si>
    <t>-344.259726906705 196.105957579363 -226.114272875023</t>
  </si>
  <si>
    <t>-589.207293333241 92.7468637442155 -107.420246271826</t>
  </si>
  <si>
    <t>-585.851186900677 118.88978274903 295.270617700933</t>
  </si>
  <si>
    <t>-635.49398916616 167.318422977661 738.015952080136</t>
  </si>
  <si>
    <t>-490.322724268512 154.341630216328 800.017579359591</t>
  </si>
  <si>
    <t>-525.464461774423 -82.546143909763 305.00505097401</t>
  </si>
  <si>
    <t>-547.753620117297 -60.3499540575758 751.636080724789</t>
  </si>
  <si>
    <t>-441.450518643849 -152.475918739746 824.435170258143</t>
  </si>
  <si>
    <t>9763-20170724T104957.010234700.bin</t>
  </si>
  <si>
    <t>-598.224289411953 127.829570870554 -550.805577513828</t>
  </si>
  <si>
    <t>-580.117752095828 172.852942645543 -260.570843640348</t>
  </si>
  <si>
    <t>-342.606041789818 196.931414296447 -228.024680975053</t>
  </si>
  <si>
    <t>-589.322858857897 92.9137859841603 -107.492980855634</t>
  </si>
  <si>
    <t>-585.905380235681 119.341250655165 295.1788344686</t>
  </si>
  <si>
    <t>-635.369594746119 167.59272650962 737.98872007261</t>
  </si>
  <si>
    <t>-490.168253093046 155.391003455914 800.077161566732</t>
  </si>
  <si>
    <t>-525.255207451364 -82.6360659857683 305.064934681978</t>
  </si>
  <si>
    <t>-547.994853528283 -60.6248871484115 751.677498327215</t>
  </si>
  <si>
    <t>-440.991269573533 -151.976130784869 824.426906285921</t>
  </si>
  <si>
    <t>9763-20170724T104957.049355400.bin</t>
  </si>
  <si>
    <t>-598.318214360324 127.197576782265 -551.074848164617</t>
  </si>
  <si>
    <t>-579.205697108025 173.031467824665 -261.031528642772</t>
  </si>
  <si>
    <t>-341.598115121181 197.15159586893 -229.224286023771</t>
  </si>
  <si>
    <t>-589.278442051697 92.8441475031977 -107.537123530105</t>
  </si>
  <si>
    <t>-585.806139055006 119.408577085302 295.125217228857</t>
  </si>
  <si>
    <t>-635.255924144796 167.526006171217 737.924652536408</t>
  </si>
  <si>
    <t>-490.060676183233 155.593949186816 800.079917965951</t>
  </si>
  <si>
    <t>-524.988264450537 -82.6582374186075 305.09072555323</t>
  </si>
  <si>
    <t>-548.042604284772 -60.608548357661 751.690848653199</t>
  </si>
  <si>
    <t>-441.182918282891 -152.127829899421 824.440536441532</t>
  </si>
  <si>
    <t>9763-20170724T104957.111511600.bin</t>
  </si>
  <si>
    <t>-598.251180971846 125.548003605574 -551.675072949373</t>
  </si>
  <si>
    <t>-577.347277270522 173.295190954824 -262.064225861918</t>
  </si>
  <si>
    <t>-339.627152427621 197.004163882437 -230.792752005615</t>
  </si>
  <si>
    <t>-589.255182113108 92.4508899551715 -107.608120302308</t>
  </si>
  <si>
    <t>-585.623060356168 119.26803007789 295.036052260129</t>
  </si>
  <si>
    <t>-635.100761396401 167.459187259848 737.804156046568</t>
  </si>
  <si>
    <t>-489.925879789893 155.895482095151 800.076311625502</t>
  </si>
  <si>
    <t>-524.59209025461 -82.903756343751 305.120874243679</t>
  </si>
  <si>
    <t>-548.100817824182 -60.5011047085573 751.698667433044</t>
  </si>
  <si>
    <t>-440.939620660581 -151.705290000814 824.400718092277</t>
  </si>
  <si>
    <t>9763-20170724T104957.143595600.bin</t>
  </si>
  <si>
    <t>-597.948765441619 124.63838213664 -552.012994526332</t>
  </si>
  <si>
    <t>-576.22996252133 173.549815163373 -262.656488596991</t>
  </si>
  <si>
    <t>-338.435355550269 196.752210715219 -231.571962325261</t>
  </si>
  <si>
    <t>-589.332706038787 92.2971533336333 -107.648026123776</t>
  </si>
  <si>
    <t>-585.593909243338 119.178909978934 294.990902606996</t>
  </si>
  <si>
    <t>-635.062573645955 167.527688379448 737.753147485577</t>
  </si>
  <si>
    <t>-489.91602322087 155.896277113125 800.078712153119</t>
  </si>
  <si>
    <t>-524.766736853516 -83.2113255585605 305.15611133723</t>
  </si>
  <si>
    <t>-548.354470295514 -60.8717136528994 751.728147089927</t>
  </si>
  <si>
    <t>-440.505343576585 -151.320467319853 824.356594290712</t>
  </si>
  <si>
    <t>9763-20170724T104957.211375300.bin</t>
  </si>
  <si>
    <t>-596.830892925648 123.028159106196 -552.781021793909</t>
  </si>
  <si>
    <t>-573.120255699192 174.396071168606 -264.007131305056</t>
  </si>
  <si>
    <t>-335.089993155208 196.312015179334 -233.805529777257</t>
  </si>
  <si>
    <t>-589.608055588368 91.9506643338052 -107.738259764142</t>
  </si>
  <si>
    <t>-585.60216877724 118.997525134013 294.88693907902</t>
  </si>
  <si>
    <t>-634.963891614438 167.439790038375 737.667876081694</t>
  </si>
  <si>
    <t>-489.839733389818 155.947568735647 800.071525909575</t>
  </si>
  <si>
    <t>-525.557797167115 -83.4481026228566 305.192282272694</t>
  </si>
  <si>
    <t>-548.66136526835 -61.196653974815 751.786267785831</t>
  </si>
  <si>
    <t>-439.984551472541 -150.752732832493 824.286771439101</t>
  </si>
  <si>
    <t>9763-20170724T104957.259500500.bin</t>
  </si>
  <si>
    <t>-595.998792886406 122.458678580871 -553.202447509697</t>
  </si>
  <si>
    <t>-571.266783351372 174.559854383755 -264.645747459534</t>
  </si>
  <si>
    <t>-333.069276130175 196.08811792283 -235.502768735524</t>
  </si>
  <si>
    <t>-589.701573508203 91.923722220962 -107.778136245204</t>
  </si>
  <si>
    <t>-585.626733220225 119.040950100623 294.841713565237</t>
  </si>
  <si>
    <t>-634.93934755137 167.444383727077 737.630603232345</t>
  </si>
  <si>
    <t>-489.829342283452 155.909856911066 800.059380425039</t>
  </si>
  <si>
    <t>-525.882765667079 -83.4412460651308 305.200415565157</t>
  </si>
  <si>
    <t>-548.677461653143 -61.1173096082437 751.787619429465</t>
  </si>
  <si>
    <t>-439.861726084962 -150.507894881325 824.284308811474</t>
  </si>
  <si>
    <t>9763-20170724T104957.309654300.bin</t>
  </si>
  <si>
    <t>-593.896016706514 121.979140095181 -554.120584873656</t>
  </si>
  <si>
    <t>-567.7048339042 175.412299993298 -265.936469248437</t>
  </si>
  <si>
    <t>-329.31950146419 196.830454335524 -238.28528774844</t>
  </si>
  <si>
    <t>-589.74247289502 92.3119757565121 -107.905861689933</t>
  </si>
  <si>
    <t>-585.763620781148 119.47229975914 294.71207486387</t>
  </si>
  <si>
    <t>-634.924752086832 167.597573574894 737.529998411937</t>
  </si>
  <si>
    <t>-489.887214080823 155.410284466851 800.003115018791</t>
  </si>
  <si>
    <t>-526.671854388483 -83.2894146939616 305.161541717689</t>
  </si>
  <si>
    <t>-548.757984036403 -61.1798235223412 751.786445758979</t>
  </si>
  <si>
    <t>-440.055671647965 -150.656267937677 824.347255307786</t>
  </si>
  <si>
    <t>9763-20170724T104957.348759900.bin</t>
  </si>
  <si>
    <t>-592.818183124396 121.784419060952 -554.578806095643</t>
  </si>
  <si>
    <t>-566.328641810203 176.424290945414 -266.648269205929</t>
  </si>
  <si>
    <t>-327.920706729609 197.438584179713 -238.883186923052</t>
  </si>
  <si>
    <t>-589.700377865627 92.5736145102701 -107.970717284596</t>
  </si>
  <si>
    <t>-585.829473932159 119.682438164692 294.651698668211</t>
  </si>
  <si>
    <t>-634.924109402467 167.716003587308 737.474936371118</t>
  </si>
  <si>
    <t>-489.914387896131 155.301320254367 799.967664806893</t>
  </si>
  <si>
    <t>-527.159437872351 -83.1957092784976 305.14556297613</t>
  </si>
  <si>
    <t>-548.805258583203 -61.2181622472222 751.803695320807</t>
  </si>
  <si>
    <t>-439.968004478863 -150.522444944998 824.374196541827</t>
  </si>
  <si>
    <t>9763-20170724T104957.410956000.bin</t>
  </si>
  <si>
    <t>-590.79113666332 121.111523980839 -555.437283478296</t>
  </si>
  <si>
    <t>-564.435341685761 177.676405501027 -267.866493543853</t>
  </si>
  <si>
    <t>-326.025678103654 198.347268852531 -239.858744314995</t>
  </si>
  <si>
    <t>-589.206260287554 92.7769940101687 -108.091242662669</t>
  </si>
  <si>
    <t>-585.756746612015 119.805801701194 294.540398026112</t>
  </si>
  <si>
    <t>-634.857065872123 167.618826990496 737.374296360446</t>
  </si>
  <si>
    <t>-489.845777980847 155.322239404265 799.886828053288</t>
  </si>
  <si>
    <t>-528.220522090497 -82.9664340226814 305.134584821997</t>
  </si>
  <si>
    <t>-548.815420279755 -61.062816549578 751.845060368133</t>
  </si>
  <si>
    <t>-440.206351481076 -150.624289384682 824.440485288886</t>
  </si>
  <si>
    <t>9763-20170724T104957.444039200.bin</t>
  </si>
  <si>
    <t>-589.942446783438 121.000237680666 -555.780182539883</t>
  </si>
  <si>
    <t>-563.516942039113 178.200612879765 -268.341459442979</t>
  </si>
  <si>
    <t>-325.14368888763 198.849325460569 -240.009705478069</t>
  </si>
  <si>
    <t>-588.901857974114 93.0365447277848 -108.135400747869</t>
  </si>
  <si>
    <t>-585.566884971665 119.943704508014 294.505350140245</t>
  </si>
  <si>
    <t>-634.852738772028 167.667310784378 737.337284666035</t>
  </si>
  <si>
    <t>-489.852878278444 155.22823045617 799.848234252203</t>
  </si>
  <si>
    <t>-528.643427031831 -82.8792984329298 305.142408841431</t>
  </si>
  <si>
    <t>-548.828198825079 -60.9969211736852 751.873382071577</t>
  </si>
  <si>
    <t>-440.328672085158 -150.690469132424 824.469709760036</t>
  </si>
  <si>
    <t>9763-20170724T104957.515820800.bin</t>
  </si>
  <si>
    <t>-588.553326561029 121.16151462383 -556.33763370072</t>
  </si>
  <si>
    <t>-561.823292190433 179.370284118712 -269.129658608238</t>
  </si>
  <si>
    <t>-323.487554074819 200.098410838594 -240.54146329091</t>
  </si>
  <si>
    <t>-588.107895200508 93.4962474357274 -108.203506339686</t>
  </si>
  <si>
    <t>-584.983585721697 120.092223668241 294.459594291456</t>
  </si>
  <si>
    <t>-634.796085932628 167.576776055304 737.243725915734</t>
  </si>
  <si>
    <t>-489.794420975401 155.12604566966 799.748321979462</t>
  </si>
  <si>
    <t>-529.272583915605 -82.5913354091017 305.165488377166</t>
  </si>
  <si>
    <t>-548.838227684001 -60.8368517530864 751.930556529324</t>
  </si>
  <si>
    <t>-440.997491261259 -151.307384734219 824.544401308582</t>
  </si>
  <si>
    <t>9763-20170724T104957.547918900.bin</t>
  </si>
  <si>
    <t>-588.013633610077 121.254727902715 -556.551813683537</t>
  </si>
  <si>
    <t>-561.147907563087 179.78690825519 -269.422208630861</t>
  </si>
  <si>
    <t>-322.854162071407 200.596675260239 -240.544725297627</t>
  </si>
  <si>
    <t>-587.669175974078 93.6505434352132 -108.228528769279</t>
  </si>
  <si>
    <t>-584.643327158346 120.098993046368 294.445034844374</t>
  </si>
  <si>
    <t>-634.783788249791 167.543954106622 737.206977297045</t>
  </si>
  <si>
    <t>-489.764558174921 155.168296313653 799.68545048666</t>
  </si>
  <si>
    <t>-529.477877310212 -82.4736925173693 305.193981784285</t>
  </si>
  <si>
    <t>-548.789608508627 -60.6307549375913 751.95270694819</t>
  </si>
  <si>
    <t>-441.086356979922 -151.269912082351 824.560119452205</t>
  </si>
  <si>
    <t>9763-20170724T104957.611686500.bin</t>
  </si>
  <si>
    <t>-587.560270281478 121.757882512966 -556.799131435792</t>
  </si>
  <si>
    <t>-560.469433436186 180.932070183885 -269.822332794032</t>
  </si>
  <si>
    <t>-322.275821766158 202.086087379784 -240.373792460313</t>
  </si>
  <si>
    <t>-586.824974558364 94.173123250378 -108.272739484885</t>
  </si>
  <si>
    <t>-584.311473666936 120.303075326999 294.425158070469</t>
  </si>
  <si>
    <t>-634.803234210804 167.673857615628 737.147694225895</t>
  </si>
  <si>
    <t>-489.783363104729 154.997315077141 799.564496103673</t>
  </si>
  <si>
    <t>-529.370374552051 -82.4035123486387 305.219546132957</t>
  </si>
  <si>
    <t>-548.804912554295 -60.4747132999423 751.996097955187</t>
  </si>
  <si>
    <t>-441.678370255031 -151.797947293361 824.599885607923</t>
  </si>
  <si>
    <t>9763-20170724T104957.645781500.bin</t>
  </si>
  <si>
    <t>-587.562729303625 121.952457227238 -556.854745052867</t>
  </si>
  <si>
    <t>-560.329873988852 181.238749156422 -269.914602535547</t>
  </si>
  <si>
    <t>-322.203437133763 202.595831862296 -240.072438725964</t>
  </si>
  <si>
    <t>-586.564409443459 94.3076664916446 -108.274804465538</t>
  </si>
  <si>
    <t>-584.193842576646 120.302144928321 294.432677671695</t>
  </si>
  <si>
    <t>-634.7740837349 167.569770035488 737.137914886299</t>
  </si>
  <si>
    <t>-489.715968149842 155.111745679343 799.509681012231</t>
  </si>
  <si>
    <t>-529.129567259021 -82.4623965805188 305.216662291922</t>
  </si>
  <si>
    <t>-548.817234153426 -60.3744957191964 752.006949173426</t>
  </si>
  <si>
    <t>-441.84634861448 -151.893682741601 824.593113655389</t>
  </si>
  <si>
    <t>9763-20170724T104957.710956400.bin</t>
  </si>
  <si>
    <t>-587.358348571431 122.062219410357 -556.865177065294</t>
  </si>
  <si>
    <t>-559.556654984149 181.482251609805 -270.007067381359</t>
  </si>
  <si>
    <t>-321.593585569923 203.607231508438 -239.431047748627</t>
  </si>
  <si>
    <t>-586.008919309041 94.4603570803743 -108.244854468798</t>
  </si>
  <si>
    <t>-583.686364325814 120.285202814331 294.473883492852</t>
  </si>
  <si>
    <t>-634.742544450054 167.542033594998 737.110778077327</t>
  </si>
  <si>
    <t>-489.66466945558 155.047652006044 799.429546698705</t>
  </si>
  <si>
    <t>-528.486885760747 -82.4025477686498 305.219868582583</t>
  </si>
  <si>
    <t>-548.807428452415 -60.1693154700374 751.997275476787</t>
  </si>
  <si>
    <t>-442.217696120616 -152.143373514968 824.569303192121</t>
  </si>
  <si>
    <t>9763-20170724T104957.744044200.bin</t>
  </si>
  <si>
    <t>-587.268074625816 122.047633698965 -556.8825149493</t>
  </si>
  <si>
    <t>-558.957845963493 181.648916503749 -270.111966389049</t>
  </si>
  <si>
    <t>-321.149210018128 204.317607286953 -238.741948704302</t>
  </si>
  <si>
    <t>-585.705503302854 94.5672481089853 -108.243526464328</t>
  </si>
  <si>
    <t>-583.456606361148 120.342520729216 294.478690028123</t>
  </si>
  <si>
    <t>-634.730124146976 167.57522872771 737.087197471584</t>
  </si>
  <si>
    <t>-489.643597076848 155.08865803658 799.387172640021</t>
  </si>
  <si>
    <t>-528.194846433634 -82.2870234981713 305.225720791086</t>
  </si>
  <si>
    <t>-548.776372755408 -60.0398778368817 751.971152391714</t>
  </si>
  <si>
    <t>-442.254494373457 -152.088474026241 824.548155365011</t>
  </si>
  <si>
    <t>9763-20170724T104957.811238300.bin</t>
  </si>
  <si>
    <t>-572.725792551068 0.0906181264974748 -101.508816342957</t>
  </si>
  <si>
    <t>-587.336848306662 122.239139291429 -556.948198921952</t>
  </si>
  <si>
    <t>-558.382930655619 182.461323252071 -270.371447539411</t>
  </si>
  <si>
    <t>-320.833380007427 205.837465976999 -237.590024349182</t>
  </si>
  <si>
    <t>-585.444089358183 94.924998651853 -108.266037279933</t>
  </si>
  <si>
    <t>-583.418989047177 120.691142882601 294.458051917297</t>
  </si>
  <si>
    <t>-634.704195779357 167.638215370302 737.053918357209</t>
  </si>
  <si>
    <t>-489.617898181965 155.000359824371 799.323872741257</t>
  </si>
  <si>
    <t>-527.757898379404 -82.0025354368454 305.193366725145</t>
  </si>
  <si>
    <t>-548.823405146274 -60.0356432108872 751.927210507085</t>
  </si>
  <si>
    <t>-442.013050181874 -151.749060928021 824.504734391311</t>
  </si>
  <si>
    <t>9763-20170724T104957.845328600.bin</t>
  </si>
  <si>
    <t>-572.700047021966 0.522282665591547 -101.534304672773</t>
  </si>
  <si>
    <t>-587.761885306296 122.664085408231 -556.994548309838</t>
  </si>
  <si>
    <t>-559.185863940049 183.28195125999 -270.463490769255</t>
  </si>
  <si>
    <t>-321.640860474172 206.184334416544 -237.316506536431</t>
  </si>
  <si>
    <t>-585.732466050845 95.3875393120261 -108.285212951796</t>
  </si>
  <si>
    <t>-583.585782463164 120.94054864362 294.451804671055</t>
  </si>
  <si>
    <t>-634.722724130659 167.729130696153 737.091696309528</t>
  </si>
  <si>
    <t>-489.630003329121 154.917646504249 799.311378293093</t>
  </si>
  <si>
    <t>-527.45636048022 -81.5813706481708 305.142431025772</t>
  </si>
  <si>
    <t>-548.717127272947 -59.7968902882924 751.880242792753</t>
  </si>
  <si>
    <t>-442.427874342474 -152.065224473115 824.519612938118</t>
  </si>
  <si>
    <t>9763-20170724T104957.909506000.bin</t>
  </si>
  <si>
    <t>-573.080104812886 1.68551346488562 -101.540074683165</t>
  </si>
  <si>
    <t>-589.809860187022 123.957286523226 -556.588746492531</t>
  </si>
  <si>
    <t>-563.325749422899 185.587821603681 -270.07248155828</t>
  </si>
  <si>
    <t>-325.698982606406 207.098109125827 -236.580975540714</t>
  </si>
  <si>
    <t>-587.051384456297 96.1754388648408 -108.245593108045</t>
  </si>
  <si>
    <t>-584.089340528621 121.297479396328 294.513346850646</t>
  </si>
  <si>
    <t>-634.755267085963 167.53847875171 737.210207431183</t>
  </si>
  <si>
    <t>-489.602433095715 154.551926580447 799.253128399295</t>
  </si>
  <si>
    <t>-525.738029785476 -81.2843660118688 305.052534237786</t>
  </si>
  <si>
    <t>-548.441803829913 -59.2847175844677 751.754837782208</t>
  </si>
  <si>
    <t>-442.986289436815 -152.398380644276 824.530118697673</t>
  </si>
  <si>
    <t>9763-20170724T104957.950618000.bin</t>
  </si>
  <si>
    <t>-573.170395696554 1.94106263018148 -101.534544443132</t>
  </si>
  <si>
    <t>-590.822099512068 124.436815429248 -556.133783208347</t>
  </si>
  <si>
    <t>-565.85626551798 186.223608975841 -269.51500954788</t>
  </si>
  <si>
    <t>-328.142335783592 207.428494540913 -236.449904449545</t>
  </si>
  <si>
    <t>-587.64614534188 96.3333982257211 -108.205330223202</t>
  </si>
  <si>
    <t>-584.399001138162 121.39983053165 294.554901818311</t>
  </si>
  <si>
    <t>-634.771582154307 167.41170309297 737.239652618236</t>
  </si>
  <si>
    <t>-489.602155646432 154.240885058038 799.204409309133</t>
  </si>
  <si>
    <t>-525.25741033897 -81.0204590718286 305.011642474426</t>
  </si>
  <si>
    <t>-548.318060277065 -59.0010764755255 751.712433374766</t>
  </si>
  <si>
    <t>-443.357317775745 -152.646976875759 824.520283013395</t>
  </si>
  <si>
    <t>9763-20170724T104957.976685600.bin</t>
  </si>
  <si>
    <t>-573.254262827592 1.84476053197045 -101.571048927267</t>
  </si>
  <si>
    <t>-591.610566043632 124.587304342098 -555.831699500267</t>
  </si>
  <si>
    <t>-569.225701120587 185.47337171632 -268.8072725238</t>
  </si>
  <si>
    <t>-331.616285131146 207.653846966864 -235.630620463705</t>
  </si>
  <si>
    <t>-588.178546061979 96.376295186788 -108.2066510205</t>
  </si>
  <si>
    <t>-584.732387906847 121.319926699063 294.559521492321</t>
  </si>
  <si>
    <t>-634.771602612051 167.320144697929 737.279130820047</t>
  </si>
  <si>
    <t>-489.609740515638 153.879206704863 799.203969761395</t>
  </si>
  <si>
    <t>-525.172888143729 -80.8013629419695 304.991183414048</t>
  </si>
  <si>
    <t>-548.429348435346 -59.1722952608666 751.685359531475</t>
  </si>
  <si>
    <t>-443.219317776597 -152.547171352888 824.481440648625</t>
  </si>
  <si>
    <t>9763-20170724T104958.042886000.bin</t>
  </si>
  <si>
    <t>-573.234506290672 1.5739262862221 -101.621758575259</t>
  </si>
  <si>
    <t>-593.315930894975 125.405937721287 -555.317054125166</t>
  </si>
  <si>
    <t>-580.490852428177 181.835996104983 -266.79953425222</t>
  </si>
  <si>
    <t>-343.799271415236 208.318825607706 -230.37691172166</t>
  </si>
  <si>
    <t>-588.486257831088 96.4169072039088 -108.211002161134</t>
  </si>
  <si>
    <t>-585.171547264221 121.370324207277 294.555736954985</t>
  </si>
  <si>
    <t>-634.708707395382 167.417843495293 737.391292159374</t>
  </si>
  <si>
    <t>-489.531632636558 154.264026878978 799.341918995469</t>
  </si>
  <si>
    <t>-524.9961181898 -80.6837061861359 304.922387785804</t>
  </si>
  <si>
    <t>-548.566368530538 -59.3010916818694 751.652070689681</t>
  </si>
  <si>
    <t>-442.994237151673 -152.297389341978 824.408600088403</t>
  </si>
  <si>
    <t>9763-20170724T104958.112090300.bin</t>
  </si>
  <si>
    <t>-573.26405036362 2.02060894071542 -101.563270382919</t>
  </si>
  <si>
    <t>-594.532740846867 127.400386924692 -554.599056945363</t>
  </si>
  <si>
    <t>-595.217265252644 179.573274167406 -264.99801057557</t>
  </si>
  <si>
    <t>-360.562332307353 208.545633418908 -218.645842218574</t>
  </si>
  <si>
    <t>-588.545419203311 96.8998964632654 -108.066472036523</t>
  </si>
  <si>
    <t>-585.398962903723 121.754564218943 294.707640629222</t>
  </si>
  <si>
    <t>-634.650466643882 167.530101607972 737.564183292619</t>
  </si>
  <si>
    <t>-489.449320980786 154.857557004462 799.558866359638</t>
  </si>
  <si>
    <t>-524.813496267705 -80.630794773909 304.850325367949</t>
  </si>
  <si>
    <t>-548.576651107223 -59.2065737563212 751.611184989188</t>
  </si>
  <si>
    <t>-442.945209730457 -152.147912367943 824.351658346088</t>
  </si>
  <si>
    <t>9763-20170724T104958.146178500.bin</t>
  </si>
  <si>
    <t>-573.212236993162 2.2259791515371 -101.516090338318</t>
  </si>
  <si>
    <t>-594.302083297979 128.567637987828 -554.175477621569</t>
  </si>
  <si>
    <t>-602.267760633754 178.941516175419 -264.364673274435</t>
  </si>
  <si>
    <t>-368.552169633312 207.535864587147 -213.273810152273</t>
  </si>
  <si>
    <t>-588.531186930493 97.06608073592 -107.957947609621</t>
  </si>
  <si>
    <t>-585.388307132185 121.883495446547 294.818543449728</t>
  </si>
  <si>
    <t>-634.638197585529 167.569026139504 737.661732904726</t>
  </si>
  <si>
    <t>-489.437205282144 154.919959909432 799.661567777113</t>
  </si>
  <si>
    <t>-524.723527791758 -80.5680141778373 304.846687573293</t>
  </si>
  <si>
    <t>-548.604020931539 -59.1960224128272 751.604881269463</t>
  </si>
  <si>
    <t>-442.946281724123 -152.120333193714 824.328945927549</t>
  </si>
  <si>
    <t>9763-20170724T104958.212385600.bin</t>
  </si>
  <si>
    <t>-573.261463580821 2.25713758646452 -101.443227273401</t>
  </si>
  <si>
    <t>-594.244252413809 130.600917729342 -553.150719210905</t>
  </si>
  <si>
    <t>-612.003479494798 175.291182850556 -262.843070865649</t>
  </si>
  <si>
    <t>-378.495336202522 203.876172875812 -210.807478877077</t>
  </si>
  <si>
    <t>-588.802765041603 97.1429592118673 -107.764191774635</t>
  </si>
  <si>
    <t>-585.273729899663 121.907832184584 295.012306835201</t>
  </si>
  <si>
    <t>-634.62328488783 167.545706435907 737.838439786703</t>
  </si>
  <si>
    <t>-489.445485236975 154.658815494833 799.843817990556</t>
  </si>
  <si>
    <t>-524.564269701408 -80.5271626394022 304.856436609262</t>
  </si>
  <si>
    <t>-548.688535955287 -59.2748021550156 751.59579842388</t>
  </si>
  <si>
    <t>-442.909268122781 -152.074344266795 824.302611018414</t>
  </si>
  <si>
    <t>9763-20170724T104958.247472400.bin</t>
  </si>
  <si>
    <t>-573.254674913462 2.30787401797033 -101.403894567433</t>
  </si>
  <si>
    <t>-594.462472198195 131.666686491618 -552.495527108533</t>
  </si>
  <si>
    <t>-613.63774536784 173.58048848921 -261.863888489528</t>
  </si>
  <si>
    <t>-379.47225955503 202.423593101093 -213.023036291033</t>
  </si>
  <si>
    <t>-588.926840006641 97.1824060108997 -107.6594089092</t>
  </si>
  <si>
    <t>-585.211916480097 122.030894060473 295.110263607265</t>
  </si>
  <si>
    <t>-634.611748581522 167.597526243131 737.933653666437</t>
  </si>
  <si>
    <t>-489.395022507903 155.130359301167 799.933324354655</t>
  </si>
  <si>
    <t>-524.410892955885 -80.3987302964774 304.838839432246</t>
  </si>
  <si>
    <t>-548.606744383421 -59.0766739626708 751.579390633294</t>
  </si>
  <si>
    <t>-443.157247168643 -152.232342041019 824.309948032511</t>
  </si>
  <si>
    <t>9763-20170724T104958.310658600.bin</t>
  </si>
  <si>
    <t>-573.197091276875 2.59604854347731 -101.350568176888</t>
  </si>
  <si>
    <t>-594.25173166958 133.211306723221 -551.674456257606</t>
  </si>
  <si>
    <t>-612.422706529524 172.602319519297 -260.625832476464</t>
  </si>
  <si>
    <t>-376.521633584528 200.163657813893 -220.104937791707</t>
  </si>
  <si>
    <t>-588.982424876555 97.4833005784999 -107.562118872284</t>
  </si>
  <si>
    <t>-585.522847485421 122.347047754788 295.208894873945</t>
  </si>
  <si>
    <t>-634.584209582614 167.623822390074 738.091007126347</t>
  </si>
  <si>
    <t>-489.404077165529 154.935156156609 800.131589771275</t>
  </si>
  <si>
    <t>-524.696674548088 -80.3102360309313 304.834874527534</t>
  </si>
  <si>
    <t>-548.844862413581 -59.5074194915801 751.594515263822</t>
  </si>
  <si>
    <t>-442.510192818304 -151.684821929076 824.282557310553</t>
  </si>
  <si>
    <t>9763-20170724T104958.345757000.bin</t>
  </si>
  <si>
    <t>-572.989954468714 2.89216333582817 -101.362652333449</t>
  </si>
  <si>
    <t>-593.391787544888 133.947953575569 -551.599695947955</t>
  </si>
  <si>
    <t>-610.595465583566 172.882105666299 -260.430644801082</t>
  </si>
  <si>
    <t>-374.13697321503 199.661799270312 -222.733386101132</t>
  </si>
  <si>
    <t>-588.626562326725 97.6863515556302 -107.550125945808</t>
  </si>
  <si>
    <t>-585.683915338894 122.610635590202 295.221283788577</t>
  </si>
  <si>
    <t>-634.558168367576 167.635113825948 738.158334617737</t>
  </si>
  <si>
    <t>-489.410165598831 154.801568165103 800.243957651789</t>
  </si>
  <si>
    <t>-524.759670935263 -79.9922000057902 304.8205147729</t>
  </si>
  <si>
    <t>-548.72918966575 -59.2627049889941 751.583873171767</t>
  </si>
  <si>
    <t>-442.779913658771 -151.857289634309 824.304416662001</t>
  </si>
  <si>
    <t>9763-20170724T104958.414942700.bin</t>
  </si>
  <si>
    <t>-572.536484433456 3.17357206734232 -101.349140795318</t>
  </si>
  <si>
    <t>-590.962208542193 134.679651204358 -551.856524257514</t>
  </si>
  <si>
    <t>-605.565217330951 174.419375788165 -260.654327701757</t>
  </si>
  <si>
    <t>-368.099058518197 198.128333871491 -227.51047224406</t>
  </si>
  <si>
    <t>-587.474689912415 98.2044460190789 -107.549018980838</t>
  </si>
  <si>
    <t>-585.796971371318 122.905140948932 295.243397311485</t>
  </si>
  <si>
    <t>-634.490789304585 167.69816592165 738.236981994613</t>
  </si>
  <si>
    <t>-489.380854092514 154.928617035612 800.424898165993</t>
  </si>
  <si>
    <t>-524.959317708135 -79.6147814930735 304.801660669836</t>
  </si>
  <si>
    <t>-548.679229837401 -59.093748245054 751.581790460476</t>
  </si>
  <si>
    <t>-442.74354253865 -151.69856458219 824.308972883768</t>
  </si>
  <si>
    <t>9763-20170724T104958.442013800.bin</t>
  </si>
  <si>
    <t>-572.351114352119 3.30344982530755 -101.327327039815</t>
  </si>
  <si>
    <t>-589.28538590933 134.792901311196 -552.11422640538</t>
  </si>
  <si>
    <t>-603.616989262229 174.535546823756 -260.898981220407</t>
  </si>
  <si>
    <t>-365.841708398394 197.151236916279 -229.239500620237</t>
  </si>
  <si>
    <t>-586.852567320178 98.4773162745228 -107.524575500561</t>
  </si>
  <si>
    <t>-585.720011159528 123.019429857438 295.279459680457</t>
  </si>
  <si>
    <t>-634.474772017091 167.762085635389 738.284971437427</t>
  </si>
  <si>
    <t>-489.383034511232 154.972727965629 800.511150130223</t>
  </si>
  <si>
    <t>-525.334741095682 -79.4989390730573 304.790874674841</t>
  </si>
  <si>
    <t>-548.769441122041 -59.22349902525 751.590439247635</t>
  </si>
  <si>
    <t>-442.537500762732 -151.504696888031 824.296943171925</t>
  </si>
  <si>
    <t>9763-20170724T104958.510214200.bin</t>
  </si>
  <si>
    <t>-572.377852283438 4.68060856303191 -101.327512045562</t>
  </si>
  <si>
    <t>-586.379767678201 135.812858407066 -552.549651465118</t>
  </si>
  <si>
    <t>-601.627553456087 176.092771297735 -261.454917179159</t>
  </si>
  <si>
    <t>-363.698346906905 196.649284058483 -229.548458424722</t>
  </si>
  <si>
    <t>-586.146587058065 99.7841247009649 -107.465013087113</t>
  </si>
  <si>
    <t>-585.493526212864 123.771531492175 295.373472625336</t>
  </si>
  <si>
    <t>-634.484116919756 167.998214580838 738.409305206337</t>
  </si>
  <si>
    <t>-489.463584562611 154.691464817909 800.693033891862</t>
  </si>
  <si>
    <t>-525.69068079964 -79.1905222634243 304.771346723973</t>
  </si>
  <si>
    <t>-548.796058807933 -59.2084710556844 751.5933239117</t>
  </si>
  <si>
    <t>-442.847474042075 -151.795695811137 824.324421826674</t>
  </si>
  <si>
    <t>9763-20170724T104958.545307700.bin</t>
  </si>
  <si>
    <t>-572.338089076453 5.53048799091835 -101.330955185477</t>
  </si>
  <si>
    <t>-584.895388465668 136.530220963198 -552.676945627564</t>
  </si>
  <si>
    <t>-600.572768535137 177.265845604858 -261.66837269545</t>
  </si>
  <si>
    <t>-362.488424755373 196.217466684451 -229.926211531847</t>
  </si>
  <si>
    <t>-585.741806028058 100.470801405879 -107.437456748988</t>
  </si>
  <si>
    <t>-585.281090666387 124.169469056983 295.418403095306</t>
  </si>
  <si>
    <t>-634.454856422272 167.980465190393 738.454724916456</t>
  </si>
  <si>
    <t>-489.44767926662 154.661244619858 800.766837647689</t>
  </si>
  <si>
    <t>-525.798804361385 -78.9671802445444 304.75922606871</t>
  </si>
  <si>
    <t>-548.798473465232 -59.1866307884486 751.602000522005</t>
  </si>
  <si>
    <t>-442.893936597685 -151.820983791868 824.337275258083</t>
  </si>
  <si>
    <t>9763-20170724T104958.616049800.bin</t>
  </si>
  <si>
    <t>-571.902708071653 6.63809251311977 -101.331116138486</t>
  </si>
  <si>
    <t>-587.470251952278 0.0123247110989269 -561.939729250835</t>
  </si>
  <si>
    <t>-581.919807037486 137.086279307757 -553.017841590296</t>
  </si>
  <si>
    <t>-597.814768326734 178.097999222467 -262.0599663748</t>
  </si>
  <si>
    <t>-359.289817348137 194.71437910375 -232.385650437748</t>
  </si>
  <si>
    <t>-584.874680708085 101.478212113539 -107.419773767611</t>
  </si>
  <si>
    <t>-584.913179092998 124.835469647718 295.45630517436</t>
  </si>
  <si>
    <t>-634.40156956948 167.98557100058 738.526024084002</t>
  </si>
  <si>
    <t>-489.404356262521 154.804315762036 800.890709365943</t>
  </si>
  <si>
    <t>-525.791605072549 -78.3904426603051 304.768231671999</t>
  </si>
  <si>
    <t>-548.804091051137 -59.1429814389908 751.63298233832</t>
  </si>
  <si>
    <t>-442.924674763613 -151.807256537769 824.366659967782</t>
  </si>
  <si>
    <t>9763-20170724T104958.645127000.bin</t>
  </si>
  <si>
    <t>-571.61812989839 7.24850932906475 -101.315641844444</t>
  </si>
  <si>
    <t>-586.39065007396 0.251596257513484 -561.925258313241</t>
  </si>
  <si>
    <t>-580.655128567852 137.317762387441 -553.192186205499</t>
  </si>
  <si>
    <t>-596.423408180152 178.496957190449 -262.250767768807</t>
  </si>
  <si>
    <t>-357.709282740539 194.253062158212 -233.646785176651</t>
  </si>
  <si>
    <t>-584.59194184079 102.156486019936 -107.442179549176</t>
  </si>
  <si>
    <t>-584.841422856879 125.241553602302 295.449443670882</t>
  </si>
  <si>
    <t>-634.399174050911 168.098179086443 738.554469743475</t>
  </si>
  <si>
    <t>-489.415243239827 154.859753260391 800.938104898557</t>
  </si>
  <si>
    <t>-525.466856156125 -78.2762985751099 304.802786822499</t>
  </si>
  <si>
    <t>-548.771641772963 -59.0745006893669 751.639714480595</t>
  </si>
  <si>
    <t>-442.920291392363 -151.761519271325 824.385328692199</t>
  </si>
  <si>
    <t>9763-20170724T104958.711294200.bin</t>
  </si>
  <si>
    <t>-570.999561991425 8.53175270139741 -101.311279979632</t>
  </si>
  <si>
    <t>-584.577516998991 0.951874968801349 -561.938631570828</t>
  </si>
  <si>
    <t>-578.860557889626 138.044051262596 -553.514419782223</t>
  </si>
  <si>
    <t>-594.071071959472 180.273819743442 -262.694012377941</t>
  </si>
  <si>
    <t>-355.085945482032 194.880582530235 -235.794562139787</t>
  </si>
  <si>
    <t>-583.939972331177 103.45298885067 -107.471319975461</t>
  </si>
  <si>
    <t>-584.762743869576 125.953685305697 295.452646327063</t>
  </si>
  <si>
    <t>-634.321902349608 168.028736781468 738.617984206779</t>
  </si>
  <si>
    <t>-489.345955705047 154.922007135303 801.047777271011</t>
  </si>
  <si>
    <t>-524.911358164959 -77.8907419383563 304.816727462697</t>
  </si>
  <si>
    <t>-548.723384973209 -58.9337011181713 751.642845904688</t>
  </si>
  <si>
    <t>-442.946794017978 -151.693142607008 824.404783607232</t>
  </si>
  <si>
    <t>9763-20170724T104958.744382800.bin</t>
  </si>
  <si>
    <t>-570.538531399193 8.97165717778898 -101.32157302357</t>
  </si>
  <si>
    <t>-591.721138486519 0.0581869220279714 -214.847304301019</t>
  </si>
  <si>
    <t>-583.667360073982 1.08724159823691 -561.956267402898</t>
  </si>
  <si>
    <t>-578.014989711169 138.191315025549 -553.668031687072</t>
  </si>
  <si>
    <t>-592.726983009436 181.195030126426 -262.935253666171</t>
  </si>
  <si>
    <t>-353.648699074174 195.279885089092 -236.590305888626</t>
  </si>
  <si>
    <t>-583.477260335333 103.84586277324 -107.472032061667</t>
  </si>
  <si>
    <t>-584.6192856704 126.130290591332 295.46311556491</t>
  </si>
  <si>
    <t>-634.281217451106 167.94557103391 738.656155905014</t>
  </si>
  <si>
    <t>-489.289043951577 155.0604461532 801.094210024557</t>
  </si>
  <si>
    <t>-524.496239125573 -77.6353973288087 304.82690048203</t>
  </si>
  <si>
    <t>-548.654975952973 -58.7786499666058 751.639892911222</t>
  </si>
  <si>
    <t>-443.237283380549 -151.928138414426 824.424582498192</t>
  </si>
  <si>
    <t>9763-20170724T104958.812575800.bin</t>
  </si>
  <si>
    <t>-569.347496032006 9.11799292311548 -101.293943160163</t>
  </si>
  <si>
    <t>-590.412782371126 0.202567015453724 -214.841198079399</t>
  </si>
  <si>
    <t>-581.719984272085 0.712694821036621 -561.950291833179</t>
  </si>
  <si>
    <t>-576.211082423746 137.831556565418 -553.877207892123</t>
  </si>
  <si>
    <t>-589.476342819543 181.922485824368 -263.238018059091</t>
  </si>
  <si>
    <t>-350.129972896062 195.216106738526 -239.000155042643</t>
  </si>
  <si>
    <t>-582.366227746923 104.005448444135 -107.420365188171</t>
  </si>
  <si>
    <t>-584.070364472651 126.081023657507 295.524311002787</t>
  </si>
  <si>
    <t>-634.199124359493 167.656931443728 738.728312240464</t>
  </si>
  <si>
    <t>-489.120960310572 155.60060727733 801.132575385118</t>
  </si>
  <si>
    <t>-523.654090297076 -77.5899130584178 304.897101708017</t>
  </si>
  <si>
    <t>-548.709718651679 -58.8064744931512 751.655184219147</t>
  </si>
  <si>
    <t>-443.256766625437 -151.923453568964 824.429955988634</t>
  </si>
  <si>
    <t>9763-20170724T104958.842654700.bin</t>
  </si>
  <si>
    <t>-568.766084197736 9.17322085172918 -101.27669266773</t>
  </si>
  <si>
    <t>-589.768322212529 0.248699940738106 -214.834908937827</t>
  </si>
  <si>
    <t>-580.857765950522 0.553185369979929 -561.945247524819</t>
  </si>
  <si>
    <t>-575.449636109317 137.681300113813 -553.964902637037</t>
  </si>
  <si>
    <t>-587.831863571424 182.022773924394 -263.324686169096</t>
  </si>
  <si>
    <t>-348.381802728867 195.191797466371 -240.063998677107</t>
  </si>
  <si>
    <t>-581.828931990661 104.185771880606 -107.398090335968</t>
  </si>
  <si>
    <t>-583.823056410547 126.1345238862 295.552239546538</t>
  </si>
  <si>
    <t>-634.210854407767 167.753963179487 738.737082391674</t>
  </si>
  <si>
    <t>-489.159434416381 155.39763859289 801.14467446612</t>
  </si>
  <si>
    <t>-523.413120844443 -77.6281125280232 304.936715007981</t>
  </si>
  <si>
    <t>-548.786646207835 -58.9211083941859 751.655233663603</t>
  </si>
  <si>
    <t>-443.125277310434 -151.809415678613 824.420269430946</t>
  </si>
  <si>
    <t>9763-20170724T104958.907838500.bin</t>
  </si>
  <si>
    <t>-567.972264512788 9.6046593499691 -101.329013894818</t>
  </si>
  <si>
    <t>-588.828305952241 0.669017417918212 -214.91332666874</t>
  </si>
  <si>
    <t>-579.404542027878 0.701517364306483 -562.019196868635</t>
  </si>
  <si>
    <t>-574.16949480836 137.842817636827 -554.189395635037</t>
  </si>
  <si>
    <t>-584.99613453899 182.964305573672 -263.607182299462</t>
  </si>
  <si>
    <t>-345.463793961605 196.085325545487 -241.180618228232</t>
  </si>
  <si>
    <t>-581.267622928833 104.765400504958 -107.436802217015</t>
  </si>
  <si>
    <t>-583.547507843542 126.230647765042 295.53800424896</t>
  </si>
  <si>
    <t>-634.165626627758 167.661098185781 738.729941829818</t>
  </si>
  <si>
    <t>-489.087374871795 155.596607676434 801.132156189426</t>
  </si>
  <si>
    <t>-522.913530377137 -77.4381889037475 304.947366174171</t>
  </si>
  <si>
    <t>-548.781758224458 -58.8466965356627 751.630161704961</t>
  </si>
  <si>
    <t>-443.020465134799 -151.621205420562 824.395223951073</t>
  </si>
  <si>
    <t>9763-20170724T104958.942935200.bin</t>
  </si>
  <si>
    <t>-567.669154410041 9.8215148992997 -101.355284634348</t>
  </si>
  <si>
    <t>-588.465406416638 0.885818083211689 -214.950604484063</t>
  </si>
  <si>
    <t>-578.752153431446 0.83406603987828 -562.049871633471</t>
  </si>
  <si>
    <t>-573.503390634906 137.985114915455 -554.300694119003</t>
  </si>
  <si>
    <t>-583.807982203334 183.406847367099 -263.746251332612</t>
  </si>
  <si>
    <t>-344.191583985034 196.242585041736 -242.065241483516</t>
  </si>
  <si>
    <t>-580.968174386313 105.00113004129 -107.468415195739</t>
  </si>
  <si>
    <t>-583.466023656625 126.354016160936 295.511130135322</t>
  </si>
  <si>
    <t>-634.163357599979 167.719831270732 738.718532066282</t>
  </si>
  <si>
    <t>-489.102958943598 155.492954719979 801.130824974879</t>
  </si>
  <si>
    <t>-522.775457380934 -77.3529291866994 304.937283473374</t>
  </si>
  <si>
    <t>-548.792310642277 -58.8231661747257 751.617340799911</t>
  </si>
  <si>
    <t>-443.149845253678 -151.725387953311 824.391839740566</t>
  </si>
  <si>
    <t>9763-20170724T104959.008617600.bin</t>
  </si>
  <si>
    <t>-567.045195658746 10.2470061612851 -101.387841024285</t>
  </si>
  <si>
    <t>-587.724870593278 1.32033798666248 -215.005171043057</t>
  </si>
  <si>
    <t>-577.444355170655 1.01886674799562 -562.092627689732</t>
  </si>
  <si>
    <t>-572.086711808308 138.173705549045 -554.484067969502</t>
  </si>
  <si>
    <t>-581.414095294221 184.16493871701 -263.986226706758</t>
  </si>
  <si>
    <t>-341.674839165722 196.435157976161 -243.360879608941</t>
  </si>
  <si>
    <t>-580.264531695009 105.357930834907 -107.520528409209</t>
  </si>
  <si>
    <t>-583.221124803257 126.557971342451 295.463932856844</t>
  </si>
  <si>
    <t>-634.099911612 167.60429903511 738.681610614515</t>
  </si>
  <si>
    <t>-489.03568820261 155.50796259987 801.110380270398</t>
  </si>
  <si>
    <t>-522.461024838022 -77.1941214155829 304.934332235573</t>
  </si>
  <si>
    <t>-548.730150415073 -58.6081333828945 751.586277288249</t>
  </si>
  <si>
    <t>-443.239151949794 -151.671480457816 824.374799802358</t>
  </si>
  <si>
    <t>9763-20170724T104959.045714000.bin</t>
  </si>
  <si>
    <t>-566.758670854339 10.4686605525035 -101.40301962186</t>
  </si>
  <si>
    <t>-587.386619219215 1.56042647883282 -215.031159793437</t>
  </si>
  <si>
    <t>-576.818669643497 1.16767529859453 -562.111770018241</t>
  </si>
  <si>
    <t>-571.399000171553 138.318446548922 -554.557571882213</t>
  </si>
  <si>
    <t>-580.101777329287 184.569836513611 -264.081675675639</t>
  </si>
  <si>
    <t>-340.328095114934 196.655132141092 -243.748817702521</t>
  </si>
  <si>
    <t>-579.96618202107 105.530580999987 -107.525149403036</t>
  </si>
  <si>
    <t>-583.058396285478 126.652407288694 295.462416930544</t>
  </si>
  <si>
    <t>-634.079872765908 167.589401620159 738.668521427853</t>
  </si>
  <si>
    <t>-489.01532309457 155.513376624472 801.100636360944</t>
  </si>
  <si>
    <t>-522.259227863412 -77.1367305902543 304.924658100655</t>
  </si>
  <si>
    <t>-548.734459040044 -58.5682550748816 751.574824563966</t>
  </si>
  <si>
    <t>-443.455235458687 -151.859803812991 824.377837551925</t>
  </si>
  <si>
    <t>9763-20170724T104959.116951500.bin</t>
  </si>
  <si>
    <t>-566.290099835775 10.5597699247971 -101.40781036492</t>
  </si>
  <si>
    <t>-586.835089954251 1.71579162442049 -215.055934935719</t>
  </si>
  <si>
    <t>-575.851004337688 1.22295182926541 -562.127138717669</t>
  </si>
  <si>
    <t>-570.158311398345 138.368550238565 -554.654930026496</t>
  </si>
  <si>
    <t>-577.699285158192 185.243376571911 -264.24633459769</t>
  </si>
  <si>
    <t>-337.863296273731 196.923513096521 -244.419656900903</t>
  </si>
  <si>
    <t>-579.338584193602 105.655412705867 -107.512617028842</t>
  </si>
  <si>
    <t>-582.7404251164 126.636165912027 295.479804383895</t>
  </si>
  <si>
    <t>-634.071464196266 167.616466760029 738.661511288105</t>
  </si>
  <si>
    <t>-488.994836954607 155.625795412741 801.081903488864</t>
  </si>
  <si>
    <t>-522.153607219048 -77.2403916469805 304.928385294949</t>
  </si>
  <si>
    <t>-548.84479558585 -58.6910917477376 751.569674411824</t>
  </si>
  <si>
    <t>-443.226843888739 -151.617473018318 824.348947235653</t>
  </si>
  <si>
    <t>9763-20170724T104959.147032500.bin</t>
  </si>
  <si>
    <t>-566.075498121934 10.6037156229841 -101.404591410527</t>
  </si>
  <si>
    <t>-586.601464835587 1.79189994978333 -215.058747660419</t>
  </si>
  <si>
    <t>-575.522590660478 1.26479198504398 -562.12827286859</t>
  </si>
  <si>
    <t>-569.647141165372 138.402278657469 -554.658220140974</t>
  </si>
  <si>
    <t>-576.507539689356 185.462908391006 -264.262791105666</t>
  </si>
  <si>
    <t>-336.63365483415 196.945738700146 -244.781570297906</t>
  </si>
  <si>
    <t>-579.070912022896 105.757283950923 -107.507596060121</t>
  </si>
  <si>
    <t>-582.583933528855 126.662396056718 295.487807767955</t>
  </si>
  <si>
    <t>-634.088590435578 167.742262662523 738.652471528514</t>
  </si>
  <si>
    <t>-489.043475045721 155.413024868182 801.080007815738</t>
  </si>
  <si>
    <t>-522.106562556904 -77.2204725821716 304.927538071651</t>
  </si>
  <si>
    <t>-548.815028388394 -58.5778260318179 751.561921227381</t>
  </si>
  <si>
    <t>-443.297878833842 -151.617503528394 824.342806800474</t>
  </si>
  <si>
    <t>9763-20170724T104959.212286800.bin</t>
  </si>
  <si>
    <t>-565.704318213399 10.3689170603259 -101.383727739282</t>
  </si>
  <si>
    <t>-586.193241715549 1.63966673112054 -215.050846284625</t>
  </si>
  <si>
    <t>-574.835073173653 1.08093106499359 -562.111886722766</t>
  </si>
  <si>
    <t>-568.46535752461 138.196099129001 -554.642920845265</t>
  </si>
  <si>
    <t>-574.053533160195 185.580346191543 -264.272966790256</t>
  </si>
  <si>
    <t>-334.106619505062 196.512833697391 -245.382116190781</t>
  </si>
  <si>
    <t>-578.398641142977 105.452731236355 -107.455413890483</t>
  </si>
  <si>
    <t>-582.156713803227 126.410062751045 295.535059725629</t>
  </si>
  <si>
    <t>-634.024507354348 167.527417160665 738.638997975732</t>
  </si>
  <si>
    <t>-488.946934714699 155.517706393882 801.053430334307</t>
  </si>
  <si>
    <t>-522.041092001464 -77.453014435463 304.940212995959</t>
  </si>
  <si>
    <t>-548.919628342039 -58.681941541199 751.55779359051</t>
  </si>
  <si>
    <t>-443.296666062708 -151.605497114993 824.33321991557</t>
  </si>
  <si>
    <t>9763-20170724T104959.246377500.bin</t>
  </si>
  <si>
    <t>-565.486161280126 10.366879135966 -101.36185527391</t>
  </si>
  <si>
    <t>-585.963522430045 1.68074637162249 -215.034340228496</t>
  </si>
  <si>
    <t>-574.40537798424 1.1554383555067 -562.08632336332</t>
  </si>
  <si>
    <t>-567.769351902003 138.25408911321 -554.62870343195</t>
  </si>
  <si>
    <t>-572.709490013974 185.768471359404 -264.268442388821</t>
  </si>
  <si>
    <t>-332.732700149084 196.470074811855 -245.627013978422</t>
  </si>
  <si>
    <t>-578.071307555195 105.451798640077 -107.431885159465</t>
  </si>
  <si>
    <t>-581.946319899733 126.36935816199 295.559552472446</t>
  </si>
  <si>
    <t>-634.02966050129 167.583840454241 738.636838445736</t>
  </si>
  <si>
    <t>-488.97657123463 155.279444974969 801.050916445318</t>
  </si>
  <si>
    <t>-521.961245098282 -77.4509473914354 304.954294576591</t>
  </si>
  <si>
    <t>-548.814412306262 -58.4182583064435 751.551521061916</t>
  </si>
  <si>
    <t>-443.523029744541 -151.704071384818 824.344364580302</t>
  </si>
  <si>
    <t>9763-20170724T104959.307551000.bin</t>
  </si>
  <si>
    <t>-565.171495104697 10.3747486508414 -101.306026236829</t>
  </si>
  <si>
    <t>-585.621543032265 1.76411881645436 -214.989311642164</t>
  </si>
  <si>
    <t>-573.757274020126 1.03753502027917 -562.034126739587</t>
  </si>
  <si>
    <t>-566.641032753693 138.124748279522 -554.620864807099</t>
  </si>
  <si>
    <t>-570.36899165598 185.777901830354 -264.265172974323</t>
  </si>
  <si>
    <t>-330.319959153997 196.18885146307 -246.406386606766</t>
  </si>
  <si>
    <t>-577.488018201768 105.455861412008 -107.363418033243</t>
  </si>
  <si>
    <t>-581.487981563318 126.303810870387 295.630419597501</t>
  </si>
  <si>
    <t>-634.043024434702 167.691494314282 738.637739511727</t>
  </si>
  <si>
    <t>-488.990947790071 155.275696031918 801.03195369603</t>
  </si>
  <si>
    <t>-521.978656065914 -77.6388338735667 304.993333863619</t>
  </si>
  <si>
    <t>-548.932581555437 -58.5273468105549 751.579801890911</t>
  </si>
  <si>
    <t>-443.580731253933 -151.762299672646 824.350221100234</t>
  </si>
  <si>
    <t>9763-20170724T104959.409497600.bin</t>
  </si>
  <si>
    <t>-565.003071189232 10.3863463607211 -101.278044877804</t>
  </si>
  <si>
    <t>-585.437865305272 1.79799631402943 -214.965644988627</t>
  </si>
  <si>
    <t>-573.525045904314 0.845627807669416 -562.014464248192</t>
  </si>
  <si>
    <t>-566.174347108658 137.923070555233 -554.692117330281</t>
  </si>
  <si>
    <t>-569.432484906598 185.681866535773 -264.348090307086</t>
  </si>
  <si>
    <t>-329.337478329103 195.843094220461 -246.968651513347</t>
  </si>
  <si>
    <t>-577.221050651007 105.434723141307 -107.340096864772</t>
  </si>
  <si>
    <t>-581.242134613678 126.261745515905 295.654623104959</t>
  </si>
  <si>
    <t>-634.039351858821 167.679031195361 738.630966381639</t>
  </si>
  <si>
    <t>-489.004631968526 155.017418319976 801.016118196973</t>
  </si>
  <si>
    <t>-521.974935754036 -77.6329997393623 305.017864217874</t>
  </si>
  <si>
    <t>-548.882432866982 -58.3777613903148 751.583523266518</t>
  </si>
  <si>
    <t>-443.667041446201 -151.763104224601 824.358098061668</t>
  </si>
  <si>
    <t>9763-20170724T104959.442585000.bin</t>
  </si>
  <si>
    <t>-564.411626205336 10.3833213072764 -101.253858189032</t>
  </si>
  <si>
    <t>-584.882672311626 1.80613302556912 -214.935882255283</t>
  </si>
  <si>
    <t>-565.483285726121 136.786129831212 -555.175157052672</t>
  </si>
  <si>
    <t>-567.137558382834 185.157989003779 -264.918878098343</t>
  </si>
  <si>
    <t>-327.011817874909 194.882514280662 -247.715323354207</t>
  </si>
  <si>
    <t>-576.385357070974 105.39080542284 -107.352159119723</t>
  </si>
  <si>
    <t>-580.474109552761 126.157436988017 295.644994545437</t>
  </si>
  <si>
    <t>-634.007013114705 167.670719285707 738.537555796794</t>
  </si>
  <si>
    <t>-488.972868677721 154.936256899554 800.909363309815</t>
  </si>
  <si>
    <t>-521.903969184332 -77.7637096662022 305.097382235228</t>
  </si>
  <si>
    <t>-548.952534647715 -58.3423419107667 751.623992282733</t>
  </si>
  <si>
    <t>-444.080945844044 -152.110678670606 824.40296412125</t>
  </si>
  <si>
    <t>9763-20170724T104959.511789000.bin</t>
  </si>
  <si>
    <t>-564.064266643783 10.2589136636534 -101.263997268134</t>
  </si>
  <si>
    <t>-584.646704271509 1.62621705494917 -214.921652606311</t>
  </si>
  <si>
    <t>-565.913104721698 135.492589691001 -555.708676084743</t>
  </si>
  <si>
    <t>-566.31751775495 184.975816229493 -265.635485739485</t>
  </si>
  <si>
    <t>-326.258726819517 194.134846350345 -247.229163211033</t>
  </si>
  <si>
    <t>-575.884456377543 105.234059695809 -107.40975944949</t>
  </si>
  <si>
    <t>-579.905815361202 125.996767181489 295.588250734738</t>
  </si>
  <si>
    <t>-633.967002876679 167.63611046748 738.422243963956</t>
  </si>
  <si>
    <t>-488.928443175078 154.960408192552 800.795727260548</t>
  </si>
  <si>
    <t>-521.765545228965 -77.8184979270507 305.14971965099</t>
  </si>
  <si>
    <t>-548.887318056072 -58.1131601320258 751.631543991701</t>
  </si>
  <si>
    <t>-444.175603100169 -152.051313022768 824.421492525892</t>
  </si>
  <si>
    <t>9763-20170724T104959.544877200.bin</t>
  </si>
  <si>
    <t>-563.933535942544 10.1596772711059 -101.279582671144</t>
  </si>
  <si>
    <t>-584.580725523543 1.50023912452821 -214.923570653588</t>
  </si>
  <si>
    <t>-566.234254417421 134.786518975689 -556.011206333486</t>
  </si>
  <si>
    <t>-566.074355641879 184.701306410594 -266.011766288378</t>
  </si>
  <si>
    <t>-326.055197806598 193.568443138391 -246.958170020357</t>
  </si>
  <si>
    <t>-575.680554315836 105.132401327947 -107.455394366842</t>
  </si>
  <si>
    <t>-579.58630955709 125.886975498918 295.544211949721</t>
  </si>
  <si>
    <t>-633.94710836531 167.603362995025 738.358355856467</t>
  </si>
  <si>
    <t>-488.91020146718 154.887438769652 800.727117207399</t>
  </si>
  <si>
    <t>-521.76697509006 -77.8538203137152 305.163033298916</t>
  </si>
  <si>
    <t>-548.932114295938 -58.1505491367743 751.638978004761</t>
  </si>
  <si>
    <t>-444.149097846625 -152.007698523696 824.430547580852</t>
  </si>
  <si>
    <t>9763-20170724T104959.613069100.bin</t>
  </si>
  <si>
    <t>-563.790144837958 10.205289330366 -101.323460581002</t>
  </si>
  <si>
    <t>-584.589214133107 1.48678018800251 -214.935041412919</t>
  </si>
  <si>
    <t>-567.291800334204 133.790881065944 -556.622065893981</t>
  </si>
  <si>
    <t>-565.93355323939 184.38334721516 -266.743232953119</t>
  </si>
  <si>
    <t>-326.016854628554 192.916527942459 -246.29579063289</t>
  </si>
  <si>
    <t>-575.387402273295 105.143075570149 -107.556740099553</t>
  </si>
  <si>
    <t>-579.050729812915 125.842507418735 295.447959453683</t>
  </si>
  <si>
    <t>-633.952341394203 167.717711055148 738.210687642046</t>
  </si>
  <si>
    <t>-488.92726120795 154.768111938064 800.559129819085</t>
  </si>
  <si>
    <t>-521.761632423488 -77.8384357501516 305.192588697434</t>
  </si>
  <si>
    <t>-548.919991145888 -58.0289138106389 751.647711485152</t>
  </si>
  <si>
    <t>-444.318320593676 -152.069677682897 824.463429372092</t>
  </si>
  <si>
    <t>9763-20170724T104959.647159800.bin</t>
  </si>
  <si>
    <t>-563.748298635097 10.257303188512 -101.353988777798</t>
  </si>
  <si>
    <t>-584.611795651714 1.50785811157425 -214.951505736069</t>
  </si>
  <si>
    <t>-567.875097080612 133.451061228163 -556.882591110521</t>
  </si>
  <si>
    <t>-565.960425852389 184.41870304661 -267.072557475766</t>
  </si>
  <si>
    <t>-326.090167232104 192.914029720493 -246.073241835535</t>
  </si>
  <si>
    <t>-575.277920325938 105.117608913966 -107.61773566116</t>
  </si>
  <si>
    <t>-578.873732100006 125.787245895964 295.38918078877</t>
  </si>
  <si>
    <t>-633.928200415872 167.644167864971 738.125173369039</t>
  </si>
  <si>
    <t>-488.885593302084 154.807573625087 800.45643412424</t>
  </si>
  <si>
    <t>-521.797164771075 -77.7720049850709 305.206564850374</t>
  </si>
  <si>
    <t>-548.885337141724 -57.8986944434478 751.658136111748</t>
  </si>
  <si>
    <t>-444.354835437743 -152.018465798007 824.473867221805</t>
  </si>
  <si>
    <t>9763-20170724T104959.707853400.bin</t>
  </si>
  <si>
    <t>-563.717534363098 10.2693501008505 -101.453591501245</t>
  </si>
  <si>
    <t>-584.695495817399 1.40937844982977 -215.021440532808</t>
  </si>
  <si>
    <t>-569.125529725763 132.697293358121 -557.379964283305</t>
  </si>
  <si>
    <t>-565.777596189874 184.580125589986 -267.745475102932</t>
  </si>
  <si>
    <t>-325.968425506224 193.148675159411 -246.088599977222</t>
  </si>
  <si>
    <t>-575.163271843844 105.009954204679 -107.803668314972</t>
  </si>
  <si>
    <t>-578.785215652259 125.766033041709 295.198507762997</t>
  </si>
  <si>
    <t>-633.89234112056 167.729084013274 737.902043460851</t>
  </si>
  <si>
    <t>-488.864804056511 154.801666031903 800.249339028094</t>
  </si>
  <si>
    <t>-521.927814236437 -77.7087201109337 305.200788099769</t>
  </si>
  <si>
    <t>-548.94794748996 -57.9196705785139 751.670610439015</t>
  </si>
  <si>
    <t>-444.588401158598 -152.220923326653 824.496800878286</t>
  </si>
  <si>
    <t>9763-20170724T104959.745955100.bin</t>
  </si>
  <si>
    <t>-563.742095971455 10.1063533939541 -101.515892695303</t>
  </si>
  <si>
    <t>-584.749863878624 1.19759978711113 -215.074361742515</t>
  </si>
  <si>
    <t>-569.707038819399 132.224376036266 -557.600892776219</t>
  </si>
  <si>
    <t>-565.582845106364 184.653473687902 -268.074918500979</t>
  </si>
  <si>
    <t>-325.805311466949 193.181710930206 -246.054786279802</t>
  </si>
  <si>
    <t>-575.16933179881 104.836892833061 -107.896121414202</t>
  </si>
  <si>
    <t>-578.849074146837 125.699251039828 295.100042712546</t>
  </si>
  <si>
    <t>-633.859174044323 167.710941868713 737.789218561098</t>
  </si>
  <si>
    <t>-488.834955188255 154.83111152949 800.154181163528</t>
  </si>
  <si>
    <t>-522.05028265895 -77.7784747979724 305.189359500792</t>
  </si>
  <si>
    <t>-549.020434378826 -58.0119840296124 751.677244875712</t>
  </si>
  <si>
    <t>-444.43195761872 -152.072465639076 824.486558997755</t>
  </si>
  <si>
    <t>9763-20170724T104959.817657000.bin</t>
  </si>
  <si>
    <t>-563.807410006867 9.76117398888118 -101.599080090655</t>
  </si>
  <si>
    <t>-584.835156860789 0.786926111185039 -215.148715472254</t>
  </si>
  <si>
    <t>-570.849570186384 131.510153084803 -557.942089079594</t>
  </si>
  <si>
    <t>-565.129621841421 184.605560395824 -268.564503741243</t>
  </si>
  <si>
    <t>-325.38026001983 192.796771975858 -246.114001131919</t>
  </si>
  <si>
    <t>-575.243547114626 104.44810131593 -108.056801046954</t>
  </si>
  <si>
    <t>-579.134270468665 125.625576807115 294.920959759488</t>
  </si>
  <si>
    <t>-633.777186482839 167.604753538263 737.617403656719</t>
  </si>
  <si>
    <t>-488.729642485434 155.101592018603 800.004890455559</t>
  </si>
  <si>
    <t>-522.24848118466 -77.8877281629184 305.165535617456</t>
  </si>
  <si>
    <t>-549.045436857684 -57.9547283548175 751.67743096494</t>
  </si>
  <si>
    <t>-444.429382212519 -151.994532345095 824.473789722967</t>
  </si>
  <si>
    <t>9763-20170724T104959.850744500.bin</t>
  </si>
  <si>
    <t>-563.935225915169 9.60695724102243 -101.617362426282</t>
  </si>
  <si>
    <t>-585.010337836249 0.59398450789854 -215.155111627742</t>
  </si>
  <si>
    <t>-571.507525828355 131.228483851804 -558.036969273847</t>
  </si>
  <si>
    <t>-565.078901504688 184.48708181094 -268.704380769297</t>
  </si>
  <si>
    <t>-325.33155749603 192.66132425552 -246.227124449372</t>
  </si>
  <si>
    <t>-575.411518263945 104.351301490396 -108.114851899902</t>
  </si>
  <si>
    <t>-579.244226565068 125.626649647539 294.858248066683</t>
  </si>
  <si>
    <t>-633.776163305482 167.722722270853 737.560377046524</t>
  </si>
  <si>
    <t>-488.739018654394 155.151297075887 799.957915647972</t>
  </si>
  <si>
    <t>-522.391672844327 -77.9912481970036 305.158160140154</t>
  </si>
  <si>
    <t>-549.137591225779 -58.097737449463 751.678972444333</t>
  </si>
  <si>
    <t>-444.184046761107 -151.773525573773 824.458638201049</t>
  </si>
  <si>
    <t>9763-20170724T104959.910417200.bin</t>
  </si>
  <si>
    <t>-564.242336851064 9.46916273751845 -101.666251728253</t>
  </si>
  <si>
    <t>-585.514212470245 0.353619981204702 -215.159127930959</t>
  </si>
  <si>
    <t>-572.775559514933 130.910146984495 -558.084223009622</t>
  </si>
  <si>
    <t>-565.28818612997 184.351843599602 -268.810815932684</t>
  </si>
  <si>
    <t>-325.547907396608 192.099488681465 -246.107737530663</t>
  </si>
  <si>
    <t>-575.958266230252 104.312239636083 -108.215203116392</t>
  </si>
  <si>
    <t>-579.247851892155 125.550637582243 294.76462360997</t>
  </si>
  <si>
    <t>-633.750748374524 167.793654303912 737.471352390033</t>
  </si>
  <si>
    <t>-488.73191329406 155.022615189842 799.871498168826</t>
  </si>
  <si>
    <t>-522.61723398641 -78.0609227375471 305.143489754961</t>
  </si>
  <si>
    <t>-549.301271496999 -58.3444909039745 751.676817528335</t>
  </si>
  <si>
    <t>-444.203782159842 -151.855563483452 824.460459990458</t>
  </si>
  <si>
    <t>9763-20170724T104959.943506800.bin</t>
  </si>
  <si>
    <t>-564.379645949688 9.36403882705918 -101.714296656852</t>
  </si>
  <si>
    <t>-585.774131810005 0.185260324393084 -215.179046768111</t>
  </si>
  <si>
    <t>-573.597616821718 130.843196203002 -558.077322655258</t>
  </si>
  <si>
    <t>-565.561093111805 184.125568889059 -268.789036057345</t>
  </si>
  <si>
    <t>-325.79714221703 191.769795207058 -246.302475688982</t>
  </si>
  <si>
    <t>-576.183542334087 104.200576144917 -108.26013679528</t>
  </si>
  <si>
    <t>-579.243967051066 125.492262422167 294.718689912526</t>
  </si>
  <si>
    <t>-633.742431021537 167.8548346934 737.415510686278</t>
  </si>
  <si>
    <t>-488.742111470762 154.917867144625 799.823954648846</t>
  </si>
  <si>
    <t>-522.573040648754 -78.1667838892788 305.137504417836</t>
  </si>
  <si>
    <t>-549.265424947033 -58.2202663970104 751.674632355338</t>
  </si>
  <si>
    <t>-443.983465111861 -151.535514935046 824.443089030729</t>
  </si>
  <si>
    <t>9763-20170724T105000.010209300.bin</t>
  </si>
  <si>
    <t>-564.468648598247 8.64446150820845 -101.739987963269</t>
  </si>
  <si>
    <t>-574.720081889869 130.672838657358 -557.861422342619</t>
  </si>
  <si>
    <t>-565.571940385041 183.323605238589 -268.490750644317</t>
  </si>
  <si>
    <t>-325.722672625366 191.055936975839 -246.963679338966</t>
  </si>
  <si>
    <t>-576.215436677094 103.420103350836 -108.261289876985</t>
  </si>
  <si>
    <t>-579.158373237671 125.148928038439 294.695123667701</t>
  </si>
  <si>
    <t>-633.71144152477 167.893430944188 737.32691262934</t>
  </si>
  <si>
    <t>-488.709950096094 155.003303618452 799.742411762292</t>
  </si>
  <si>
    <t>-522.487005806516 -78.3350394016572 305.117773747859</t>
  </si>
  <si>
    <t>-549.288083199964 -58.1643966969193 751.66438496769</t>
  </si>
  <si>
    <t>-444.238023403776 -151.737664460057 824.436684499221</t>
  </si>
  <si>
    <t>9763-20170724T105000.044300000.bin</t>
  </si>
  <si>
    <t>-564.497051567012 8.21247834396104 -101.731076725775</t>
  </si>
  <si>
    <t>-574.883009375168 130.660242480328 -557.720778114675</t>
  </si>
  <si>
    <t>-565.408527093872 183.102866933958 -268.322706363765</t>
  </si>
  <si>
    <t>-325.53063746007 190.83939422205 -247.118196229499</t>
  </si>
  <si>
    <t>-576.178771326355 102.971962403441 -108.258473090753</t>
  </si>
  <si>
    <t>-579.249198844977 124.922247734136 294.685015207567</t>
  </si>
  <si>
    <t>-633.658584296819 167.728215739741 737.296690382033</t>
  </si>
  <si>
    <t>-488.617075599228 155.269621967145 799.706987944354</t>
  </si>
  <si>
    <t>-522.592366600089 -78.5038092124009 305.103032934891</t>
  </si>
  <si>
    <t>-549.349692456963 -58.2488823560038 751.656443203939</t>
  </si>
  <si>
    <t>-444.240646716986 -151.755267833796 824.429754759871</t>
  </si>
  <si>
    <t>9763-20170724T105000.112488700.bin</t>
  </si>
  <si>
    <t>-564.88661810133 7.93178171246791 -101.748488040254</t>
  </si>
  <si>
    <t>-575.357393057142 131.140206713377 -557.477543517527</t>
  </si>
  <si>
    <t>-565.121591284433 183.16969632976 -268.030866066599</t>
  </si>
  <si>
    <t>-325.195788592966 191.087637157661 -247.444586444493</t>
  </si>
  <si>
    <t>-576.496587323765 102.675083644111 -108.250017020049</t>
  </si>
  <si>
    <t>-579.622982115 124.808048167368 294.683025536022</t>
  </si>
  <si>
    <t>-633.624145771271 167.716453425122 737.293849805363</t>
  </si>
  <si>
    <t>-488.578679131979 155.275713261098 799.698468339858</t>
  </si>
  <si>
    <t>-522.878558831454 -78.7624703871729 305.051170604412</t>
  </si>
  <si>
    <t>-549.367027916619 -58.2371884239788 751.630463978734</t>
  </si>
  <si>
    <t>-444.334872650479 -151.820561600159 824.415978040504</t>
  </si>
  <si>
    <t>9763-20170724T105000.148584800.bin</t>
  </si>
  <si>
    <t>-565.140917599733 7.67837034064905 -101.730544597248</t>
  </si>
  <si>
    <t>-575.483976568006 131.344731745445 -557.311336001178</t>
  </si>
  <si>
    <t>-564.928542966058 183.161941958248 -267.838144881944</t>
  </si>
  <si>
    <t>-324.986562944819 191.234369602245 -247.502519116357</t>
  </si>
  <si>
    <t>-576.650278949276 102.438253536074 -108.221271021161</t>
  </si>
  <si>
    <t>-579.836089401242 124.658901245526 294.706453335522</t>
  </si>
  <si>
    <t>-633.599207954449 167.636265028728 737.329245988607</t>
  </si>
  <si>
    <t>-488.529433225259 155.39240811598 799.716582482656</t>
  </si>
  <si>
    <t>-523.209281810105 -78.9253117928051 305.022472623807</t>
  </si>
  <si>
    <t>-549.470067009391 -58.4013403620913 751.631221949925</t>
  </si>
  <si>
    <t>-444.042763551922 -151.561532066171 824.388040785185</t>
  </si>
  <si>
    <t>9763-20170724T105000.214332400.bin</t>
  </si>
  <si>
    <t>-565.284250375789 7.3580283551405 -101.666460943748</t>
  </si>
  <si>
    <t>-575.251888136651 131.836692337316 -556.826114316648</t>
  </si>
  <si>
    <t>-563.787368187979 183.39768625295 -267.341657594401</t>
  </si>
  <si>
    <t>-323.789642352498 191.42074277294 -247.654945515903</t>
  </si>
  <si>
    <t>-576.753853603432 102.08602651672 -108.145091390456</t>
  </si>
  <si>
    <t>-580.179856698199 124.613542349913 294.763680126351</t>
  </si>
  <si>
    <t>-633.603296557979 167.791756835009 737.375717776907</t>
  </si>
  <si>
    <t>-488.569104955666 155.196514726527 799.775571343455</t>
  </si>
  <si>
    <t>-523.375155722924 -79.1089846684888 305.016685707391</t>
  </si>
  <si>
    <t>-549.468210440625 -58.3344080524971 751.63066092348</t>
  </si>
  <si>
    <t>-444.401044139927 -151.891962686761 824.398701227775</t>
  </si>
  <si>
    <t>9763-20170724T105000.248423000.bin</t>
  </si>
  <si>
    <t>-565.227721462271 7.06943313394322 -101.64074234212</t>
  </si>
  <si>
    <t>-575.074447465461 131.917097812745 -556.565112315585</t>
  </si>
  <si>
    <t>-563.126770310136 183.139073203932 -267.040023106797</t>
  </si>
  <si>
    <t>-323.092020616028 191.16477245651 -247.811138058468</t>
  </si>
  <si>
    <t>-576.714878489127 101.806929734279 -108.088507094252</t>
  </si>
  <si>
    <t>-580.188195868194 124.46478290485 294.812504639848</t>
  </si>
  <si>
    <t>-633.591681284621 167.790391427219 737.412564678617</t>
  </si>
  <si>
    <t>-488.553264343847 155.238387280395 799.811337248467</t>
  </si>
  <si>
    <t>-523.414759118858 -79.2211436011603 305.024289758308</t>
  </si>
  <si>
    <t>-549.478879559414 -58.3248786875881 751.639055960671</t>
  </si>
  <si>
    <t>-444.460766934153 -151.944016435518 824.398643491948</t>
  </si>
  <si>
    <t>9763-20170724T105000.316636500.bin</t>
  </si>
  <si>
    <t>-565.017098276648 6.45103625819274 -101.571181939736</t>
  </si>
  <si>
    <t>-574.936173538065 132.122113911623 -555.876683521453</t>
  </si>
  <si>
    <t>-561.649118557945 182.479297561118 -266.258279571334</t>
  </si>
  <si>
    <t>-321.519067549813 190.472700252848 -248.243117985512</t>
  </si>
  <si>
    <t>-576.603850965198 101.27382400313 -107.968798435128</t>
  </si>
  <si>
    <t>-580.068258128696 124.071707259512 294.924451532315</t>
  </si>
  <si>
    <t>-633.584906506986 167.846347508648 737.480544109686</t>
  </si>
  <si>
    <t>-488.535116941931 155.417971908415 799.87761560061</t>
  </si>
  <si>
    <t>-523.300585598222 -79.6764235776905 305.081081282371</t>
  </si>
  <si>
    <t>-549.581829347979 -58.4441205499943 751.657362356687</t>
  </si>
  <si>
    <t>-444.216567501567 -151.704071858464 824.376336024413</t>
  </si>
  <si>
    <t>9763-20170724T105000.344711500.bin</t>
  </si>
  <si>
    <t>-564.995536610791 6.1066631852666 -101.537076230283</t>
  </si>
  <si>
    <t>-574.985982453729 132.235908829728 -555.501280908785</t>
  </si>
  <si>
    <t>-560.770086387774 182.293067366837 -265.875019781297</t>
  </si>
  <si>
    <t>-320.588653328869 190.362317574845 -248.593659822819</t>
  </si>
  <si>
    <t>-576.602600145344 100.959227310044 -107.908379881741</t>
  </si>
  <si>
    <t>-580.059873069609 123.813987848384 294.98164394267</t>
  </si>
  <si>
    <t>-633.545876085655 167.700664682386 737.515496552486</t>
  </si>
  <si>
    <t>-488.483055582334 155.413655251521 799.910341640918</t>
  </si>
  <si>
    <t>-523.338940386205 -79.8893743230904 305.105336359405</t>
  </si>
  <si>
    <t>-549.696681901916 -58.632915572304 751.673689542124</t>
  </si>
  <si>
    <t>-443.991807893448 -151.530133452062 824.364050965285</t>
  </si>
  <si>
    <t>9763-20170724T105000.414009300.bin</t>
  </si>
  <si>
    <t>-564.909599229868 5.51998856577211 -101.448172037498</t>
  </si>
  <si>
    <t>-574.97381592513 132.35457977301 -554.899684139115</t>
  </si>
  <si>
    <t>-558.872855847524 181.997480314427 -265.300710660351</t>
  </si>
  <si>
    <t>-318.603381246295 190.399810002595 -249.461299667983</t>
  </si>
  <si>
    <t>-576.464808781982 100.375061198826 -107.780418145648</t>
  </si>
  <si>
    <t>-580.114936914885 123.472137453908 295.09411787187</t>
  </si>
  <si>
    <t>-633.488958477406 167.454901764889 737.608501026893</t>
  </si>
  <si>
    <t>-488.38190586196 155.599470621608 799.984143886659</t>
  </si>
  <si>
    <t>-523.300504165188 -80.166269331801 305.11576234822</t>
  </si>
  <si>
    <t>-549.735876557073 -58.6679387537226 751.676120274404</t>
  </si>
  <si>
    <t>-443.828833987734 -151.345802775051 824.352193525147</t>
  </si>
  <si>
    <t>9763-20170724T105000.445091800.bin</t>
  </si>
  <si>
    <t>-564.880770068848 5.45057408010257 -101.41730609284</t>
  </si>
  <si>
    <t>-574.879665036991 132.48480082819 -554.701499546664</t>
  </si>
  <si>
    <t>-558.159704515137 182.09647145965 -265.13219013065</t>
  </si>
  <si>
    <t>-317.870070554742 190.555727755435 -249.63417033877</t>
  </si>
  <si>
    <t>-576.424404208527 100.311221079367 -107.728039057992</t>
  </si>
  <si>
    <t>-580.088119401177 123.435878883696 295.144771134117</t>
  </si>
  <si>
    <t>-633.495081651897 167.477229475002 737.65645438387</t>
  </si>
  <si>
    <t>-488.369202494504 155.76906835648 800.016015547858</t>
  </si>
  <si>
    <t>-523.2572221566 -80.2523559355329 305.133395803152</t>
  </si>
  <si>
    <t>-549.776310217312 -58.7223755101043 751.682099848803</t>
  </si>
  <si>
    <t>-443.969130021556 -151.511494167458 824.361560706669</t>
  </si>
  <si>
    <t>9763-20170724T105000.512078500.bin</t>
  </si>
  <si>
    <t>-564.940306441498 5.60842815480942 -101.411015354156</t>
  </si>
  <si>
    <t>-574.940467972247 132.961882405448 -554.449187331764</t>
  </si>
  <si>
    <t>-557.231804133002 182.537063844763 -264.932472959065</t>
  </si>
  <si>
    <t>-316.924959810322 191.264513402498 -249.855184952265</t>
  </si>
  <si>
    <t>-576.480253633826 100.554416391846 -107.689383250338</t>
  </si>
  <si>
    <t>-580.079422730198 123.621885664591 295.187271613995</t>
  </si>
  <si>
    <t>-633.543139757205 167.717460865297 737.713695652553</t>
  </si>
  <si>
    <t>-488.462114223479 155.473205072915 800.074482894307</t>
  </si>
  <si>
    <t>-523.402099447708 -80.0482860599386 305.138363625315</t>
  </si>
  <si>
    <t>-549.726837354315 -58.5597737144672 751.692422680139</t>
  </si>
  <si>
    <t>-444.018794270553 -151.468531914109 824.363293471438</t>
  </si>
  <si>
    <t>9763-20170724T105000.544158600.bin</t>
  </si>
  <si>
    <t>-564.988513653913 5.70967273082692 -101.404593789756</t>
  </si>
  <si>
    <t>-575.086989099187 133.208403643386 -554.362726119043</t>
  </si>
  <si>
    <t>-556.923383751064 182.604777493254 -264.843736971903</t>
  </si>
  <si>
    <t>-316.605566186254 191.392983326944 -249.977367555106</t>
  </si>
  <si>
    <t>-576.442111702414 100.604242859119 -107.679714282113</t>
  </si>
  <si>
    <t>-580.138407081616 123.685349981949 295.195236420151</t>
  </si>
  <si>
    <t>-633.554371195497 167.748862193507 737.73856721311</t>
  </si>
  <si>
    <t>-488.463660733749 155.558031492579 800.087162235652</t>
  </si>
  <si>
    <t>-523.468753555003 -80.0593659676883 305.139069362125</t>
  </si>
  <si>
    <t>-549.749415583425 -58.5780204952366 751.700537390142</t>
  </si>
  <si>
    <t>-444.178060385901 -151.639247790528 824.375002074082</t>
  </si>
  <si>
    <t>9763-20170724T105000.612856500.bin</t>
  </si>
  <si>
    <t>-565.127152305363 6.11635913475902 -101.412854234175</t>
  </si>
  <si>
    <t>-575.352035292623 133.798702863483 -554.368486160187</t>
  </si>
  <si>
    <t>-556.742618181634 183.137498903826 -264.867945520602</t>
  </si>
  <si>
    <t>-316.423632862684 191.85971760404 -249.982656291924</t>
  </si>
  <si>
    <t>-576.439741169219 101.050095767293 -107.694346802502</t>
  </si>
  <si>
    <t>-580.304676867141 124.018553370654 295.185459018055</t>
  </si>
  <si>
    <t>-633.577514780765 167.778848105115 737.801750453688</t>
  </si>
  <si>
    <t>-488.485795678913 155.392876106207 800.110122849521</t>
  </si>
  <si>
    <t>-523.680682046235 -79.8059331590712 305.136622380226</t>
  </si>
  <si>
    <t>-549.683142047232 -58.3750907169754 751.716741719951</t>
  </si>
  <si>
    <t>-444.410451767299 -151.775797099335 824.389012134031</t>
  </si>
  <si>
    <t>9763-20170724T105000.648952500.bin</t>
  </si>
  <si>
    <t>-565.216256929575 6.31522506659121 -101.397978816272</t>
  </si>
  <si>
    <t>-575.151957427017 134.0585596009 -554.390251553231</t>
  </si>
  <si>
    <t>-556.648690601997 183.292970293259 -264.865126308932</t>
  </si>
  <si>
    <t>-316.331834742999 192.031066899713 -249.955103148788</t>
  </si>
  <si>
    <t>-576.453567462452 101.253380693336 -107.681110043103</t>
  </si>
  <si>
    <t>-580.335890630428 124.129836142004 295.203748575239</t>
  </si>
  <si>
    <t>-633.564855023491 167.639607745022 737.86265930577</t>
  </si>
  <si>
    <t>-488.429718255557 155.487900784034 800.115171371091</t>
  </si>
  <si>
    <t>-523.832700315625 -79.6550672437995 305.144482544696</t>
  </si>
  <si>
    <t>-549.709577871807 -58.3839072209919 751.72783844798</t>
  </si>
  <si>
    <t>-444.620488362048 -151.990367629835 824.401247748127</t>
  </si>
  <si>
    <t>9763-20170724T105000.712140500.bin</t>
  </si>
  <si>
    <t>-565.82470967878 6.87047799100992 -101.397848149537</t>
  </si>
  <si>
    <t>-575.324871421586 134.91571826627 -554.331215042801</t>
  </si>
  <si>
    <t>-557.362817087515 183.663927833582 -264.689660257406</t>
  </si>
  <si>
    <t>-317.047701750415 192.503085587075 -249.810389433588</t>
  </si>
  <si>
    <t>-577.024000092271 101.875491779071 -107.663963429371</t>
  </si>
  <si>
    <t>-580.53658311587 124.507741581503 295.238129019728</t>
  </si>
  <si>
    <t>-633.576978163149 167.672829608305 737.945125997748</t>
  </si>
  <si>
    <t>-488.411711209522 155.531295401792 800.129729077859</t>
  </si>
  <si>
    <t>-524.152369459804 -79.2801721627025 305.130861372683</t>
  </si>
  <si>
    <t>-549.715577116215 -58.3236043598461 751.725315957348</t>
  </si>
  <si>
    <t>-444.760693380788 -152.077499238151 824.402552419358</t>
  </si>
  <si>
    <t>9763-20170724T105000.744224400.bin</t>
  </si>
  <si>
    <t>-566.303960881554 6.82321610636427 -101.412753798504</t>
  </si>
  <si>
    <t>-575.739310947369 135.076685457751 -554.228905012146</t>
  </si>
  <si>
    <t>-557.873676142041 183.567660872164 -264.538236921719</t>
  </si>
  <si>
    <t>-317.555784381035 192.376436609391 -249.686545268695</t>
  </si>
  <si>
    <t>-577.432578293215 101.866226268525 -107.654958654564</t>
  </si>
  <si>
    <t>-580.635419900328 124.545903903522 295.247065506395</t>
  </si>
  <si>
    <t>-633.56128802472 167.746680868447 737.952030095977</t>
  </si>
  <si>
    <t>-488.412975775403 155.479247247284 800.151203766453</t>
  </si>
  <si>
    <t>-524.484511344206 -79.2586807290124 305.08787741751</t>
  </si>
  <si>
    <t>-549.839053284984 -58.5135796493273 751.72548646606</t>
  </si>
  <si>
    <t>-444.405745600769 -151.755988378845 824.368135496199</t>
  </si>
  <si>
    <t>9763-20170724T105000.813513400.bin</t>
  </si>
  <si>
    <t>-567.212734151606 6.77435645227251 -101.425990713276</t>
  </si>
  <si>
    <t>-576.062580472118 135.350425965976 -554.098078646068</t>
  </si>
  <si>
    <t>-558.349911694864 183.444166218229 -264.331888482815</t>
  </si>
  <si>
    <t>-318.016608588084 192.146341013771 -249.668979946481</t>
  </si>
  <si>
    <t>-578.203733758262 101.644397095021 -107.65357015473</t>
  </si>
  <si>
    <t>-581.224077257813 124.598184714545 295.234346900424</t>
  </si>
  <si>
    <t>-633.491926117891 167.670907647054 737.984521486646</t>
  </si>
  <si>
    <t>-488.334113950614 155.731999373121 800.225639815492</t>
  </si>
  <si>
    <t>-524.968523252102 -79.1191193524669 304.98201200022</t>
  </si>
  <si>
    <t>-549.754309496696 -58.3339361047297 751.668671715922</t>
  </si>
  <si>
    <t>-444.607201001126 -151.85950558886 824.362205923611</t>
  </si>
  <si>
    <t>9763-20170724T105000.847605800.bin</t>
  </si>
  <si>
    <t>-567.692414602506 6.9874832335488 -101.461777583075</t>
  </si>
  <si>
    <t>-576.250463916899 135.586591595194 -554.069788096027</t>
  </si>
  <si>
    <t>-558.225495480675 183.82118090772 -264.346417103593</t>
  </si>
  <si>
    <t>-317.879248590475 192.369439019244 -249.804339466741</t>
  </si>
  <si>
    <t>-578.626357441851 101.776120457249 -107.674213028656</t>
  </si>
  <si>
    <t>-581.735633491052 124.830713898028 295.207325241114</t>
  </si>
  <si>
    <t>-633.472265463949 167.763445516999 738.002437873939</t>
  </si>
  <si>
    <t>-488.33849192198 155.751913239413 800.285729052508</t>
  </si>
  <si>
    <t>-525.123584106628 -78.9219820650401 304.921832528181</t>
  </si>
  <si>
    <t>-549.684176155607 -58.194334579101 751.646074283028</t>
  </si>
  <si>
    <t>-445.005633986031 -152.211558529979 824.381467566708</t>
  </si>
  <si>
    <t>9763-20170724T105000.909275800.bin</t>
  </si>
  <si>
    <t>-568.911861744598 7.02408226987995 -101.510230234877</t>
  </si>
  <si>
    <t>-576.555221464286 135.661130451364 -553.960525856987</t>
  </si>
  <si>
    <t>-556.754955469096 184.51011927524 -264.455794974103</t>
  </si>
  <si>
    <t>-316.373379279638 192.915085731977 -250.421804465993</t>
  </si>
  <si>
    <t>-579.737007715895 101.906510462604 -107.734743834089</t>
  </si>
  <si>
    <t>-582.795718055537 125.100267046498 295.139186641831</t>
  </si>
  <si>
    <t>-633.386708956146 167.807755468936 738.064260440002</t>
  </si>
  <si>
    <t>-488.304431760911 155.720754739129 800.45278701372</t>
  </si>
  <si>
    <t>-525.989747811814 -78.7020700865785 304.837316671184</t>
  </si>
  <si>
    <t>-549.817454968282 -58.3873723559118 751.66392780752</t>
  </si>
  <si>
    <t>-444.546717938795 -151.784356029847 824.343815734082</t>
  </si>
  <si>
    <t>9763-20170724T105000.948379300.bin</t>
  </si>
  <si>
    <t>-569.529017872141 7.10558404923086 -101.524010364225</t>
  </si>
  <si>
    <t>-576.63627417051 135.832725887995 -553.926327980464</t>
  </si>
  <si>
    <t>-555.752874987382 184.944596607917 -264.54222520827</t>
  </si>
  <si>
    <t>-315.345743595646 193.140395230886 -250.826213130052</t>
  </si>
  <si>
    <t>-580.279467253583 101.948728448468 -107.75261866659</t>
  </si>
  <si>
    <t>-583.382239112049 125.324078237492 295.110415471292</t>
  </si>
  <si>
    <t>-633.377873975822 167.923427642438 738.111329094566</t>
  </si>
  <si>
    <t>-488.326307211144 155.691599475863 800.543073570409</t>
  </si>
  <si>
    <t>-526.3828061912 -78.4932594689792 304.813575570479</t>
  </si>
  <si>
    <t>-549.782565698425 -58.2991427262134 751.661463532344</t>
  </si>
  <si>
    <t>-444.47276171604 -151.654352272677 824.338485475762</t>
  </si>
  <si>
    <t>9763-20170724T105001.018572000.bin</t>
  </si>
  <si>
    <t>-570.845923176688 7.39494867901863 -101.446265938811</t>
  </si>
  <si>
    <t>-577.261850115958 136.483314729087 -553.817352398047</t>
  </si>
  <si>
    <t>-555.510911796481 186.017738664445 -264.569302535856</t>
  </si>
  <si>
    <t>-315.060161278238 193.93677225895 -251.470082453198</t>
  </si>
  <si>
    <t>-581.473453000079 102.258440359425 -107.699459425092</t>
  </si>
  <si>
    <t>-584.661360441102 125.894974266102 295.14771100228</t>
  </si>
  <si>
    <t>-633.363576153652 168.034833207659 738.302164063225</t>
  </si>
  <si>
    <t>-488.342186623527 155.631785472388 800.770085232458</t>
  </si>
  <si>
    <t>-527.210817907075 -78.3548257301984 304.74822609758</t>
  </si>
  <si>
    <t>-549.931618136852 -58.5979190067151 751.659754386356</t>
  </si>
  <si>
    <t>-444.493590888444 -151.79201403754 824.357411300627</t>
  </si>
  <si>
    <t>9763-20170724T105001.047650500.bin</t>
  </si>
  <si>
    <t>-571.618109351676 7.92387187042959 -101.404644170128</t>
  </si>
  <si>
    <t>-589.692818688265 0.492432135025183 -562.12670273892</t>
  </si>
  <si>
    <t>-578.055379825052 137.224716041036 -553.724029650606</t>
  </si>
  <si>
    <t>-557.027304147714 186.816049515146 -264.432194933887</t>
  </si>
  <si>
    <t>-316.570441827234 194.377881640275 -251.233687735586</t>
  </si>
  <si>
    <t>-582.293496001406 102.792917036982 -107.644327239512</t>
  </si>
  <si>
    <t>-585.284300225644 126.289027504007 295.212518433362</t>
  </si>
  <si>
    <t>-633.388644299014 168.137404140082 738.461318792433</t>
  </si>
  <si>
    <t>-488.365037864168 155.649447255161 800.907219083168</t>
  </si>
  <si>
    <t>-527.571905056719 -78.2023884711475 304.728226203942</t>
  </si>
  <si>
    <t>-549.891841742138 -58.5262104281069 751.659004104785</t>
  </si>
  <si>
    <t>-444.578416031042 -151.849358623982 824.372046062997</t>
  </si>
  <si>
    <t>9763-20170724T105001.112526500.bin</t>
  </si>
  <si>
    <t>-572.931168025313 8.68230173787356 -101.300486732601</t>
  </si>
  <si>
    <t>-594.624029924576 0.292597533184335 -214.769675368316</t>
  </si>
  <si>
    <t>-591.338159403114 1.45092157127851 -561.995964000188</t>
  </si>
  <si>
    <t>-579.807846002163 138.172388638938 -553.509010598288</t>
  </si>
  <si>
    <t>-560.339351042516 187.896796282907 -264.13098508702</t>
  </si>
  <si>
    <t>-319.872846172726 194.372061604886 -250.538035316945</t>
  </si>
  <si>
    <t>-583.494415112339 103.465475073128 -107.451700039005</t>
  </si>
  <si>
    <t>-586.124494742106 126.739222418737 295.420572910997</t>
  </si>
  <si>
    <t>-633.486809734693 168.25506211377 738.809871495032</t>
  </si>
  <si>
    <t>-488.442940887022 155.420958969143 801.138186637045</t>
  </si>
  <si>
    <t>-528.360549369815 -77.7244957831867 304.724751262937</t>
  </si>
  <si>
    <t>-549.858167119228 -58.4811206801392 751.689547603543</t>
  </si>
  <si>
    <t>-444.822069277033 -152.089645083701 824.436819835068</t>
  </si>
  <si>
    <t>9763-20170724T105001.141596900.bin</t>
  </si>
  <si>
    <t>-573.406088132886 8.87837460721357 -101.257400041197</t>
  </si>
  <si>
    <t>-595.136692793554 0.527928415350971 -214.72231842888</t>
  </si>
  <si>
    <t>-592.125884328591 1.72098754887884 -561.953650141775</t>
  </si>
  <si>
    <t>-580.485689023487 138.432393421956 -553.400891771814</t>
  </si>
  <si>
    <t>-562.068720632525 187.465234688112 -263.836185371609</t>
  </si>
  <si>
    <t>-321.609325080747 194.261217212631 -250.272564845241</t>
  </si>
  <si>
    <t>-583.911272267077 103.728824454982 -107.36164048888</t>
  </si>
  <si>
    <t>-586.646548282391 126.884443025486 295.516764433673</t>
  </si>
  <si>
    <t>-633.537673264534 168.260553059682 738.972954239351</t>
  </si>
  <si>
    <t>-488.479730454702 155.222396064297 801.226222890683</t>
  </si>
  <si>
    <t>-528.673318778417 -77.4796583377672 304.728542458264</t>
  </si>
  <si>
    <t>-549.899012394916 -58.5623790218433 751.713660604296</t>
  </si>
  <si>
    <t>-445.060071230975 -152.381977969253 824.473291681761</t>
  </si>
  <si>
    <t>9763-20170724T105001.214796400.bin</t>
  </si>
  <si>
    <t>-574.251880617398 9.61499470832405 -101.246439382563</t>
  </si>
  <si>
    <t>-595.961080694303 1.34815074147787 -214.721477483802</t>
  </si>
  <si>
    <t>-593.487572207324 2.73883564369703 -561.964272765401</t>
  </si>
  <si>
    <t>-581.754222685482 139.417628262352 -553.215795433434</t>
  </si>
  <si>
    <t>-565.702326826161 187.889769545293 -263.415961814432</t>
  </si>
  <si>
    <t>-325.287462958103 194.970691036178 -249.223010108823</t>
  </si>
  <si>
    <t>-584.829842437363 104.813621452689 -107.287787480727</t>
  </si>
  <si>
    <t>-587.715082486469 127.535889523758 295.6142561931</t>
  </si>
  <si>
    <t>-633.624392103568 168.677681679011 739.173837712635</t>
  </si>
  <si>
    <t>-488.648329983229 154.674330283746 801.40838406516</t>
  </si>
  <si>
    <t>-529.417684683034 -76.4972086389948 304.691165259818</t>
  </si>
  <si>
    <t>-549.673952849763 -58.040720374205 751.711961525095</t>
  </si>
  <si>
    <t>-445.600283303384 -152.683249700472 824.504409985121</t>
  </si>
  <si>
    <t>9763-20170724T105001.246886000.bin</t>
  </si>
  <si>
    <t>-574.68096133084 10.1014605968073 -101.284252632565</t>
  </si>
  <si>
    <t>-596.356186571268 1.87242653927933 -214.768609610526</t>
  </si>
  <si>
    <t>-594.035967035125 3.49810671700743 -562.010441356577</t>
  </si>
  <si>
    <t>-582.363036398973 140.181087102478 -553.188723455901</t>
  </si>
  <si>
    <t>-567.970288728346 188.494047252892 -263.275224311279</t>
  </si>
  <si>
    <t>-327.59971608252 196.123523410742 -248.623963290796</t>
  </si>
  <si>
    <t>-585.199876950616 105.185530692225 -107.308250733168</t>
  </si>
  <si>
    <t>-588.22813052065 127.929101746356 295.591611261692</t>
  </si>
  <si>
    <t>-633.590909264052 168.685618005219 739.231296587676</t>
  </si>
  <si>
    <t>-488.654895798772 154.486997225682 801.515055245624</t>
  </si>
  <si>
    <t>-529.724704097645 -76.0736342268701 304.646712408015</t>
  </si>
  <si>
    <t>-549.635597050235 -57.9507243664896 751.697321064403</t>
  </si>
  <si>
    <t>-445.730380109258 -152.763700431457 824.508831335771</t>
  </si>
  <si>
    <t>9763-20170724T105001.313073000.bin</t>
  </si>
  <si>
    <t>-575.330714035497 10.5135250674252 -101.330193930726</t>
  </si>
  <si>
    <t>-596.976539722772 2.33650648681714 -214.823873431178</t>
  </si>
  <si>
    <t>-595.084251013536 4.23850087229857 -562.069837949675</t>
  </si>
  <si>
    <t>-583.595194608601 140.936358762907 -553.135149706102</t>
  </si>
  <si>
    <t>-572.693318174905 188.285550545969 -262.910465500888</t>
  </si>
  <si>
    <t>-332.481759318355 198.237805163669 -247.092572680817</t>
  </si>
  <si>
    <t>-585.648137168589 105.58676733267 -107.31148497781</t>
  </si>
  <si>
    <t>-588.732708187358 128.372734677445 295.585461194834</t>
  </si>
  <si>
    <t>-633.549638816815 168.796562408186 739.36201118874</t>
  </si>
  <si>
    <t>-488.656757130108 154.477396344442 801.718343386793</t>
  </si>
  <si>
    <t>-530.066707938086 -75.6779160550368 304.538062024098</t>
  </si>
  <si>
    <t>-549.63713763451 -57.9313760851246 751.672641965623</t>
  </si>
  <si>
    <t>-445.671790830955 -152.663072890558 824.50380254363</t>
  </si>
  <si>
    <t>9763-20170724T105001.349170400.bin</t>
  </si>
  <si>
    <t>-575.589138274878 10.4957515976748 -101.305396321981</t>
  </si>
  <si>
    <t>-597.233328747359 2.36633030050598 -214.80279962937</t>
  </si>
  <si>
    <t>-595.625009074687 4.29279479050592 -562.057888289882</t>
  </si>
  <si>
    <t>-584.26059596372 141.002917148944 -553.106070719283</t>
  </si>
  <si>
    <t>-575.408626602897 187.876948469965 -262.734379397903</t>
  </si>
  <si>
    <t>-335.334229880941 199.020599804454 -245.676936507448</t>
  </si>
  <si>
    <t>-585.83952231215 105.658615580854 -107.259878277921</t>
  </si>
  <si>
    <t>-588.837502530485 128.469490715335 295.636305400582</t>
  </si>
  <si>
    <t>-633.550571325743 168.902357703204 739.437779199197</t>
  </si>
  <si>
    <t>-488.671197517969 154.519717759938 801.810676309569</t>
  </si>
  <si>
    <t>-530.250662875691 -75.6427006685819 304.513207071863</t>
  </si>
  <si>
    <t>-549.780245992732 -58.1947836632814 751.675520205588</t>
  </si>
  <si>
    <t>-445.272006831126 -152.344795216667 824.484149864191</t>
  </si>
  <si>
    <t>9763-20170724T105001.412856200.bin</t>
  </si>
  <si>
    <t>-575.887187708519 10.9746708364153 -101.212349356465</t>
  </si>
  <si>
    <t>-597.599038571899 2.88668878082058 -214.699847384234</t>
  </si>
  <si>
    <t>-596.627442925718 4.84378741647402 -561.966424088526</t>
  </si>
  <si>
    <t>-585.472570040687 141.559622502769 -553.032104717282</t>
  </si>
  <si>
    <t>-581.307165731441 187.73490376552 -262.443551720089</t>
  </si>
  <si>
    <t>-341.74420943549 200.332428261832 -240.044620091449</t>
  </si>
  <si>
    <t>-586.146461846484 106.183520270561 -107.134287820182</t>
  </si>
  <si>
    <t>-588.753656424445 128.755900691691 295.778071619053</t>
  </si>
  <si>
    <t>-633.550539310661 168.92317366408 739.611973701618</t>
  </si>
  <si>
    <t>-488.69465556209 154.269091852798 801.976568192847</t>
  </si>
  <si>
    <t>-530.293240065443 -75.1787023845193 304.520778417613</t>
  </si>
  <si>
    <t>-549.730576414867 -58.0691658277076 751.667480218115</t>
  </si>
  <si>
    <t>-445.624455598629 -152.631222398957 824.518132720207</t>
  </si>
  <si>
    <t>9763-20170724T105001.459978200.bin</t>
  </si>
  <si>
    <t>-575.971216324239 11.3032055180088 -101.181328912343</t>
  </si>
  <si>
    <t>-597.759211720155 3.21751044730058 -214.654309428697</t>
  </si>
  <si>
    <t>-597.018712224045 5.23418673237211 -561.919763634548</t>
  </si>
  <si>
    <t>-585.967396343415 141.954770239598 -552.91547509377</t>
  </si>
  <si>
    <t>-584.227453879073 187.414243010753 -262.189507807272</t>
  </si>
  <si>
    <t>-344.973761883248 200.886860376822 -237.14919061023</t>
  </si>
  <si>
    <t>-586.299653959239 106.505989206656 -107.085857542941</t>
  </si>
  <si>
    <t>-588.659210181798 128.880910602919 295.839041483954</t>
  </si>
  <si>
    <t>-633.540082929322 168.849815977528 739.690449646088</t>
  </si>
  <si>
    <t>-488.674461232179 154.193863195874 802.03186730359</t>
  </si>
  <si>
    <t>-530.273795139114 -74.7506774116839 304.535674516457</t>
  </si>
  <si>
    <t>-549.583818725982 -57.7698090037629 751.668537561687</t>
  </si>
  <si>
    <t>-446.088133757964 -152.970385043501 824.557696230134</t>
  </si>
  <si>
    <t>9763-20170724T105001.514309200.bin</t>
  </si>
  <si>
    <t>-576.090387096656 11.5598231164681 -101.127164968214</t>
  </si>
  <si>
    <t>-598.090009237695 3.46831154508186 -214.558947818464</t>
  </si>
  <si>
    <t>-597.724716974741 5.82700529629892 -561.808766631173</t>
  </si>
  <si>
    <t>-586.892924687716 142.553313732572 -552.558571708782</t>
  </si>
  <si>
    <t>-588.883109835791 186.05681811775 -261.535144018087</t>
  </si>
  <si>
    <t>-350.16000815954 200.957156299479 -232.550027322258</t>
  </si>
  <si>
    <t>-586.48717122705 106.90121414672 -107.02114299434</t>
  </si>
  <si>
    <t>-588.511772383572 129.0432085349 295.918447840722</t>
  </si>
  <si>
    <t>-633.528499113228 168.849467657817 739.798771704577</t>
  </si>
  <si>
    <t>-488.6524281131 154.18733153117 802.114576778205</t>
  </si>
  <si>
    <t>-530.299085976335 -74.3523857911628 304.551088023736</t>
  </si>
  <si>
    <t>-549.584800296245 -57.6999142310469 751.684742205371</t>
  </si>
  <si>
    <t>-445.910312308139 -152.711497793901 824.566179767166</t>
  </si>
  <si>
    <t>9763-20170724T105001.547397400.bin</t>
  </si>
  <si>
    <t>-576.128533228873 11.7211114086158 -101.123110577721</t>
  </si>
  <si>
    <t>-598.276622969297 3.6047476786398 -214.524235040052</t>
  </si>
  <si>
    <t>-598.117564792059 6.20373943737559 -561.760495611167</t>
  </si>
  <si>
    <t>-587.400198601641 142.924272381208 -552.337673546544</t>
  </si>
  <si>
    <t>-590.331581131255 185.713444148143 -261.216268998207</t>
  </si>
  <si>
    <t>-351.662259379638 200.369754074627 -231.669957361421</t>
  </si>
  <si>
    <t>-586.593789829852 107.091423763247 -106.996891593715</t>
  </si>
  <si>
    <t>-588.44778348848 129.171230410847 295.94693079461</t>
  </si>
  <si>
    <t>-633.548574966866 169.014140634611 739.830824619462</t>
  </si>
  <si>
    <t>-488.698990191955 154.105482877946 802.149724617931</t>
  </si>
  <si>
    <t>-530.219340557411 -74.236242053355 304.553713424377</t>
  </si>
  <si>
    <t>-549.563928537025 -57.6379282206117 751.676550983883</t>
  </si>
  <si>
    <t>-445.811934621981 -152.559785451059 824.564668452541</t>
  </si>
  <si>
    <t>9763-20170724T105001.617602000.bin</t>
  </si>
  <si>
    <t>-576.359078726282 11.8239027850707 -101.11518157813</t>
  </si>
  <si>
    <t>-598.758323608355 3.69147195315577 -214.465779501363</t>
  </si>
  <si>
    <t>-598.987228473237 6.74083302045142 -561.680295748499</t>
  </si>
  <si>
    <t>-588.50863266288 143.459105456985 -551.940445663308</t>
  </si>
  <si>
    <t>-590.654352551945 185.445733329291 -260.695313140109</t>
  </si>
  <si>
    <t>-351.765121073639 199.706055538902 -232.777159783108</t>
  </si>
  <si>
    <t>-586.976742301116 107.220987336558 -106.934562953279</t>
  </si>
  <si>
    <t>-588.377369423923 129.152428493315 296.019215493538</t>
  </si>
  <si>
    <t>-633.516585737739 168.92684554894 739.905200051771</t>
  </si>
  <si>
    <t>-488.655472512407 154.099287979945 802.216307048615</t>
  </si>
  <si>
    <t>-530.042739026229 -74.1524303813012 304.524908975861</t>
  </si>
  <si>
    <t>-549.708121384611 -57.8648276216925 751.664372313706</t>
  </si>
  <si>
    <t>-445.829278723424 -152.637029406735 824.566568378867</t>
  </si>
  <si>
    <t>9763-20170724T105001.644672100.bin</t>
  </si>
  <si>
    <t>-576.457866927763 11.7462083364233 -101.105984273988</t>
  </si>
  <si>
    <t>-598.961423921487 3.61231746337444 -214.435857358901</t>
  </si>
  <si>
    <t>-599.428906395054 6.72305034145529 -561.647078587777</t>
  </si>
  <si>
    <t>-588.983204158842 143.443119436311 -551.803002081791</t>
  </si>
  <si>
    <t>-590.145767234721 184.997309955854 -260.490275238467</t>
  </si>
  <si>
    <t>-351.120205309111 199.320289834354 -233.797905364704</t>
  </si>
  <si>
    <t>-587.144734560686 107.20534067783 -106.895016551919</t>
  </si>
  <si>
    <t>-588.363100903012 129.125131246042 296.059947446848</t>
  </si>
  <si>
    <t>-633.522236104185 168.999638893363 739.942481688288</t>
  </si>
  <si>
    <t>-488.674018739712 154.062911563873 802.257754367569</t>
  </si>
  <si>
    <t>-530.000535833076 -74.0657259473082 304.502929380672</t>
  </si>
  <si>
    <t>-549.682893974816 -57.792777533645 751.645481809682</t>
  </si>
  <si>
    <t>-445.838368411249 -152.592331713706 824.561066033113</t>
  </si>
  <si>
    <t>9763-20170724T105001.707374500.bin</t>
  </si>
  <si>
    <t>-576.61495002744 11.5849368992078 -101.047075039983</t>
  </si>
  <si>
    <t>-599.248802715456 3.45074663841251 -214.351006258742</t>
  </si>
  <si>
    <t>-600.050088501733 6.66599459571125 -561.556413907213</t>
  </si>
  <si>
    <t>-589.452685336803 143.356607160928 -551.579709667434</t>
  </si>
  <si>
    <t>-589.45543891446 184.989662781548 -260.275834896131</t>
  </si>
  <si>
    <t>-350.313179454473 198.794967002592 -234.367616477689</t>
  </si>
  <si>
    <t>-587.349543745424 107.131775404892 -106.829310972212</t>
  </si>
  <si>
    <t>-588.42069715299 129.114505617875 296.122699071339</t>
  </si>
  <si>
    <t>-633.527463250087 169.05905001331 740.01189578164</t>
  </si>
  <si>
    <t>-488.696720397994 153.961506052279 802.328883331408</t>
  </si>
  <si>
    <t>-530.003214216118 -73.9974815518685 304.502273332427</t>
  </si>
  <si>
    <t>-549.659564240404 -57.6791696016194 751.631217611844</t>
  </si>
  <si>
    <t>-445.860712013607 -152.518190707382 824.560176191299</t>
  </si>
  <si>
    <t>9763-20170724T105001.747481600.bin</t>
  </si>
  <si>
    <t>-576.662656141257 11.6588006751826 -101.030472429065</t>
  </si>
  <si>
    <t>-599.356679683207 3.53783758944951 -214.323338265446</t>
  </si>
  <si>
    <t>-600.284326959723 6.7884148959879 -561.526903533736</t>
  </si>
  <si>
    <t>-589.61603453672 143.473702547179 -551.490233956439</t>
  </si>
  <si>
    <t>-589.351912715637 185.13089967815 -260.190042581712</t>
  </si>
  <si>
    <t>-350.208691284117 198.768723240556 -234.201894704795</t>
  </si>
  <si>
    <t>-587.424747644964 107.313585908313 -106.817009633212</t>
  </si>
  <si>
    <t>-588.52528131306 129.250362844117 296.137332122125</t>
  </si>
  <si>
    <t>-633.53807135337 169.174061285103 740.044456041857</t>
  </si>
  <si>
    <t>-488.752562666577 153.708994133331 802.376642939785</t>
  </si>
  <si>
    <t>-530.071051513976 -73.9008667866592 304.500818982298</t>
  </si>
  <si>
    <t>-549.6762441938 -57.6558051796085 751.634360965873</t>
  </si>
  <si>
    <t>-445.984551245301 -152.610917871079 824.565020307033</t>
  </si>
  <si>
    <t>9763-20170724T105001.813719000.bin</t>
  </si>
  <si>
    <t>-576.84841150761 11.6349670044483 -101.009593372533</t>
  </si>
  <si>
    <t>-599.652930223554 3.5102731380789 -214.279813439659</t>
  </si>
  <si>
    <t>-600.766733899962 6.78768034358404 -561.478017643439</t>
  </si>
  <si>
    <t>-589.956067214843 143.45621346704 -551.344503598958</t>
  </si>
  <si>
    <t>-589.133300306698 184.727659268694 -259.990392700281</t>
  </si>
  <si>
    <t>-349.9190826541 198.013705250203 -234.477409525456</t>
  </si>
  <si>
    <t>-587.543568677977 107.364780438977 -106.791259626442</t>
  </si>
  <si>
    <t>-588.711303450956 129.336846347302 296.160964476247</t>
  </si>
  <si>
    <t>-633.54759540109 169.33556252055 740.097584109855</t>
  </si>
  <si>
    <t>-488.830655028328 153.351031964606 802.457791769165</t>
  </si>
  <si>
    <t>-530.35055341269 -73.9331972903178 304.530618263127</t>
  </si>
  <si>
    <t>-549.747774421491 -57.6739552208408 751.654416490518</t>
  </si>
  <si>
    <t>-445.799245087507 -152.368810179041 824.557724476319</t>
  </si>
  <si>
    <t>9763-20170724T105001.842801100.bin</t>
  </si>
  <si>
    <t>-576.92652850751 11.4306358082338 -101.004319218667</t>
  </si>
  <si>
    <t>-599.777989905047 3.29988734265521 -214.264687229487</t>
  </si>
  <si>
    <t>-600.926071622747 6.61080138279772 -561.458724033356</t>
  </si>
  <si>
    <t>-590.062260049886 143.265399890767 -551.285796140065</t>
  </si>
  <si>
    <t>-588.758711544413 184.465700289072 -259.923411524842</t>
  </si>
  <si>
    <t>-349.502848951316 197.589332436769 -234.719114059259</t>
  </si>
  <si>
    <t>-587.53041748158 107.155058895475 -106.782506327376</t>
  </si>
  <si>
    <t>-588.68919302556 129.215809605168 296.164979374502</t>
  </si>
  <si>
    <t>-633.523069976625 169.269199693122 740.103578074636</t>
  </si>
  <si>
    <t>-488.796213390087 153.414415306268 802.473746137498</t>
  </si>
  <si>
    <t>-530.520023979873 -74.0072710156749 304.555820193759</t>
  </si>
  <si>
    <t>-549.800258062606 -57.7118704166974 751.672486819145</t>
  </si>
  <si>
    <t>-445.596283204518 -152.143386241846 824.552698893771</t>
  </si>
  <si>
    <t>9763-20170724T105001.912015600.bin</t>
  </si>
  <si>
    <t>-576.878023252578 10.9605728910381 -100.961611017151</t>
  </si>
  <si>
    <t>-599.784905460543 2.86031149684914 -214.213028240533</t>
  </si>
  <si>
    <t>-600.883476278209 6.18645716758942 -561.404279669366</t>
  </si>
  <si>
    <t>-589.871802415596 142.832403302651 -551.228976358048</t>
  </si>
  <si>
    <t>-587.362850576362 184.177629514143 -259.894899758401</t>
  </si>
  <si>
    <t>-347.998038795531 196.853847838797 -235.509309342189</t>
  </si>
  <si>
    <t>-587.311461213265 106.651138700782 -106.745660662997</t>
  </si>
  <si>
    <t>-588.512810294301 128.892130857411 296.191826065164</t>
  </si>
  <si>
    <t>-633.456311911193 169.05937911411 740.103870488195</t>
  </si>
  <si>
    <t>-488.712483533213 153.4573859641 802.498613789948</t>
  </si>
  <si>
    <t>-530.737745851376 -74.1003612714587 304.58347783297</t>
  </si>
  <si>
    <t>-549.821340546672 -57.6163290634915 751.704116757068</t>
  </si>
  <si>
    <t>-445.758171500778 -152.21784600942 824.564984282604</t>
  </si>
  <si>
    <t>9763-20170724T105001.946105900.bin</t>
  </si>
  <si>
    <t>-576.88172732381 10.8589477398568 -100.939879342156</t>
  </si>
  <si>
    <t>-599.808855684263 2.76364662941728 -214.187594586689</t>
  </si>
  <si>
    <t>-600.935066014613 6.04248541940569 -561.379168980248</t>
  </si>
  <si>
    <t>-589.78520587887 142.6836550441 -551.246942518694</t>
  </si>
  <si>
    <t>-586.727433391679 184.167326318953 -259.937988627104</t>
  </si>
  <si>
    <t>-347.30125701897 196.585193291394 -236.026086027926</t>
  </si>
  <si>
    <t>-587.230326909944 106.521982579402 -106.73214714564</t>
  </si>
  <si>
    <t>-588.434454192573 128.772075137287 296.204786864842</t>
  </si>
  <si>
    <t>-633.446834510382 169.044698208307 740.108884236167</t>
  </si>
  <si>
    <t>-488.697196842759 153.5166316774 802.508446707292</t>
  </si>
  <si>
    <t>-530.842304388255 -74.2033323008914 304.607300295012</t>
  </si>
  <si>
    <t>-549.861089212022 -57.6366047558713 751.72283873935</t>
  </si>
  <si>
    <t>-445.760490728854 -152.205118365268 824.572914022826</t>
  </si>
  <si>
    <t>9763-20170724T105002.012463900.bin</t>
  </si>
  <si>
    <t>-577.05661276236 10.9100781219497 -100.920354877687</t>
  </si>
  <si>
    <t>-599.998467788848 2.80886676085629 -214.164601087078</t>
  </si>
  <si>
    <t>-601.264243439816 5.92082767578381 -561.360298249129</t>
  </si>
  <si>
    <t>-589.844813654845 142.545663100666 -551.287064559658</t>
  </si>
  <si>
    <t>-585.774649513708 184.098092442724 -260.00025857741</t>
  </si>
  <si>
    <t>-346.265261698291 196.257708776999 -236.800696353519</t>
  </si>
  <si>
    <t>-587.291911056206 106.499815190198 -106.741061298087</t>
  </si>
  <si>
    <t>-588.281865361104 128.702458947295 296.199016347262</t>
  </si>
  <si>
    <t>-633.439997456343 169.078895468098 740.087917882035</t>
  </si>
  <si>
    <t>-488.703607685484 153.476775724586 802.499712652462</t>
  </si>
  <si>
    <t>-531.127865922053 -74.2646253128223 304.650541922043</t>
  </si>
  <si>
    <t>-549.947826550318 -57.7013437185415 751.760270891767</t>
  </si>
  <si>
    <t>-445.897277819764 -152.329036117367 824.605298221544</t>
  </si>
  <si>
    <t>9763-20170724T105002.048559900.bin</t>
  </si>
  <si>
    <t>-577.093489688591 10.7608259784749 -100.91713326851</t>
  </si>
  <si>
    <t>-600.03500614665 2.65688202687898 -214.161324599758</t>
  </si>
  <si>
    <t>-601.316305893619 5.67326528682224 -561.359033296299</t>
  </si>
  <si>
    <t>-589.780056643133 142.290649243133 -551.316946060259</t>
  </si>
  <si>
    <t>-585.448117254513 183.825825399398 -260.031412915192</t>
  </si>
  <si>
    <t>-345.922484778761 195.92990181004 -236.969127177527</t>
  </si>
  <si>
    <t>-587.224313529491 106.307194137095 -106.745929706709</t>
  </si>
  <si>
    <t>-588.174540733036 128.564799455673 296.191234770484</t>
  </si>
  <si>
    <t>-633.415032866338 168.972990499311 740.068317955427</t>
  </si>
  <si>
    <t>-488.671208761359 153.464060653631 802.486180297969</t>
  </si>
  <si>
    <t>-531.380211320605 -74.35142232262 304.673513246645</t>
  </si>
  <si>
    <t>-550.032245113847 -57.7980395761722 751.791193470389</t>
  </si>
  <si>
    <t>-445.796597338368 -152.238504860146 824.614302503189</t>
  </si>
  <si>
    <t>9763-20170724T105002.113312800.bin</t>
  </si>
  <si>
    <t>-576.98361476479 10.5969393656815 -100.896811845702</t>
  </si>
  <si>
    <t>-599.921162110397 2.49490291707411 -214.141921520891</t>
  </si>
  <si>
    <t>-601.143080125552 5.39897775952022 -561.341651451582</t>
  </si>
  <si>
    <t>-589.436905810943 142.001622052689 -551.343506874813</t>
  </si>
  <si>
    <t>-584.998838036803 183.642024034617 -260.074514130628</t>
  </si>
  <si>
    <t>-345.493505044919 195.777706764563 -236.81924442753</t>
  </si>
  <si>
    <t>-586.983143602135 106.056675708163 -106.740482570706</t>
  </si>
  <si>
    <t>-587.83770416762 128.362653669302 296.194235273707</t>
  </si>
  <si>
    <t>-633.420765871478 168.995436646948 740.029613073261</t>
  </si>
  <si>
    <t>-488.6655530071 153.543440756803 802.435214364608</t>
  </si>
  <si>
    <t>-531.52848660735 -74.4208882742107 304.72461974951</t>
  </si>
  <si>
    <t>-550.010487361655 -57.6480625563586 751.83425458348</t>
  </si>
  <si>
    <t>-445.883419350994 -152.21736939421 824.645670342378</t>
  </si>
  <si>
    <t>9763-20170724T105002.148410600.bin</t>
  </si>
  <si>
    <t>-576.913011759494 10.5843448829999 -100.887242039393</t>
  </si>
  <si>
    <t>-599.837944874855 2.49518532063576 -214.135672644609</t>
  </si>
  <si>
    <t>-601.045533054305 5.34310955376691 -561.338808875577</t>
  </si>
  <si>
    <t>-589.315050053189 141.94704037586 -551.352174872426</t>
  </si>
  <si>
    <t>-584.875427522416 183.73678959681 -260.104598618995</t>
  </si>
  <si>
    <t>-345.395786141574 195.855502622416 -236.57811873927</t>
  </si>
  <si>
    <t>-586.892731317488 106.018233322236 -106.728224869304</t>
  </si>
  <si>
    <t>-587.672340458065 128.314981326475 296.207153839071</t>
  </si>
  <si>
    <t>-633.421883428451 169.006078403762 740.011118615122</t>
  </si>
  <si>
    <t>-488.694550557142 153.294846575262 802.416584845792</t>
  </si>
  <si>
    <t>-531.515537747873 -74.4015820052443 304.74177878715</t>
  </si>
  <si>
    <t>-549.940877846702 -57.4645728994603 751.847540939855</t>
  </si>
  <si>
    <t>-446.036324398476 -152.27426771697 824.664290082421</t>
  </si>
  <si>
    <t>9763-20170724T105002.214435700.bin</t>
  </si>
  <si>
    <t>-576.836055946032 10.488158803234 -100.859603466475</t>
  </si>
  <si>
    <t>-599.753261273398 2.40320011602989 -214.109995007463</t>
  </si>
  <si>
    <t>-601.135534512382 5.18004864757063 -561.317999035141</t>
  </si>
  <si>
    <t>-589.413217294783 141.786148887948 -551.366565195649</t>
  </si>
  <si>
    <t>-585.133810816323 183.813618661923 -260.150838799521</t>
  </si>
  <si>
    <t>-345.695657026032 195.829937752133 -236.155143725348</t>
  </si>
  <si>
    <t>-586.801911380152 105.982737757925 -106.701269430483</t>
  </si>
  <si>
    <t>-587.481687442302 128.206979885998 296.238316677236</t>
  </si>
  <si>
    <t>-633.447227025669 169.096584040423 739.987725769112</t>
  </si>
  <si>
    <t>-488.760167031247 152.962495272859 802.378553883555</t>
  </si>
  <si>
    <t>-531.56405452994 -74.5464306094661 304.777311085284</t>
  </si>
  <si>
    <t>-550.109648985548 -57.6970561460107 751.889796394499</t>
  </si>
  <si>
    <t>-446.093474894813 -152.400364595862 824.685397824478</t>
  </si>
  <si>
    <t>9763-20170724T105002.248526400.bin</t>
  </si>
  <si>
    <t>-576.787709307788 10.4880615582708 -100.85615883525</t>
  </si>
  <si>
    <t>-599.715528283198 2.4055722721057 -214.104651437521</t>
  </si>
  <si>
    <t>-601.325607633193 5.21817086621286 -561.313509868086</t>
  </si>
  <si>
    <t>-589.651581497252 141.827279184181 -551.357774066778</t>
  </si>
  <si>
    <t>-585.530947622275 183.897959726657 -260.145985132387</t>
  </si>
  <si>
    <t>-346.123050011996 195.878956423174 -235.831921333027</t>
  </si>
  <si>
    <t>-586.750575532449 105.970363951357 -106.695980106044</t>
  </si>
  <si>
    <t>-587.400288359386 128.201883095851 296.2431720472</t>
  </si>
  <si>
    <t>-633.461369853985 169.158428475216 739.971552095448</t>
  </si>
  <si>
    <t>-488.772125944888 153.00543603315 802.35255179765</t>
  </si>
  <si>
    <t>-531.493995918144 -74.4949100223882 304.777881673025</t>
  </si>
  <si>
    <t>-550.00206403276 -57.4409348085358 751.889352934495</t>
  </si>
  <si>
    <t>-446.269409261918 -152.447610839914 824.694311965675</t>
  </si>
  <si>
    <t>9763-20170724T105002.315711200.bin</t>
  </si>
  <si>
    <t>-576.724401398148 10.4788092413796 -100.858633825747</t>
  </si>
  <si>
    <t>-599.680280640911 2.39868084183854 -214.101560683115</t>
  </si>
  <si>
    <t>-601.916395868627 5.34632175106253 -561.311145171882</t>
  </si>
  <si>
    <t>-590.400491679491 141.967187592348 -551.33184405094</t>
  </si>
  <si>
    <t>-586.656895445537 184.020485658232 -260.112443018693</t>
  </si>
  <si>
    <t>-347.268567324752 195.849346373082 -235.532880301167</t>
  </si>
  <si>
    <t>-586.651395164417 105.896968710927 -106.686413307622</t>
  </si>
  <si>
    <t>-587.269488395005 128.103261968287 296.254265787217</t>
  </si>
  <si>
    <t>-633.445640380717 169.046192842453 739.955728303486</t>
  </si>
  <si>
    <t>-488.720866210765 153.098183713933 802.307069430692</t>
  </si>
  <si>
    <t>-531.385552593271 -74.5905733758439 304.779299005157</t>
  </si>
  <si>
    <t>-550.0240866227 -57.4226928647031 751.887615325233</t>
  </si>
  <si>
    <t>-446.134880772057 -152.263010378142 824.68646778562</t>
  </si>
  <si>
    <t>9763-20170724T105002.344786600.bin</t>
  </si>
  <si>
    <t>-576.700509540675 10.4306852557363 -100.861042929883</t>
  </si>
  <si>
    <t>-599.663461195726 2.35179679616863 -214.10259220829</t>
  </si>
  <si>
    <t>-602.238158290757 5.31840242547605 -561.314981792209</t>
  </si>
  <si>
    <t>-590.820653524234 141.946279887595 -551.30675547722</t>
  </si>
  <si>
    <t>-587.168315979179 183.933931914579 -260.076698379816</t>
  </si>
  <si>
    <t>-347.781738425572 195.710875913117 -235.455120765598</t>
  </si>
  <si>
    <t>-586.625102646343 105.837206976819 -106.688194559614</t>
  </si>
  <si>
    <t>-587.209252474407 128.007131574572 296.254507749831</t>
  </si>
  <si>
    <t>-633.410156160511 168.864935080102 739.943381018963</t>
  </si>
  <si>
    <t>-488.640073289876 153.285388555452 802.28266633422</t>
  </si>
  <si>
    <t>-531.321534611372 -74.6192237387386 304.757173951434</t>
  </si>
  <si>
    <t>-550.058848111998 -57.4800069603191 751.876888486112</t>
  </si>
  <si>
    <t>-445.98979102087 -152.123649039073 824.674425891426</t>
  </si>
  <si>
    <t>9763-20170724T105002.412493000.bin</t>
  </si>
  <si>
    <t>-576.543017780313 10.5278778903573 -100.89256082342</t>
  </si>
  <si>
    <t>-599.501245712591 2.41149627084906 -214.132443510954</t>
  </si>
  <si>
    <t>-602.550278999415 5.60488944510644 -561.338071337194</t>
  </si>
  <si>
    <t>-591.211976232354 142.225303190072 -551.231593998183</t>
  </si>
  <si>
    <t>-587.215788215018 184.062168139823 -259.984457162505</t>
  </si>
  <si>
    <t>-347.79079799412 195.629960212317 -235.63842205144</t>
  </si>
  <si>
    <t>-586.552330745551 105.985144912622 -106.723611269286</t>
  </si>
  <si>
    <t>-587.216615711 128.093745042937 296.222349686271</t>
  </si>
  <si>
    <t>-633.387133361073 168.847547305445 739.908981202771</t>
  </si>
  <si>
    <t>-488.632028168411 153.22513728986 802.272420691228</t>
  </si>
  <si>
    <t>-531.078051035951 -74.5068145554471 304.740484813817</t>
  </si>
  <si>
    <t>-550.194996514996 -57.6837554381375 751.870048979145</t>
  </si>
  <si>
    <t>-446.079319402406 -152.276236322523 824.667652209967</t>
  </si>
  <si>
    <t>9763-20170724T105002.444579100.bin</t>
  </si>
  <si>
    <t>-576.410819673114 10.6221138347928 -100.918785283527</t>
  </si>
  <si>
    <t>-599.333464354428 2.49057208890122 -214.164795035774</t>
  </si>
  <si>
    <t>-602.534297549921 5.77842461989326 -561.368768550902</t>
  </si>
  <si>
    <t>-591.159953295031 142.399117142819 -551.219327816887</t>
  </si>
  <si>
    <t>-586.718972379649 184.331140348589 -259.992255431789</t>
  </si>
  <si>
    <t>-347.258058892261 195.671305646588 -235.893489703143</t>
  </si>
  <si>
    <t>-586.47758863582 106.053199139581 -106.751404170867</t>
  </si>
  <si>
    <t>-587.269333444705 128.233031098528 296.190368386055</t>
  </si>
  <si>
    <t>-633.373515816868 168.863976535206 739.891441842709</t>
  </si>
  <si>
    <t>-488.613351338655 153.340589118484 802.267892011936</t>
  </si>
  <si>
    <t>-530.929943859757 -74.37612914497 304.727476378571</t>
  </si>
  <si>
    <t>-550.12191143769 -57.5193692477303 751.853417502718</t>
  </si>
  <si>
    <t>-446.066096733941 -152.173179502598 824.656719193869</t>
  </si>
  <si>
    <t>9763-20170724T105002.514270700.bin</t>
  </si>
  <si>
    <t>-576.151417369626 10.8554610277386 -100.924871100794</t>
  </si>
  <si>
    <t>-598.996783559262 2.69246497405993 -214.184176133872</t>
  </si>
  <si>
    <t>-602.442361210115 6.06062652509013 -561.388155973865</t>
  </si>
  <si>
    <t>-591.028295227653 142.677635952997 -551.262861179746</t>
  </si>
  <si>
    <t>-585.365676452128 185.211694620377 -260.144366770178</t>
  </si>
  <si>
    <t>-345.838572064968 195.897874881703 -236.407655761606</t>
  </si>
  <si>
    <t>-586.350141896809 106.232964878105 -106.786453812874</t>
  </si>
  <si>
    <t>-587.272983770225 128.363687413245 296.157738488065</t>
  </si>
  <si>
    <t>-633.328000580754 168.70201003461 739.889613046166</t>
  </si>
  <si>
    <t>-488.523847217096 153.568606406215 802.259591381472</t>
  </si>
  <si>
    <t>-530.558018541959 -74.1867112497146 304.713399530601</t>
  </si>
  <si>
    <t>-550.052748000288 -57.3724908392703 751.819817465396</t>
  </si>
  <si>
    <t>-446.206970402712 -152.225221543662 824.66398503351</t>
  </si>
  <si>
    <t>9763-20170724T105002.543347900.bin</t>
  </si>
  <si>
    <t>-576.108877383312 10.9947173927396 -100.922853873067</t>
  </si>
  <si>
    <t>-598.957366313675 2.8272733601093 -214.181269208486</t>
  </si>
  <si>
    <t>-602.502435089839 6.20100648464222 -561.385451849887</t>
  </si>
  <si>
    <t>-591.089578025942 142.824430264244 -551.298514104385</t>
  </si>
  <si>
    <t>-584.99663937023 185.549880544926 -260.216589429941</t>
  </si>
  <si>
    <t>-345.437821348002 196.09167907314 -236.736730316991</t>
  </si>
  <si>
    <t>-586.364945334277 106.423742812447 -106.798291267428</t>
  </si>
  <si>
    <t>-587.288918883294 128.454338772441 296.151439416676</t>
  </si>
  <si>
    <t>-633.329643145446 168.750697950728 739.8911774838</t>
  </si>
  <si>
    <t>-488.557444345419 153.332202783915 802.26540630679</t>
  </si>
  <si>
    <t>-530.487700037734 -74.1238960981887 304.701833739398</t>
  </si>
  <si>
    <t>-550.036826029399 -57.3348901027207 751.799588387407</t>
  </si>
  <si>
    <t>-445.959038964594 -151.932428711208 824.644548631126</t>
  </si>
  <si>
    <t>9763-20170724T105002.609066600.bin</t>
  </si>
  <si>
    <t>-576.083365513999 11.211858743221 -100.966311474027</t>
  </si>
  <si>
    <t>-598.953064091563 3.05193075281727 -214.220870283668</t>
  </si>
  <si>
    <t>-602.704767674011 6.43056114059004 -561.426138283243</t>
  </si>
  <si>
    <t>-591.293104819997 143.057293543799 -551.405217405719</t>
  </si>
  <si>
    <t>-584.792565015011 185.928479608115 -260.353677717501</t>
  </si>
  <si>
    <t>-345.194367407795 196.174704052808 -237.146552051687</t>
  </si>
  <si>
    <t>-586.348676897739 106.755796426374 -106.812219678202</t>
  </si>
  <si>
    <t>-587.22146233942 128.581754692242 296.148720890092</t>
  </si>
  <si>
    <t>-633.339157614966 168.834300843058 739.892905356971</t>
  </si>
  <si>
    <t>-488.578777681698 153.334358140562 802.274628901602</t>
  </si>
  <si>
    <t>-530.472542874217 -73.9931516042552 304.669705229469</t>
  </si>
  <si>
    <t>-550.131796159666 -57.4824738037526 751.78540292783</t>
  </si>
  <si>
    <t>-445.79365519161 -151.795252077072 824.627284426144</t>
  </si>
  <si>
    <t>9763-20170724T105002.644160100.bin</t>
  </si>
  <si>
    <t>-576.056937834363 11.2898432211891 -100.970543779197</t>
  </si>
  <si>
    <t>-598.937488311604 3.13865533807871 -214.223653859692</t>
  </si>
  <si>
    <t>-602.805860801602 6.5852688932714 -561.427115683283</t>
  </si>
  <si>
    <t>-591.405506682107 143.210128614827 -551.434833050073</t>
  </si>
  <si>
    <t>-584.851229584976 186.218667217356 -260.404774248764</t>
  </si>
  <si>
    <t>-345.242415503829 196.278939106846 -237.225858043795</t>
  </si>
  <si>
    <t>-586.292369644996 106.75727202837 -106.802921458724</t>
  </si>
  <si>
    <t>-587.183765096561 128.565244383764 296.158986284063</t>
  </si>
  <si>
    <t>-633.308960952081 168.672127255468 739.907660798242</t>
  </si>
  <si>
    <t>-488.517221306492 153.428840713924 802.279976479128</t>
  </si>
  <si>
    <t>-530.405620557695 -73.9668990732191 304.66391574893</t>
  </si>
  <si>
    <t>-550.134955365569 -57.4685097674039 751.773053581674</t>
  </si>
  <si>
    <t>-445.797287477551 -151.777906537244 824.620054123549</t>
  </si>
  <si>
    <t>9763-20170724T105002.714076400.bin</t>
  </si>
  <si>
    <t>-575.930552342016 11.5541626112131 -100.965773432886</t>
  </si>
  <si>
    <t>-598.840565458637 3.40842475348131 -214.213221997656</t>
  </si>
  <si>
    <t>-602.827576569558 6.96207697159912 -561.41221899581</t>
  </si>
  <si>
    <t>-591.415493142943 143.595643553243 -551.479083542475</t>
  </si>
  <si>
    <t>-584.846573848205 186.641458091455 -260.454722704261</t>
  </si>
  <si>
    <t>-345.221509728254 196.441037431215 -237.331956083139</t>
  </si>
  <si>
    <t>-586.159056092766 106.963549487134 -106.781642528937</t>
  </si>
  <si>
    <t>-587.023406135227 128.720156850993 296.183017736162</t>
  </si>
  <si>
    <t>-633.322889510321 168.743383222463 739.921634808148</t>
  </si>
  <si>
    <t>-488.546070432401 153.342170182621 802.289682867973</t>
  </si>
  <si>
    <t>-530.164096001555 -73.8474160714611 304.651765260825</t>
  </si>
  <si>
    <t>-550.060063645477 -57.2885898940854 751.752222694555</t>
  </si>
  <si>
    <t>-445.899722050988 -151.773092542009 824.626083634701</t>
  </si>
  <si>
    <t>9763-20170724T105002.743154900.bin</t>
  </si>
  <si>
    <t>-575.915961947062 11.580208033721 -100.960687844591</t>
  </si>
  <si>
    <t>-598.852033873882 3.4249799624904 -214.202229107669</t>
  </si>
  <si>
    <t>-602.920144605483 7.03241413404089 -561.39762814045</t>
  </si>
  <si>
    <t>-591.520702897177 143.670293681898 -551.500566228519</t>
  </si>
  <si>
    <t>-584.964507030968 186.726675012481 -260.477607115951</t>
  </si>
  <si>
    <t>-345.327012087969 196.343885448533 -237.40641525857</t>
  </si>
  <si>
    <t>-586.170623490448 107.05583815964 -106.779520417856</t>
  </si>
  <si>
    <t>-586.950294414166 128.755428819418 296.188460098792</t>
  </si>
  <si>
    <t>-633.342361397743 168.844269227896 739.9219065249</t>
  </si>
  <si>
    <t>-488.58336725469 153.277946475886 802.290499783084</t>
  </si>
  <si>
    <t>-530.133946309564 -73.8956035508982 304.660807343139</t>
  </si>
  <si>
    <t>-550.140943319109 -57.41505617505 751.758235424063</t>
  </si>
  <si>
    <t>-445.734031901925 -151.638153881221 824.617681401378</t>
  </si>
  <si>
    <t>9763-20170724T105002.813852200.bin</t>
  </si>
  <si>
    <t>-575.889878500907 11.5716821855042 -100.943613771478</t>
  </si>
  <si>
    <t>-598.869158400065 3.39751246396645 -214.175057786319</t>
  </si>
  <si>
    <t>-603.155248905496 7.07900956182516 -561.365992097534</t>
  </si>
  <si>
    <t>-591.822308270534 143.721899164317 -551.502405678114</t>
  </si>
  <si>
    <t>-585.282558619664 186.817583687716 -260.484840799183</t>
  </si>
  <si>
    <t>-345.625732848008 196.245315943394 -237.5367672337</t>
  </si>
  <si>
    <t>-586.265498360021 107.072561425081 -106.759324872494</t>
  </si>
  <si>
    <t>-586.841224290365 128.697290779317 296.213009141624</t>
  </si>
  <si>
    <t>-633.341060671205 168.825123604103 739.931003323499</t>
  </si>
  <si>
    <t>-488.564542584079 153.400728980786 802.294102935013</t>
  </si>
  <si>
    <t>-529.943578289399 -73.8754141524109 304.653479272995</t>
  </si>
  <si>
    <t>-550.102008022809 -57.2900539072327 751.746668112962</t>
  </si>
  <si>
    <t>-445.843019820323 -151.673682621371 824.610217200835</t>
  </si>
  <si>
    <t>9763-20170724T105002.845936900.bin</t>
  </si>
  <si>
    <t>-575.883993432339 11.5548399023485 -100.936627198749</t>
  </si>
  <si>
    <t>-598.891677188678 3.36837023057979 -214.161341381893</t>
  </si>
  <si>
    <t>-603.284757392997 7.09788943330341 -561.349220808661</t>
  </si>
  <si>
    <t>-592.028583231739 143.74753554757 -551.489103796458</t>
  </si>
  <si>
    <t>-585.452143396248 186.892937835352 -260.479777198358</t>
  </si>
  <si>
    <t>-345.79839992993 196.240662593997 -237.467574741192</t>
  </si>
  <si>
    <t>-586.285267897862 107.045041325769 -106.756740437884</t>
  </si>
  <si>
    <t>-586.799158973189 128.638570580484 296.21737128649</t>
  </si>
  <si>
    <t>-633.318323040648 168.73481842517 739.930221738457</t>
  </si>
  <si>
    <t>-488.540644381466 153.342108227483 802.298196370175</t>
  </si>
  <si>
    <t>-529.836461118633 -73.9109899917123 304.657080419618</t>
  </si>
  <si>
    <t>-550.129434678666 -57.3191290373734 751.745129000983</t>
  </si>
  <si>
    <t>-445.860636729531 -151.691961585909 824.608657841507</t>
  </si>
  <si>
    <t>9763-20170724T105002.917151100.bin</t>
  </si>
  <si>
    <t>-575.733380030065 11.2491634428093 -100.946768064633</t>
  </si>
  <si>
    <t>-598.743330344179 3.04958212096835 -214.170105515047</t>
  </si>
  <si>
    <t>-603.161549647437 7.01963257629927 -561.348194497769</t>
  </si>
  <si>
    <t>-592.065984752836 143.681689794726 -551.494009048624</t>
  </si>
  <si>
    <t>-585.161494848579 187.089357570451 -260.531138203791</t>
  </si>
  <si>
    <t>-345.448499643124 196.107375924644 -238.010723329976</t>
  </si>
  <si>
    <t>-586.093878760675 106.621028757256 -106.748434082413</t>
  </si>
  <si>
    <t>-586.579871978777 128.36519044935 296.217604479022</t>
  </si>
  <si>
    <t>-633.233020569803 168.421673404633 739.905508687158</t>
  </si>
  <si>
    <t>-488.384425098544 153.776829436159 802.289013139958</t>
  </si>
  <si>
    <t>-529.745089448853 -73.953282564923 304.657974650931</t>
  </si>
  <si>
    <t>-550.128826468731 -57.2504202177995 751.742162785196</t>
  </si>
  <si>
    <t>-446.130276427581 -151.918432353671 824.608799634017</t>
  </si>
  <si>
    <t>9763-20170724T105002.978313600.bin</t>
  </si>
  <si>
    <t>-575.84097004407 11.0317222177137 -100.950040679717</t>
  </si>
  <si>
    <t>-598.74661183114 2.86224822140161 -214.196695994585</t>
  </si>
  <si>
    <t>-603.015381118243 6.90599024840026 -561.380217750235</t>
  </si>
  <si>
    <t>-592.107580923274 143.594247796807 -551.632517611025</t>
  </si>
  <si>
    <t>-584.111901905257 187.737594950316 -260.80845182098</t>
  </si>
  <si>
    <t>-344.290683607061 196.252202523529 -239.264309303456</t>
  </si>
  <si>
    <t>-586.093429230015 106.384237353475 -106.743891001046</t>
  </si>
  <si>
    <t>-586.504969904128 128.228775432193 296.216851232493</t>
  </si>
  <si>
    <t>-633.198563164883 168.329876758528 739.884690463878</t>
  </si>
  <si>
    <t>-488.326917127724 153.977931105402 802.282930510675</t>
  </si>
  <si>
    <t>-530.02464903404 -74.1622012258599 304.66642881067</t>
  </si>
  <si>
    <t>-550.261100197702 -57.4584390152957 751.754566213261</t>
  </si>
  <si>
    <t>-445.711262084435 -151.548425536777 824.581330298819</t>
  </si>
  <si>
    <t>9763-20170724T105003.012442400.bin</t>
  </si>
  <si>
    <t>-575.958314967916 11.2157877902071 -100.938276778595</t>
  </si>
  <si>
    <t>-598.816356220206 3.05413290930028 -214.19515566542</t>
  </si>
  <si>
    <t>-602.937872827755 7.05398526549425 -561.383362256887</t>
  </si>
  <si>
    <t>-592.067277910629 143.747262810151 -551.734795353698</t>
  </si>
  <si>
    <t>-583.781808894634 188.414887654102 -260.998899058888</t>
  </si>
  <si>
    <t>-343.935161989217 196.730460945332 -239.66081562616</t>
  </si>
  <si>
    <t>-586.227619815121 106.48361293667 -106.744560374363</t>
  </si>
  <si>
    <t>-586.627652301577 128.36976316789 296.213847531407</t>
  </si>
  <si>
    <t>-633.213858205037 168.410988780839 739.886299316031</t>
  </si>
  <si>
    <t>-488.36203100419 153.896063043438 802.292643112534</t>
  </si>
  <si>
    <t>-530.008539589625 -74.037680149178 304.656594833381</t>
  </si>
  <si>
    <t>-550.155968547072 -57.2446138016419 751.742564724192</t>
  </si>
  <si>
    <t>-446.038758189206 -151.789562580858 824.599674233884</t>
  </si>
  <si>
    <t>9763-20170724T105003.046524300.bin</t>
  </si>
  <si>
    <t>-576.141162669931 11.245743795128 -100.927731672343</t>
  </si>
  <si>
    <t>-598.955209882306 3.09118854776261 -214.19401855074</t>
  </si>
  <si>
    <t>-602.877916547771 7.03865748790531 -561.386915810481</t>
  </si>
  <si>
    <t>-592.048652416765 143.751375293187 -551.854551018232</t>
  </si>
  <si>
    <t>-583.625473761874 188.74362418037 -261.172688660591</t>
  </si>
  <si>
    <t>-343.77101196067 196.992231675785 -239.897144262983</t>
  </si>
  <si>
    <t>-586.394967787283 106.544681511002 -106.750772310183</t>
  </si>
  <si>
    <t>-586.834730271688 128.448541413378 296.206636629531</t>
  </si>
  <si>
    <t>-633.232030333486 168.525297865944 739.888473553073</t>
  </si>
  <si>
    <t>-488.392055206908 153.931676302062 802.304040592049</t>
  </si>
  <si>
    <t>-530.198557533105 -74.0559498246494 304.646025357097</t>
  </si>
  <si>
    <t>-550.195076248673 -57.3108722610477 751.743112772597</t>
  </si>
  <si>
    <t>-445.734808953407 -151.491705451366 824.580758876958</t>
  </si>
  <si>
    <t>9763-20170724T105003.108731200.bin</t>
  </si>
  <si>
    <t>-576.454208181698 11.1247618363618 -100.932105732662</t>
  </si>
  <si>
    <t>-599.193650103971 2.93511727076202 -214.210833748598</t>
  </si>
  <si>
    <t>-602.774100084622 6.71555595707378 -561.411490547297</t>
  </si>
  <si>
    <t>-592.079327367966 143.445833054839 -552.015485466584</t>
  </si>
  <si>
    <t>-583.454887242518 189.081819663293 -261.439942654721</t>
  </si>
  <si>
    <t>-343.601169803409 196.982895306636 -240.024787844331</t>
  </si>
  <si>
    <t>-586.742914740853 106.356075382809 -106.779583461416</t>
  </si>
  <si>
    <t>-587.153241381432 128.416171179857 296.1693785098</t>
  </si>
  <si>
    <t>-633.178630387306 168.352155303622 739.888375522731</t>
  </si>
  <si>
    <t>-488.314245242609 154.09319217662 802.324686249091</t>
  </si>
  <si>
    <t>-530.492931783926 -74.0178463903144 304.648172646025</t>
  </si>
  <si>
    <t>-550.176405115036 -57.2213781952605 751.762741669869</t>
  </si>
  <si>
    <t>-445.900060058344 -151.611868032482 824.592467668774</t>
  </si>
  <si>
    <t>9763-20170724T105003.151844700.bin</t>
  </si>
  <si>
    <t>-576.648903930123 10.9342568120276 -100.934641675152</t>
  </si>
  <si>
    <t>-599.365240523715 2.71791225467246 -214.216152137764</t>
  </si>
  <si>
    <t>-602.788828640744 6.42140095586456 -561.419311929547</t>
  </si>
  <si>
    <t>-592.198501276208 143.157103479246 -552.077337041735</t>
  </si>
  <si>
    <t>-583.314696059517 189.064478289054 -261.552181723233</t>
  </si>
  <si>
    <t>-343.454988098616 196.864977231026 -240.165937132845</t>
  </si>
  <si>
    <t>-586.976791968941 106.183645040886 -106.790049682762</t>
  </si>
  <si>
    <t>-587.327908541395 128.337799266322 296.153814081122</t>
  </si>
  <si>
    <t>-633.172728484898 168.364231911668 739.884987949096</t>
  </si>
  <si>
    <t>-488.302020650317 154.235514763096 802.336229145262</t>
  </si>
  <si>
    <t>-530.632815087469 -74.2165786936166 304.658095281276</t>
  </si>
  <si>
    <t>-550.273618338856 -57.3953150577984 751.776875597642</t>
  </si>
  <si>
    <t>-445.573977978477 -151.342904011996 824.572241468469</t>
  </si>
  <si>
    <t>9763-20170724T105003.211058700.bin</t>
  </si>
  <si>
    <t>-576.855322723546 10.7144280644645 -100.9306761576</t>
  </si>
  <si>
    <t>-599.510343519269 2.4493408537603 -214.22077555293</t>
  </si>
  <si>
    <t>-602.404839322772 6.09375636165737 -561.42485312204</t>
  </si>
  <si>
    <t>-592.107380086005 142.85757319343 -552.116583158255</t>
  </si>
  <si>
    <t>-582.745922178784 189.032741135383 -261.648866354865</t>
  </si>
  <si>
    <t>-342.886611927688 196.972853600123 -240.310001358894</t>
  </si>
  <si>
    <t>-587.336788501487 105.903850317605 -106.791838535795</t>
  </si>
  <si>
    <t>-587.561931510037 128.289965666583 296.139272731047</t>
  </si>
  <si>
    <t>-633.173623434306 168.404697414982 739.893660771209</t>
  </si>
  <si>
    <t>-488.330900845064 154.117836031994 802.37373763421</t>
  </si>
  <si>
    <t>-530.682389691398 -74.3075918991017 304.670663145738</t>
  </si>
  <si>
    <t>-550.192572356406 -57.1917986449917 751.792518875217</t>
  </si>
  <si>
    <t>-445.913947594271 -151.60503146808 824.589544419218</t>
  </si>
  <si>
    <t>9763-20170724T105003.246151500.bin</t>
  </si>
  <si>
    <t>-576.973497240233 10.5756676562623 -100.92334267096</t>
  </si>
  <si>
    <t>-599.608742060816 2.29342001503937 -214.216218877678</t>
  </si>
  <si>
    <t>-602.228722873342 5.88395784501495 -561.421486901002</t>
  </si>
  <si>
    <t>-592.068499001291 142.666599680241 -552.099839747414</t>
  </si>
  <si>
    <t>-582.54098560199 188.892945859437 -261.645650309774</t>
  </si>
  <si>
    <t>-342.681715237554 196.92075207881 -240.339836551333</t>
  </si>
  <si>
    <t>-587.503364389853 105.768553822776 -106.777461285414</t>
  </si>
  <si>
    <t>-587.654031392042 128.259078650119 296.147826742972</t>
  </si>
  <si>
    <t>-633.193285063919 168.483109557717 739.901543716533</t>
  </si>
  <si>
    <t>-488.372094982723 154.022944961452 802.391861300599</t>
  </si>
  <si>
    <t>-530.749050609397 -74.3776852742981 304.685272247703</t>
  </si>
  <si>
    <t>-550.181856568758 -57.1610288712593 751.803412852465</t>
  </si>
  <si>
    <t>-445.878476775766 -151.553677170624 824.591573921112</t>
  </si>
  <si>
    <t>9763-20170724T105003.324902200.bin</t>
  </si>
  <si>
    <t>-577.046440476372 10.3218976173064 -100.903052647285</t>
  </si>
  <si>
    <t>-599.659093667921 2.0225618298366 -214.199172359415</t>
  </si>
  <si>
    <t>-602.064694459298 5.54867871102374 -561.406204535313</t>
  </si>
  <si>
    <t>-592.048754317174 142.331400118473 -552.055814548151</t>
  </si>
  <si>
    <t>-582.268590035453 188.574761274335 -261.612823630454</t>
  </si>
  <si>
    <t>-342.418395439119 196.745457665001 -240.259475825595</t>
  </si>
  <si>
    <t>-587.632331197825 105.513151921634 -106.753463285648</t>
  </si>
  <si>
    <t>-587.669926362678 128.082650545794 296.167534162804</t>
  </si>
  <si>
    <t>-633.187854199387 168.416523539676 739.909959058995</t>
  </si>
  <si>
    <t>-488.344329920454 154.154482681349 802.393945597042</t>
  </si>
  <si>
    <t>-530.844860859884 -74.5616311356141 304.702029844389</t>
  </si>
  <si>
    <t>-550.302672593952 -57.3851405955193 751.825736002968</t>
  </si>
  <si>
    <t>-445.833006994422 -151.6056719915 824.598503181591</t>
  </si>
  <si>
    <t>9763-20170724T105003.345959800.bin</t>
  </si>
  <si>
    <t>-577.015152701738 9.88216386327485 -100.869035907241</t>
  </si>
  <si>
    <t>-599.613659953672 1.55671611592607 -214.165928821708</t>
  </si>
  <si>
    <t>-601.677778615511 5.00395674680681 -561.373559737351</t>
  </si>
  <si>
    <t>-591.865123029531 141.788935516651 -551.88257758423</t>
  </si>
  <si>
    <t>-581.30484526344 187.940434558241 -261.452262911982</t>
  </si>
  <si>
    <t>-341.495238506285 196.322181456404 -239.728041642658</t>
  </si>
  <si>
    <t>-587.686524982689 104.988111087198 -106.715232342006</t>
  </si>
  <si>
    <t>-587.711499600209 127.739906162027 296.195436793038</t>
  </si>
  <si>
    <t>-633.166927896078 168.223424700389 739.913453086197</t>
  </si>
  <si>
    <t>-488.269653662133 154.485376560516 802.390402153311</t>
  </si>
  <si>
    <t>-530.855997520374 -74.7101770528402 304.739645139253</t>
  </si>
  <si>
    <t>-550.145966206548 -57.0692278200213 751.835754949173</t>
  </si>
  <si>
    <t>-445.735290667121 -151.359467841106 824.60297454199</t>
  </si>
  <si>
    <t>9763-20170724T105003.413178900.bin</t>
  </si>
  <si>
    <t>-576.977939843117 9.65614814305013 -100.900129029265</t>
  </si>
  <si>
    <t>-599.519122435215 1.32205785937458 -214.20797761302</t>
  </si>
  <si>
    <t>-601.196741070509 4.86266696359394 -561.41062233135</t>
  </si>
  <si>
    <t>-591.428197020722 141.637222953973 -551.721987970947</t>
  </si>
  <si>
    <t>-580.116592889932 187.593278530292 -261.289085610212</t>
  </si>
  <si>
    <t>-340.306085202122 195.867201529923 -239.533184486521</t>
  </si>
  <si>
    <t>-587.680817916715 104.864300717569 -106.746497820063</t>
  </si>
  <si>
    <t>-587.978149942061 127.746099943351 296.15670799896</t>
  </si>
  <si>
    <t>-633.214414309763 168.447414548193 739.887773865338</t>
  </si>
  <si>
    <t>-488.38931110785 154.13198369276 802.402126023069</t>
  </si>
  <si>
    <t>-531.08269760028 -74.7691725824195 304.747296276974</t>
  </si>
  <si>
    <t>-550.313835502513 -57.3812754008943 751.866855484474</t>
  </si>
  <si>
    <t>-445.700523329773 -151.463338404628 824.612386078295</t>
  </si>
  <si>
    <t>9763-20170724T105003.449277000.bin</t>
  </si>
  <si>
    <t>-576.977127447639 9.5534529085885 -100.913656130917</t>
  </si>
  <si>
    <t>-599.462492858552 1.23378773410604 -214.233703928001</t>
  </si>
  <si>
    <t>-600.927604233503 4.87424924255311 -561.433993678542</t>
  </si>
  <si>
    <t>-591.152884998224 141.644692776722 -551.633068034073</t>
  </si>
  <si>
    <t>-579.32848747798 187.535201780519 -261.210252570247</t>
  </si>
  <si>
    <t>-339.505383893278 195.630595363373 -239.526063418802</t>
  </si>
  <si>
    <t>-587.622682478698 104.716892845443 -106.752933530893</t>
  </si>
  <si>
    <t>-588.070409645033 127.709598793327 296.143839674261</t>
  </si>
  <si>
    <t>-633.196762887578 168.363457473084 739.880661613541</t>
  </si>
  <si>
    <t>-488.352553583439 154.263972497523 802.399975291525</t>
  </si>
  <si>
    <t>-531.141079461134 -74.8561860970658 304.748344856293</t>
  </si>
  <si>
    <t>-550.322768644333 -57.3931706918875 751.874620891343</t>
  </si>
  <si>
    <t>-445.457944353967 -151.210437760333 824.599912256524</t>
  </si>
  <si>
    <t>9763-20170724T105003.515648800.bin</t>
  </si>
  <si>
    <t>-577.151609257071 9.35588573141513 -100.902980615441</t>
  </si>
  <si>
    <t>-599.602360898866 1.04334105518979 -214.230276426146</t>
  </si>
  <si>
    <t>-600.58088608594 4.85452807664228 -561.420213752061</t>
  </si>
  <si>
    <t>-590.790022429778 141.606689370411 -551.420372815936</t>
  </si>
  <si>
    <t>-578.028187545746 187.556904712908 -261.046555221664</t>
  </si>
  <si>
    <t>-338.181391298935 195.264951157912 -239.483860886495</t>
  </si>
  <si>
    <t>-587.796234322929 104.512616894682 -106.741821281842</t>
  </si>
  <si>
    <t>-588.180738330551 127.621274327959 296.14838485328</t>
  </si>
  <si>
    <t>-633.194401360934 168.305736895358 739.887852878243</t>
  </si>
  <si>
    <t>-488.334547921725 154.408544741594 802.416186691661</t>
  </si>
  <si>
    <t>-531.271786288956 -74.9870550861885 304.738268428538</t>
  </si>
  <si>
    <t>-550.351913563147 -57.4432833586259 751.878283003818</t>
  </si>
  <si>
    <t>-445.409109914209 -151.180901064836 824.593912914384</t>
  </si>
  <si>
    <t>9763-20170724T105003.545735800.bin</t>
  </si>
  <si>
    <t>-577.321041298574 9.25857629441862 -100.883444035104</t>
  </si>
  <si>
    <t>-599.769581227869 0.953636461117412 -214.211735866478</t>
  </si>
  <si>
    <t>-600.477724279122 4.94165821732167 -561.392223520506</t>
  </si>
  <si>
    <t>-590.704280970115 141.686852756251 -551.260625598012</t>
  </si>
  <si>
    <t>-577.409959961124 187.684194446466 -260.91817205747</t>
  </si>
  <si>
    <t>-337.539050969633 195.164981256162 -239.544185146824</t>
  </si>
  <si>
    <t>-587.970190969697 104.489767369378 -106.731153019705</t>
  </si>
  <si>
    <t>-588.275692051704 127.581803389239 296.16011939514</t>
  </si>
  <si>
    <t>-633.204013189344 168.326487920579 739.897555925952</t>
  </si>
  <si>
    <t>-488.363100364333 154.283736506896 802.436897502925</t>
  </si>
  <si>
    <t>-531.420118596592 -75.0411920453703 304.735976086342</t>
  </si>
  <si>
    <t>-550.430961344144 -57.5952368750507 751.887961905344</t>
  </si>
  <si>
    <t>-445.287614829964 -151.120891581977 824.586885345382</t>
  </si>
  <si>
    <t>9763-20170724T105003.608917400.bin</t>
  </si>
  <si>
    <t>-577.622210660578 9.10077314520322 -100.875910252671</t>
  </si>
  <si>
    <t>-600.076782653022 0.794022517407939 -214.202847472883</t>
  </si>
  <si>
    <t>-600.342358756508 5.27648343555961 -561.35747669792</t>
  </si>
  <si>
    <t>-590.722725762962 142.008232533069 -550.911424240089</t>
  </si>
  <si>
    <t>-575.937601804434 188.235439031128 -260.677746282636</t>
  </si>
  <si>
    <t>-335.970356405971 195.228517235116 -240.239557739144</t>
  </si>
  <si>
    <t>-588.298026755818 104.242652610234 -106.695154562339</t>
  </si>
  <si>
    <t>-588.517976747803 127.514688613127 296.185740850128</t>
  </si>
  <si>
    <t>-633.207295329604 168.31926898422 739.917311828121</t>
  </si>
  <si>
    <t>-488.347383231009 154.561740917819 802.47644098962</t>
  </si>
  <si>
    <t>-531.536733657434 -75.1335212182196 304.737112165301</t>
  </si>
  <si>
    <t>-550.437951129816 -57.5995521504954 751.901667419119</t>
  </si>
  <si>
    <t>-444.989869948487 -150.809366157496 824.564840581538</t>
  </si>
  <si>
    <t>9763-20170724T105003.647018400.bin</t>
  </si>
  <si>
    <t>-577.719528964123 9.08546682086012 -100.868776066823</t>
  </si>
  <si>
    <t>-600.152446378479 0.77568792962802 -214.199878188122</t>
  </si>
  <si>
    <t>-600.209173724154 5.48000908599693 -561.342907153938</t>
  </si>
  <si>
    <t>-590.643059603443 142.207234354992 -550.776724996656</t>
  </si>
  <si>
    <t>-575.14340854388 188.512720738127 -260.592651068058</t>
  </si>
  <si>
    <t>-335.130817733177 195.360752962172 -240.645384908453</t>
  </si>
  <si>
    <t>-588.389972027144 104.201629751982 -106.68422034435</t>
  </si>
  <si>
    <t>-588.605190198316 127.595236654581 296.189693206138</t>
  </si>
  <si>
    <t>-633.199711863916 168.325306366607 739.927857579893</t>
  </si>
  <si>
    <t>-488.36155311192 154.430473524959 802.506581413537</t>
  </si>
  <si>
    <t>-531.499179032191 -75.0733125378972 304.734085724517</t>
  </si>
  <si>
    <t>-550.399108956216 -57.5146848325558 751.90289653545</t>
  </si>
  <si>
    <t>-445.175798992396 -150.976023865129 824.568810012228</t>
  </si>
  <si>
    <t>9763-20170724T105003.718215700.bin</t>
  </si>
  <si>
    <t>-577.981356852145 9.02901459311124 -100.812919817804</t>
  </si>
  <si>
    <t>-600.406799843019 0.746860863912389 -214.147523309493</t>
  </si>
  <si>
    <t>-599.996483984031 5.77073669362676 -561.273009182412</t>
  </si>
  <si>
    <t>-590.469889663569 142.484072090768 -550.515726226536</t>
  </si>
  <si>
    <t>-573.835675740793 188.914307076759 -260.414417546302</t>
  </si>
  <si>
    <t>-333.744146632866 195.399681906473 -241.312170372493</t>
  </si>
  <si>
    <t>-588.714303026761 104.232228306246 -106.632276070978</t>
  </si>
  <si>
    <t>-588.738930503806 127.601818038461 296.243078221492</t>
  </si>
  <si>
    <t>-633.193979996408 168.257032140259 739.999967637588</t>
  </si>
  <si>
    <t>-488.33259396147 154.649912817832 802.58859148935</t>
  </si>
  <si>
    <t>-531.516913755686 -74.95726427967 304.725396824248</t>
  </si>
  <si>
    <t>-550.409909233068 -57.5571752966146 751.907090831256</t>
  </si>
  <si>
    <t>-445.061482082535 -150.884165309672 824.56452792446</t>
  </si>
  <si>
    <t>9763-20170724T105003.748298200.bin</t>
  </si>
  <si>
    <t>-578.079554165555 9.20201742679546 -100.785610274558</t>
  </si>
  <si>
    <t>-600.539953854239 0.924054813128805 -214.113474273619</t>
  </si>
  <si>
    <t>-599.925020613646 6.12420957138715 -561.226710197985</t>
  </si>
  <si>
    <t>-590.38206249634 142.823149871753 -550.359073668823</t>
  </si>
  <si>
    <t>-573.193650645419 189.31984844224 -260.300867350846</t>
  </si>
  <si>
    <t>-333.05470844626 195.553450159472 -241.719876097699</t>
  </si>
  <si>
    <t>-588.854158466764 104.397031052049 -106.595796565985</t>
  </si>
  <si>
    <t>-588.76027659647 127.735005519031 296.28138121369</t>
  </si>
  <si>
    <t>-633.223200919654 168.364267835767 740.043119678607</t>
  </si>
  <si>
    <t>-488.365190043565 154.745233673193 802.636829581818</t>
  </si>
  <si>
    <t>-531.42130463941 -74.8668274876336 304.72595730096</t>
  </si>
  <si>
    <t>-550.399527546818 -57.5466908778485 751.90675466553</t>
  </si>
  <si>
    <t>-445.290305514759 -151.128475390706 824.582515890804</t>
  </si>
  <si>
    <t>9763-20170724T105003.807955100.bin</t>
  </si>
  <si>
    <t>-578.337586021316 9.45459715303491 -100.738347178921</t>
  </si>
  <si>
    <t>-600.835330870485 1.19258481538463 -214.060102927656</t>
  </si>
  <si>
    <t>-599.817545069838 6.75267986223935 -561.149162709834</t>
  </si>
  <si>
    <t>-590.295430541339 143.445342580165 -550.075868981968</t>
  </si>
  <si>
    <t>-571.590055708006 189.994323149727 -260.11984044514</t>
  </si>
  <si>
    <t>-331.354053042549 196.150000689676 -242.811144658408</t>
  </si>
  <si>
    <t>-589.084425510392 104.678761925488 -106.525473600867</t>
  </si>
  <si>
    <t>-588.725618934574 127.908305295764 296.357800935588</t>
  </si>
  <si>
    <t>-633.236160587293 168.358111153582 740.132029252352</t>
  </si>
  <si>
    <t>-488.370756458333 154.857742835566 802.734179677478</t>
  </si>
  <si>
    <t>-531.469352659154 -74.8361287092134 304.738249640764</t>
  </si>
  <si>
    <t>-550.48621988991 -57.7511501814945 751.920540637151</t>
  </si>
  <si>
    <t>-444.779469256662 -150.681862294399 824.565326495402</t>
  </si>
  <si>
    <t>9763-20170724T105003.848116800.bin</t>
  </si>
  <si>
    <t>-578.376905794 9.67327304060541 -100.722762624088</t>
  </si>
  <si>
    <t>-600.909510261492 1.40527578312026 -214.037045128279</t>
  </si>
  <si>
    <t>-599.744078472849 7.03976000244143 -561.117440842865</t>
  </si>
  <si>
    <t>-590.213203552586 143.733892763936 -550.017120532212</t>
  </si>
  <si>
    <t>-570.794781165713 190.485658107586 -260.140441438066</t>
  </si>
  <si>
    <t>-330.521842549252 196.578321795859 -243.329264019415</t>
  </si>
  <si>
    <t>-589.127049735646 104.841000234011 -106.503508568071</t>
  </si>
  <si>
    <t>-588.635362906731 128.009424190505 296.383212645208</t>
  </si>
  <si>
    <t>-633.229798171529 168.295966874166 740.166610742248</t>
  </si>
  <si>
    <t>-488.364513422293 154.809082590528 802.772135961984</t>
  </si>
  <si>
    <t>-531.442454055179 -74.6497005704184 304.742655288478</t>
  </si>
  <si>
    <t>-550.403859654335 -57.5926156848602 751.916717300915</t>
  </si>
  <si>
    <t>-445.067169548628 -150.922611549935 824.586905647038</t>
  </si>
  <si>
    <t>9763-20170724T105003.911993700.bin</t>
  </si>
  <si>
    <t>-578.525836155205 10.1604592653332 -100.698173542085</t>
  </si>
  <si>
    <t>-601.135587497542 1.94018795843431 -214.000540040441</t>
  </si>
  <si>
    <t>-599.71514969398 7.62818886128912 -561.073069946283</t>
  </si>
  <si>
    <t>-590.129078736839 144.312582807609 -550.004252778829</t>
  </si>
  <si>
    <t>-569.700852559929 191.914275528246 -260.335600697351</t>
  </si>
  <si>
    <t>-329.389682974369 197.60238975653 -243.932765332869</t>
  </si>
  <si>
    <t>-589.234873596094 105.335940460458 -106.462095786418</t>
  </si>
  <si>
    <t>-588.545407053467 128.283801633286 296.43690540848</t>
  </si>
  <si>
    <t>-633.255024712469 168.310630277632 740.236166608906</t>
  </si>
  <si>
    <t>-488.401800736039 154.693879286196 802.8416754325</t>
  </si>
  <si>
    <t>-531.434990574251 -74.370685469007 304.740348186844</t>
  </si>
  <si>
    <t>-550.347345458762 -57.5100315063969 751.917346467841</t>
  </si>
  <si>
    <t>-444.961588414718 -150.781258455754 824.591949391936</t>
  </si>
  <si>
    <t>9763-20170724T105003.944079400.bin</t>
  </si>
  <si>
    <t>-578.626033194842 10.2960300254883 -100.69120093617</t>
  </si>
  <si>
    <t>-601.260483225994 2.11486804572246 -213.991643156951</t>
  </si>
  <si>
    <t>-599.683479283254 7.82305268987398 -561.061461739275</t>
  </si>
  <si>
    <t>-590.042253408992 144.506618038299 -550.004081723876</t>
  </si>
  <si>
    <t>-569.208379988012 192.40364334561 -260.412894834979</t>
  </si>
  <si>
    <t>-328.891932082591 197.682108726917 -243.95039356294</t>
  </si>
  <si>
    <t>-589.251815378119 105.533719121156 -106.433098736843</t>
  </si>
  <si>
    <t>-588.535771590005 128.371202404922 296.472127963335</t>
  </si>
  <si>
    <t>-633.274041441928 168.372523052785 740.270118882701</t>
  </si>
  <si>
    <t>-488.418245840365 154.787066993915 802.876026225857</t>
  </si>
  <si>
    <t>-531.470077695779 -74.3831378191253 304.730759721748</t>
  </si>
  <si>
    <t>-550.472991100175 -57.7771418051889 751.925172515627</t>
  </si>
  <si>
    <t>-444.654591665196 -150.57171410553 824.58155142224</t>
  </si>
  <si>
    <t>9763-20170724T105004.012800700.bin</t>
  </si>
  <si>
    <t>-578.634576649381 10.6264977434162 -100.666591845774</t>
  </si>
  <si>
    <t>-601.28026009267 2.51585271600948 -213.969829191599</t>
  </si>
  <si>
    <t>-599.161667826411 8.27374411024766 -561.029362555679</t>
  </si>
  <si>
    <t>-589.239624839875 144.93192277005 -549.932302777797</t>
  </si>
  <si>
    <t>-567.502651837868 193.131019474198 -260.457631692756</t>
  </si>
  <si>
    <t>-327.177016545554 197.32488822863 -243.817469416759</t>
  </si>
  <si>
    <t>-589.04019499484 105.788082222369 -106.377120672305</t>
  </si>
  <si>
    <t>-588.421341379643 128.528463375019 296.533689299044</t>
  </si>
  <si>
    <t>-633.260261976896 168.251308008016 740.343263048549</t>
  </si>
  <si>
    <t>-488.379837130201 154.936247045866 802.950456251192</t>
  </si>
  <si>
    <t>-531.321788201995 -74.183862696595 304.713382504155</t>
  </si>
  <si>
    <t>-550.438836098389 -57.7401746934834 751.912691207899</t>
  </si>
  <si>
    <t>-444.660394351398 -150.572429966111 824.578990127774</t>
  </si>
  <si>
    <t>9763-20170724T105004.044886400.bin</t>
  </si>
  <si>
    <t>-578.558783663185 10.90138691896 -100.649926305132</t>
  </si>
  <si>
    <t>-601.183399943844 2.8201166013223 -213.959381956538</t>
  </si>
  <si>
    <t>-598.790016367525 8.58573675192338 -561.014899415367</t>
  </si>
  <si>
    <t>-588.730842796789 145.229584998657 -549.906886657077</t>
  </si>
  <si>
    <t>-566.437548991631 193.461906847563 -260.480078841303</t>
  </si>
  <si>
    <t>-326.099499677071 197.172455651682 -243.905159022194</t>
  </si>
  <si>
    <t>-588.919643994651 106.012900978712 -106.353099345217</t>
  </si>
  <si>
    <t>-588.333414535625 128.652401153447 296.563573673756</t>
  </si>
  <si>
    <t>-633.245709319018 168.164407905791 740.382232855197</t>
  </si>
  <si>
    <t>-488.356942205162 154.938957816364 802.989260764899</t>
  </si>
  <si>
    <t>-531.137537979709 -73.9404255034146 304.701551320702</t>
  </si>
  <si>
    <t>-550.300177366768 -57.476009635202 751.898953652853</t>
  </si>
  <si>
    <t>-444.943524160141 -150.762070946081 824.596888194606</t>
  </si>
  <si>
    <t>9763-20170724T105004.110570500.bin</t>
  </si>
  <si>
    <t>-578.560380699594 11.3573410090703 -100.602782023937</t>
  </si>
  <si>
    <t>-601.186885096414 3.33371779461277 -213.915961525476</t>
  </si>
  <si>
    <t>-598.376391883961 9.16106728820182 -560.960925286029</t>
  </si>
  <si>
    <t>-588.026910684474 145.785053493673 -549.814187980903</t>
  </si>
  <si>
    <t>-564.84929689325 193.918944989982 -260.440558190095</t>
  </si>
  <si>
    <t>-324.45514080726 196.692675684302 -244.507806233031</t>
  </si>
  <si>
    <t>-588.876326722947 106.604457122473 -106.298799982506</t>
  </si>
  <si>
    <t>-588.281625061574 128.977680287397 296.632630087217</t>
  </si>
  <si>
    <t>-633.2939489998 168.358136486767 740.465647569705</t>
  </si>
  <si>
    <t>-488.432703328863 154.863908657683 803.079347154623</t>
  </si>
  <si>
    <t>-531.111108184223 -73.7856682623956 304.699659999029</t>
  </si>
  <si>
    <t>-550.404510749215 -57.7163331186941 751.901066550022</t>
  </si>
  <si>
    <t>-444.563781979161 -150.464033435842 824.584622990561</t>
  </si>
  <si>
    <t>9763-20170724T105004.144658400.bin</t>
  </si>
  <si>
    <t>-578.540375134227 11.5889163121019 -100.588668988015</t>
  </si>
  <si>
    <t>-601.17970303315 3.58992186275486 -213.901085288405</t>
  </si>
  <si>
    <t>-598.225268256026 9.46691688186479 -560.940194746219</t>
  </si>
  <si>
    <t>-587.716370977226 146.075019410592 -549.749156709201</t>
  </si>
  <si>
    <t>-564.217157894695 194.075366073274 -260.379227930396</t>
  </si>
  <si>
    <t>-323.787295837545 196.8603476669 -244.996347329116</t>
  </si>
  <si>
    <t>-588.787250480089 106.857183646952 -106.276437219259</t>
  </si>
  <si>
    <t>-588.240995153514 129.116158139303 296.661429646266</t>
  </si>
  <si>
    <t>-633.307274181329 168.370595288166 740.507862265398</t>
  </si>
  <si>
    <t>-488.454017178115 154.776807108344 803.118311332367</t>
  </si>
  <si>
    <t>-531.058649531357 -73.6555600129088 304.695444911692</t>
  </si>
  <si>
    <t>-550.362950726707 -57.6480299741577 751.890264768944</t>
  </si>
  <si>
    <t>-444.581181983917 -150.450736164263 824.589459531381</t>
  </si>
  <si>
    <t>9763-20170724T105004.177747300.bin</t>
  </si>
  <si>
    <t>-578.454950527947 11.8464076492871 -100.580223599244</t>
  </si>
  <si>
    <t>-601.111819920529 3.88356714030078 -213.891687742224</t>
  </si>
  <si>
    <t>-598.020363664172 9.81247294778382 -560.925856022851</t>
  </si>
  <si>
    <t>-587.382093712027 146.410108734906 -549.683735006556</t>
  </si>
  <si>
    <t>-563.69969465854 194.249521096303 -260.30198324277</t>
  </si>
  <si>
    <t>-323.247488065391 197.003595613743 -245.268689200791</t>
  </si>
  <si>
    <t>-588.627732761582 107.104236007893 -106.252182086993</t>
  </si>
  <si>
    <t>-588.142077578541 129.263780622043 296.691207049805</t>
  </si>
  <si>
    <t>-633.323397268819 168.401061464296 740.54757404786</t>
  </si>
  <si>
    <t>-488.481090791506 154.681776515946 803.155871982054</t>
  </si>
  <si>
    <t>-530.93029369287 -73.4631406028711 304.69047770803</t>
  </si>
  <si>
    <t>-550.298903643511 -57.5366351068765 751.881710702671</t>
  </si>
  <si>
    <t>-444.81593802846 -150.657103681332 824.608734979917</t>
  </si>
  <si>
    <t>9763-20170724T105004.257831900.bin</t>
  </si>
  <si>
    <t>-578.364164756794 11.9535727085229 -100.564935764839</t>
  </si>
  <si>
    <t>-601.065612524658 4.01492457120321 -213.869262669505</t>
  </si>
  <si>
    <t>-597.827048582748 10.070144324781 -560.891983692975</t>
  </si>
  <si>
    <t>-587.078632683233 146.650271781699 -549.590482916513</t>
  </si>
  <si>
    <t>-563.384426018501 194.377786902021 -260.191383798823</t>
  </si>
  <si>
    <t>-322.90004994879 197.168334826779 -245.687682478795</t>
  </si>
  <si>
    <t>-588.480795215841 107.200912164504 -106.221494915309</t>
  </si>
  <si>
    <t>-587.978767200158 129.27217481046 296.72671507248</t>
  </si>
  <si>
    <t>-633.321418804714 168.326089987253 740.581705505404</t>
  </si>
  <si>
    <t>-488.467302875175 154.691149577344 803.180735424791</t>
  </si>
  <si>
    <t>-530.848617981058 -73.431780939047 304.692111987388</t>
  </si>
  <si>
    <t>-550.310032815049 -57.566207910766 751.877033188513</t>
  </si>
  <si>
    <t>-444.677770217295 -150.5174618416 824.603810343424</t>
  </si>
  <si>
    <t>9763-20170724T105004.313605400.bin</t>
  </si>
  <si>
    <t>-578.127420614278 12.2059013270673 -100.526585829886</t>
  </si>
  <si>
    <t>-600.924930977081 4.34198178373754 -213.816673518646</t>
  </si>
  <si>
    <t>-597.419632737802 10.6319761504033 -560.820724266321</t>
  </si>
  <si>
    <t>-586.57105235655 147.200346802991 -549.426035541264</t>
  </si>
  <si>
    <t>-562.011789846725 194.907150321888 -260.095633793497</t>
  </si>
  <si>
    <t>-321.408278067857 197.052537472648 -247.596823419643</t>
  </si>
  <si>
    <t>-588.123991351059 107.444648179416 -106.133615052705</t>
  </si>
  <si>
    <t>-587.636227282462 129.31967809147 296.825381978959</t>
  </si>
  <si>
    <t>-633.356085226244 168.369818177891 740.651645321549</t>
  </si>
  <si>
    <t>-488.510224563023 154.590784803866 803.238361050963</t>
  </si>
  <si>
    <t>-530.537283027969 -73.247091997295 304.690653159694</t>
  </si>
  <si>
    <t>-550.14726878588 -57.2158181872417 751.860111674264</t>
  </si>
  <si>
    <t>-444.964034006463 -150.65246861528 824.615486204738</t>
  </si>
  <si>
    <t>9763-20170724T105004.342693900.bin</t>
  </si>
  <si>
    <t>-578.125722557669 12.2339761223366 -100.512790973983</t>
  </si>
  <si>
    <t>-600.945286800701 4.38145349137358 -213.799331740291</t>
  </si>
  <si>
    <t>-597.345864163908 10.5974202381542 -560.803886800971</t>
  </si>
  <si>
    <t>-586.501040385959 147.161916080748 -549.42962083408</t>
  </si>
  <si>
    <t>-561.58564299801 195.150142650807 -260.176080805516</t>
  </si>
  <si>
    <t>-320.966269494908 196.957954927733 -247.934472484659</t>
  </si>
  <si>
    <t>-588.098405727813 107.539454912614 -106.114220004975</t>
  </si>
  <si>
    <t>-587.606082067043 129.3802005754 296.846493197261</t>
  </si>
  <si>
    <t>-633.380981796181 168.486158978767 740.667223402718</t>
  </si>
  <si>
    <t>-488.555659185656 154.52740023416 803.261926987216</t>
  </si>
  <si>
    <t>-530.617453742932 -73.2563346860995 304.704126646775</t>
  </si>
  <si>
    <t>-550.203467596782 -57.3068612042582 751.865359409821</t>
  </si>
  <si>
    <t>-444.84151344426 -150.554497478337 824.604697363078</t>
  </si>
  <si>
    <t>9763-20170724T105004.412481400.bin</t>
  </si>
  <si>
    <t>-578.200354917178 12.4415728346703 -100.533150567911</t>
  </si>
  <si>
    <t>-601.018722715521 4.59125412443768 -213.81997021527</t>
  </si>
  <si>
    <t>-597.075661794605 10.6029529064135 -560.824704072979</t>
  </si>
  <si>
    <t>-586.143798375011 147.165525542731 -549.557775247008</t>
  </si>
  <si>
    <t>-561.014927790445 195.578274952668 -260.393534018497</t>
  </si>
  <si>
    <t>-320.363804691827 196.830519642411 -248.71751153947</t>
  </si>
  <si>
    <t>-588.122614522036 107.683905149787 -106.131195634311</t>
  </si>
  <si>
    <t>-587.619374064399 129.480175976818 296.831993463658</t>
  </si>
  <si>
    <t>-633.37270904537 168.45018514951 740.678931018309</t>
  </si>
  <si>
    <t>-488.535797338167 154.622126467844 803.27542639957</t>
  </si>
  <si>
    <t>-530.658530852569 -73.1175587545285 304.695759645276</t>
  </si>
  <si>
    <t>-550.176805467438 -57.2517497774784 751.86036384659</t>
  </si>
  <si>
    <t>-445.110500556207 -150.815163491061 824.622057772746</t>
  </si>
  <si>
    <t>9763-20170724T105004.446573100.bin</t>
  </si>
  <si>
    <t>-578.258844111165 12.4864734070118 -100.546498128096</t>
  </si>
  <si>
    <t>-601.047314406382 4.63507252682007 -213.839223296546</t>
  </si>
  <si>
    <t>-596.900768503459 10.4837516852272 -560.846965574171</t>
  </si>
  <si>
    <t>-585.941478895925 147.059823953333 -549.665996186158</t>
  </si>
  <si>
    <t>-560.722695930264 195.552542031404 -260.522976843808</t>
  </si>
  <si>
    <t>-320.070723074484 196.63186479106 -248.848016441352</t>
  </si>
  <si>
    <t>-588.151510720421 107.725124338983 -106.14793099963</t>
  </si>
  <si>
    <t>-587.62836154412 129.473564336982 296.817807174129</t>
  </si>
  <si>
    <t>-633.345127232096 168.312904450172 740.679104032655</t>
  </si>
  <si>
    <t>-488.497805348323 154.60265873487 803.277537008669</t>
  </si>
  <si>
    <t>-530.678978908232 -73.1256454065592 304.688607607572</t>
  </si>
  <si>
    <t>-550.207073719912 -57.2977565661672 751.861979533752</t>
  </si>
  <si>
    <t>-445.005530514072 -150.717599237866 824.612667209431</t>
  </si>
  <si>
    <t>9763-20170724T105004.510341900.bin</t>
  </si>
  <si>
    <t>-578.396458851139 12.5276502121815 -100.542755835124</t>
  </si>
  <si>
    <t>-601.085213791011 4.67573602957191 -213.855508321524</t>
  </si>
  <si>
    <t>-596.41529967307 10.0834866336502 -560.872851422993</t>
  </si>
  <si>
    <t>-585.296742649646 146.660004777892 -549.880852037787</t>
  </si>
  <si>
    <t>-559.858383812404 195.642679901323 -260.839694073415</t>
  </si>
  <si>
    <t>-319.220936277074 196.465670601423 -248.845795627946</t>
  </si>
  <si>
    <t>-588.198640684301 107.794368857075 -106.167218105851</t>
  </si>
  <si>
    <t>-587.725480425288 129.572090946835 296.797047250392</t>
  </si>
  <si>
    <t>-633.373684485144 168.471380053374 740.669673553745</t>
  </si>
  <si>
    <t>-488.558314415444 154.53057181348 803.291235275135</t>
  </si>
  <si>
    <t>-530.80380813204 -73.0433709287925 304.689372593546</t>
  </si>
  <si>
    <t>-550.209640590756 -57.2657787824105 751.868344540249</t>
  </si>
  <si>
    <t>-444.889051155166 -150.564774489337 824.601844267883</t>
  </si>
  <si>
    <t>9763-20170724T105004.541422600.bin</t>
  </si>
  <si>
    <t>-578.463303762444 12.558767117768 -100.54356227311</t>
  </si>
  <si>
    <t>-601.104420797499 4.69642089980675 -213.865116637135</t>
  </si>
  <si>
    <t>-596.154602863525 9.86447992673357 -560.886144509329</t>
  </si>
  <si>
    <t>-584.954970941888 146.439117343462 -550.003840683458</t>
  </si>
  <si>
    <t>-559.393334204368 195.761326271578 -261.031360275933</t>
  </si>
  <si>
    <t>-318.767647966247 196.513399905215 -248.802075787074</t>
  </si>
  <si>
    <t>-588.239105763888 107.767622831903 -106.180607142752</t>
  </si>
  <si>
    <t>-587.782312368744 129.558505783697 296.782931377341</t>
  </si>
  <si>
    <t>-633.351923542632 168.352325388331 740.664297781941</t>
  </si>
  <si>
    <t>-488.494471912714 154.829694600535 803.280071857674</t>
  </si>
  <si>
    <t>-530.825464618292 -73.0127260010761 304.697994986271</t>
  </si>
  <si>
    <t>-550.175688381677 -57.1959299853818 751.867942443729</t>
  </si>
  <si>
    <t>-444.911532656329 -150.555675577245 824.605067052042</t>
  </si>
  <si>
    <t>9763-20170724T105004.610207000.bin</t>
  </si>
  <si>
    <t>-578.637095275723 12.6570195076054 -100.546730269266</t>
  </si>
  <si>
    <t>-601.142506746228 4.79917345944978 -213.895739895675</t>
  </si>
  <si>
    <t>-595.536573841972 9.61271377072148 -560.918821351723</t>
  </si>
  <si>
    <t>-584.290839848477 146.202982266391 -550.238276230554</t>
  </si>
  <si>
    <t>-558.252693557062 196.14780504602 -261.415183901224</t>
  </si>
  <si>
    <t>-317.65899633442 196.802609571021 -248.564903505967</t>
  </si>
  <si>
    <t>-588.373163651342 107.845212313376 -106.222596352976</t>
  </si>
  <si>
    <t>-587.905543799768 129.598123143148 296.74301811166</t>
  </si>
  <si>
    <t>-633.317997998692 168.233460491541 740.643555669459</t>
  </si>
  <si>
    <t>-488.45068429793 154.926505618107 803.282898403022</t>
  </si>
  <si>
    <t>-531.009015078401 -72.9220235972887 304.701400271102</t>
  </si>
  <si>
    <t>-550.210870061628 -57.2441289320279 751.887652328138</t>
  </si>
  <si>
    <t>-445.152038619967 -150.832556101301 824.627708060044</t>
  </si>
  <si>
    <t>9763-20170724T105004.644298300.bin</t>
  </si>
  <si>
    <t>-578.766751635158 12.5860533590887 -100.552685430202</t>
  </si>
  <si>
    <t>-601.205342033601 4.75396910984455 -213.916632606484</t>
  </si>
  <si>
    <t>-595.239848768312 9.4104585524949 -560.94099098412</t>
  </si>
  <si>
    <t>-584.010718772044 146.008537803193 -550.334953406316</t>
  </si>
  <si>
    <t>-557.75580529122 196.17383756242 -261.569658274965</t>
  </si>
  <si>
    <t>-317.157776973598 196.74234405869 -248.796718065753</t>
  </si>
  <si>
    <t>-588.419816713883 107.792301910357 -106.223889769589</t>
  </si>
  <si>
    <t>-588.01851877517 129.58679201592 296.739483851646</t>
  </si>
  <si>
    <t>-633.320411029564 168.275642736705 740.637921523082</t>
  </si>
  <si>
    <t>-488.464614617794 154.941589677513 803.298278118147</t>
  </si>
  <si>
    <t>-531.152838957931 -73.0552626874708 304.695505479821</t>
  </si>
  <si>
    <t>-550.300562549927 -57.4149126950151 751.89671960506</t>
  </si>
  <si>
    <t>-444.751858354039 -150.47804549878 824.601655038031</t>
  </si>
  <si>
    <t>9763-20170724T105004.713990700.bin</t>
  </si>
  <si>
    <t>-579.008212075745 12.5008305391034 -100.539663012864</t>
  </si>
  <si>
    <t>-601.281417630468 4.68591793775954 -213.937482375971</t>
  </si>
  <si>
    <t>-594.759436098213 9.16305621624088 -560.960901743957</t>
  </si>
  <si>
    <t>-583.521454057741 145.77176752813 -550.50486058799</t>
  </si>
  <si>
    <t>-556.808254894365 196.251725959822 -261.836569302587</t>
  </si>
  <si>
    <t>-316.185906871005 196.364295436222 -249.520691388424</t>
  </si>
  <si>
    <t>-588.566098366219 107.647337342168 -106.197034428282</t>
  </si>
  <si>
    <t>-588.26248812235 129.617069041419 296.756983018686</t>
  </si>
  <si>
    <t>-633.332900704691 168.326413592295 740.661867835691</t>
  </si>
  <si>
    <t>-488.482856529676 155.014669423289 803.340070538972</t>
  </si>
  <si>
    <t>-531.26293378479 -73.1367632560982 304.685947248743</t>
  </si>
  <si>
    <t>-550.314165066903 -57.4271860553281 751.909307921343</t>
  </si>
  <si>
    <t>-444.846882217251 -150.592966264831 824.601041822358</t>
  </si>
  <si>
    <t>9763-20170724T105004.748080700.bin</t>
  </si>
  <si>
    <t>-579.147801540771 12.4489573741689 -100.521728590589</t>
  </si>
  <si>
    <t>-601.337447659454 4.63280492787931 -213.935816297128</t>
  </si>
  <si>
    <t>-594.613660173449 9.11981724532029 -560.956387276398</t>
  </si>
  <si>
    <t>-583.408618420102 145.730456469742 -550.545426647804</t>
  </si>
  <si>
    <t>-556.321238295656 196.395542052895 -261.944457266915</t>
  </si>
  <si>
    <t>-315.674183760248 196.207305587247 -250.119498820797</t>
  </si>
  <si>
    <t>-588.721233425171 107.557058190368 -106.186355182388</t>
  </si>
  <si>
    <t>-588.418795451869 129.576659725452 296.764897438818</t>
  </si>
  <si>
    <t>-633.316617798222 168.222083326644 740.67621664491</t>
  </si>
  <si>
    <t>-488.435028217625 155.252139735473 803.353334740243</t>
  </si>
  <si>
    <t>-531.323781408885 -73.0930831041308 304.690733612052</t>
  </si>
  <si>
    <t>-550.270585178684 -57.3435704935903 751.909126782463</t>
  </si>
  <si>
    <t>-444.886913664579 -150.604309993201 824.600180377697</t>
  </si>
  <si>
    <t>9763-20170724T105004.814839900.bin</t>
  </si>
  <si>
    <t>-579.436854396308 12.4494183313659 -100.525507181639</t>
  </si>
  <si>
    <t>-601.446129421416 4.615425032541 -213.973502542813</t>
  </si>
  <si>
    <t>-594.21600023634 9.18475088852028 -560.980175992912</t>
  </si>
  <si>
    <t>-583.064168614018 145.810053596553 -550.60913345128</t>
  </si>
  <si>
    <t>-555.55250293727 196.646921854445 -262.078621521659</t>
  </si>
  <si>
    <t>-314.844844427263 195.87596131748 -251.586891889386</t>
  </si>
  <si>
    <t>-589.072754533496 107.622557666049 -106.199863019479</t>
  </si>
  <si>
    <t>-588.86274566018 129.668100196479 296.750076229632</t>
  </si>
  <si>
    <t>-633.339657802364 168.302001368828 740.703897861212</t>
  </si>
  <si>
    <t>-488.48667419971 155.121504335708 803.403130781003</t>
  </si>
  <si>
    <t>-531.578956548021 -73.0851079145282 304.708741140218</t>
  </si>
  <si>
    <t>-550.313273751894 -57.4299998161 751.930421716614</t>
  </si>
  <si>
    <t>-444.740454420766 -150.496016218998 824.596876741806</t>
  </si>
  <si>
    <t>9763-20170724T105004.843904800.bin</t>
  </si>
  <si>
    <t>-579.539809665396 12.4065712684735 -100.522818576453</t>
  </si>
  <si>
    <t>-601.441804066721 4.56565079913412 -213.99113229988</t>
  </si>
  <si>
    <t>-593.980952561497 9.13313295655325 -560.994093359906</t>
  </si>
  <si>
    <t>-582.846121465567 145.762052222538 -550.677770949732</t>
  </si>
  <si>
    <t>-555.355579124375 196.563473585643 -262.13893561773</t>
  </si>
  <si>
    <t>-314.627810803608 195.552195972746 -252.137730963834</t>
  </si>
  <si>
    <t>-589.153411052028 107.586840929743 -106.213217028062</t>
  </si>
  <si>
    <t>-589.060276401435 129.682833267035 296.734015262337</t>
  </si>
  <si>
    <t>-633.339431721957 168.260556308357 740.719273285603</t>
  </si>
  <si>
    <t>-488.473797009725 155.214869799123 803.417487834519</t>
  </si>
  <si>
    <t>-531.734608543931 -73.1794893719382 304.720088410718</t>
  </si>
  <si>
    <t>-550.397635624789 -57.6029284496678 751.947785589607</t>
  </si>
  <si>
    <t>-444.540719851915 -150.363047364977 824.592073246524</t>
  </si>
  <si>
    <t>9763-20170724T105004.882006800.bin</t>
  </si>
  <si>
    <t>-579.581360094405 12.3568591939404 -100.505491380932</t>
  </si>
  <si>
    <t>-601.393079475242 4.50971005356973 -213.990736133925</t>
  </si>
  <si>
    <t>-593.759201050442 9.08640983452324 -560.99043807567</t>
  </si>
  <si>
    <t>-582.626233864621 145.717237587514 -550.722358684018</t>
  </si>
  <si>
    <t>-555.27379870669 196.446120994946 -262.157499928766</t>
  </si>
  <si>
    <t>-314.540606081711 195.283384993175 -252.308446176521</t>
  </si>
  <si>
    <t>-589.18618515896 107.526442188925 -106.217378407285</t>
  </si>
  <si>
    <t>-589.181915155692 129.698993368181 296.725653002389</t>
  </si>
  <si>
    <t>-633.342226902608 168.226687157357 740.731369716578</t>
  </si>
  <si>
    <t>-488.476853158163 155.17956075417 803.429823261566</t>
  </si>
  <si>
    <t>-531.787732280409 -73.2626970234428 304.731306837706</t>
  </si>
  <si>
    <t>-550.389349752043 -57.5906271637257 751.956626617341</t>
  </si>
  <si>
    <t>-444.40163676349 -150.209798287204 824.58986761045</t>
  </si>
  <si>
    <t>9763-20170724T105004.948902500.bin</t>
  </si>
  <si>
    <t>-579.537652251536 12.4187217511987 -100.501869969702</t>
  </si>
  <si>
    <t>-601.287754420363 4.57658075655331 -213.999225624044</t>
  </si>
  <si>
    <t>-593.5617650011 9.18937068519676 -560.996918134517</t>
  </si>
  <si>
    <t>-582.398350398133 145.818062026076 -550.748544213898</t>
  </si>
  <si>
    <t>-555.250465847054 196.545213209755 -262.164155368807</t>
  </si>
  <si>
    <t>-314.526254241048 195.341272297934 -252.10008704772</t>
  </si>
  <si>
    <t>-589.160142574587 107.578799852577 -106.217733848473</t>
  </si>
  <si>
    <t>-589.216532619761 129.752412116289 296.725253100004</t>
  </si>
  <si>
    <t>-633.359400563541 168.233335171682 740.745033624629</t>
  </si>
  <si>
    <t>-488.508324079787 155.016859431182 803.441148979986</t>
  </si>
  <si>
    <t>-531.771684846579 -73.200357339294 304.736005305651</t>
  </si>
  <si>
    <t>-550.324515732738 -57.4788451686145 751.955977378257</t>
  </si>
  <si>
    <t>-444.751751822348 -150.549949994324 824.615817595987</t>
  </si>
  <si>
    <t>9763-20170724T105005.014303900.bin</t>
  </si>
  <si>
    <t>-579.410945880387 12.2203300426538 -100.509518181586</t>
  </si>
  <si>
    <t>-600.948052808272 4.38044118240782 -214.047726853726</t>
  </si>
  <si>
    <t>-593.043124271932 9.14523247636453 -561.041209614923</t>
  </si>
  <si>
    <t>-581.791200375333 145.768117246528 -550.748258206447</t>
  </si>
  <si>
    <t>-555.177802430499 196.633748604867 -262.138432644529</t>
  </si>
  <si>
    <t>-314.493066028052 195.598885355628 -251.154400408438</t>
  </si>
  <si>
    <t>-589.007281788012 107.329068872381 -106.216123430972</t>
  </si>
  <si>
    <t>-589.395957778984 129.589312640296 296.721819988252</t>
  </si>
  <si>
    <t>-633.394809015046 168.168522556248 740.749136004847</t>
  </si>
  <si>
    <t>-488.496868862544 155.296472297607 803.40868087542</t>
  </si>
  <si>
    <t>-532.059268933205 -73.2762533191521 304.785233339094</t>
  </si>
  <si>
    <t>-550.216127703708 -57.2537950428371 752.001662310488</t>
  </si>
  <si>
    <t>-444.955858722593 -150.698640295379 824.63523713607</t>
  </si>
  <si>
    <t>9763-20170724T105005.044386700.bin</t>
  </si>
  <si>
    <t>-579.371784538613 12.1809924796055 -100.537905744649</t>
  </si>
  <si>
    <t>-600.834613504117 4.30864185476912 -214.087936264694</t>
  </si>
  <si>
    <t>-592.792317754639 9.08996564471454 -561.076359354273</t>
  </si>
  <si>
    <t>-581.566928892888 145.714208457577 -550.773105949467</t>
  </si>
  <si>
    <t>-555.090694168002 196.647028512578 -262.162571412075</t>
  </si>
  <si>
    <t>-314.42470906041 195.690279891709 -250.769262215643</t>
  </si>
  <si>
    <t>-589.018388652519 107.315946260104 -106.260133281839</t>
  </si>
  <si>
    <t>-589.436796409916 129.662255796134 296.673021458363</t>
  </si>
  <si>
    <t>-633.405529124688 168.285965869535 740.710157193039</t>
  </si>
  <si>
    <t>-488.513967628582 155.325477526846 803.366188677544</t>
  </si>
  <si>
    <t>-532.126867074907 -73.2316570083287 304.798541535576</t>
  </si>
  <si>
    <t>-550.136545713115 -57.0947580255706 752.001444130025</t>
  </si>
  <si>
    <t>-445.244937380007 -150.943430912794 824.647776613886</t>
  </si>
  <si>
    <t>9763-20170724T105005.113297600.bin</t>
  </si>
  <si>
    <t>-579.719828577433 12.2980550644231 -100.665811420467</t>
  </si>
  <si>
    <t>-601.25142012587 4.2019463619979 -214.186961617609</t>
  </si>
  <si>
    <t>-593.150725253643 9.15419971542474 -561.146776454858</t>
  </si>
  <si>
    <t>-582.356093429069 145.804864802632 -550.801014690583</t>
  </si>
  <si>
    <t>-557.323796696637 197.877745488396 -262.265112977713</t>
  </si>
  <si>
    <t>-316.742984509324 197.042480610968 -249.187892581938</t>
  </si>
  <si>
    <t>-590.279143039649 107.316946871495 -106.395893400059</t>
  </si>
  <si>
    <t>-590.147049875576 129.647621250751 296.538322690577</t>
  </si>
  <si>
    <t>-633.436061980667 168.20300970105 740.701779473562</t>
  </si>
  <si>
    <t>-488.461295936022 155.599134091726 803.237937737962</t>
  </si>
  <si>
    <t>-532.169033882317 -73.2219218658267 304.76251203859</t>
  </si>
  <si>
    <t>-550.022164521232 -56.877739636099 751.965659067289</t>
  </si>
  <si>
    <t>-445.473054971849 -151.091139605998 824.633540824386</t>
  </si>
  <si>
    <t>9763-20170724T105005.148390500.bin</t>
  </si>
  <si>
    <t>-580.25608926102 12.4672667409664 -100.715349081391</t>
  </si>
  <si>
    <t>-601.780892196006 4.22198684066598 -214.227108014628</t>
  </si>
  <si>
    <t>-593.707795124243 9.41596455413264 -561.169622570393</t>
  </si>
  <si>
    <t>-583.306135809541 146.106002538507 -550.682678153508</t>
  </si>
  <si>
    <t>-560.228037461834 198.231609981699 -261.993274819649</t>
  </si>
  <si>
    <t>-319.711585538212 197.443911092887 -247.778193204606</t>
  </si>
  <si>
    <t>-591.457219175366 107.288727694179 -106.44989072567</t>
  </si>
  <si>
    <t>-590.699376778704 129.587984328536 296.485402992078</t>
  </si>
  <si>
    <t>-633.454991391777 168.116852989772 740.686461378034</t>
  </si>
  <si>
    <t>-488.445489189547 155.763673814608 803.192136310354</t>
  </si>
  <si>
    <t>-531.795225501113 -73.2478923112894 304.737866126888</t>
  </si>
  <si>
    <t>-549.805596778946 -56.5240400377977 751.909228919144</t>
  </si>
  <si>
    <t>-445.769036965145 -151.252349378152 824.643227316515</t>
  </si>
  <si>
    <t>9763-20170724T105005.216305600.bin</t>
  </si>
  <si>
    <t>-581.006021083692 11.7529278467348 -100.738172565857</t>
  </si>
  <si>
    <t>-602.403170193194 3.23758115638998 -214.254152534258</t>
  </si>
  <si>
    <t>-594.730348937417 9.16784387524012 -561.172675316816</t>
  </si>
  <si>
    <t>-585.082004582745 145.855555836001 -549.954366136924</t>
  </si>
  <si>
    <t>-567.641944367012 196.498207496034 -260.606074390612</t>
  </si>
  <si>
    <t>-327.362934739078 197.621437892629 -242.841496221166</t>
  </si>
  <si>
    <t>-593.240098780455 106.320112285642 -106.500667169036</t>
  </si>
  <si>
    <t>-592.078926032802 129.732825836686 296.370503369172</t>
  </si>
  <si>
    <t>-633.467972887304 168.278645651459 740.60572386637</t>
  </si>
  <si>
    <t>-488.478493006181 155.983209304787 803.168927211417</t>
  </si>
  <si>
    <t>-531.29951396067 -73.6767158777682 304.66668488588</t>
  </si>
  <si>
    <t>-549.836731711048 -56.5969654069788 751.862331206748</t>
  </si>
  <si>
    <t>-445.954677432066 -151.477383253505 824.619055368697</t>
  </si>
  <si>
    <t>9763-20170724T105005.242386200.bin</t>
  </si>
  <si>
    <t>-581.39095429638 10.9115255311681 -100.714872409208</t>
  </si>
  <si>
    <t>-602.707634254123 2.27023604789815 -214.23651541402</t>
  </si>
  <si>
    <t>-595.314313696807 8.5502642024112 -561.146112882227</t>
  </si>
  <si>
    <t>-586.169557850259 145.242654181201 -549.629426787554</t>
  </si>
  <si>
    <t>-572.692664973436 194.017233934846 -259.748954268661</t>
  </si>
  <si>
    <t>-332.674613502543 196.076812216498 -238.821527940809</t>
  </si>
  <si>
    <t>-594.023283199288 105.702229396908 -106.529265222739</t>
  </si>
  <si>
    <t>-592.505338637082 129.322963913663 296.328575822851</t>
  </si>
  <si>
    <t>-633.466956061688 168.251008516851 740.590998738664</t>
  </si>
  <si>
    <t>-488.483592164247 155.991388588678 803.17538513386</t>
  </si>
  <si>
    <t>-531.619636109245 -73.8643089684037 304.686360105861</t>
  </si>
  <si>
    <t>-549.932315257742 -56.7767046224703 751.876717836893</t>
  </si>
  <si>
    <t>-445.735229577299 -151.339277325936 824.596639634751</t>
  </si>
  <si>
    <t>9763-20170724T105005.309053800.bin</t>
  </si>
  <si>
    <t>-581.930382552949 9.3146673434585 -100.607129612987</t>
  </si>
  <si>
    <t>-603.29583446736 0.631496047687278 -214.116332575107</t>
  </si>
  <si>
    <t>-596.564021845879 7.84527686711544 -561.005939112232</t>
  </si>
  <si>
    <t>-588.59069898644 144.540934768214 -548.971893501762</t>
  </si>
  <si>
    <t>-585.97594432096 190.150759844837 -258.27601059479</t>
  </si>
  <si>
    <t>-347.011203567073 192.131270794312 -227.570788591336</t>
  </si>
  <si>
    <t>-594.753439714968 104.156395585276 -106.405657036759</t>
  </si>
  <si>
    <t>-592.957342266159 128.301927644631 296.419878698544</t>
  </si>
  <si>
    <t>-633.501879719036 168.123057628437 740.625681730399</t>
  </si>
  <si>
    <t>-488.499258452214 156.100137211684 803.211604461249</t>
  </si>
  <si>
    <t>-531.797078402273 -74.75805302458 304.711324115127</t>
  </si>
  <si>
    <t>-550.042681384285 -57.0421966880226 751.896379499855</t>
  </si>
  <si>
    <t>-445.24327635708 -150.969463585041 824.574153852589</t>
  </si>
  <si>
    <t>9763-20170724T105005.347387600.bin</t>
  </si>
  <si>
    <t>-582.118744730109 8.86524028645113 -100.558969884989</t>
  </si>
  <si>
    <t>-603.562769702392 0.141126698998278 -214.050193712946</t>
  </si>
  <si>
    <t>-597.001833887259 7.93448236960944 -560.911690287581</t>
  </si>
  <si>
    <t>-589.564881295421 144.632372913972 -548.613372944313</t>
  </si>
  <si>
    <t>-592.634612356019 188.309503091866 -257.625249823936</t>
  </si>
  <si>
    <t>-354.458281392088 189.970176593702 -221.2910952521</t>
  </si>
  <si>
    <t>-595.004824368257 103.625067951834 -106.326293737262</t>
  </si>
  <si>
    <t>-592.959775335942 127.983299367529 296.485289461231</t>
  </si>
  <si>
    <t>-633.525527123222 168.058060582356 740.652309529091</t>
  </si>
  <si>
    <t>-488.515309045878 156.089403051929 803.230949253378</t>
  </si>
  <si>
    <t>-531.769179332016 -75.0833531551245 304.726049050028</t>
  </si>
  <si>
    <t>-549.997186656908 -56.9848006424506 751.904705667002</t>
  </si>
  <si>
    <t>-445.136388569076 -150.850366765248 824.573612933703</t>
  </si>
  <si>
    <t>9763-20170724T105005.412563200.bin</t>
  </si>
  <si>
    <t>-582.332589654623 7.83910108224836 -100.444036099129</t>
  </si>
  <si>
    <t>-598.165949450696 8.27474711853165 -560.65023014373</t>
  </si>
  <si>
    <t>-591.852863903268 144.967951732556 -547.539487512788</t>
  </si>
  <si>
    <t>-602.053467624007 182.737514154171 -255.887956894924</t>
  </si>
  <si>
    <t>-364.90827211482 185.747364002436 -213.414403919693</t>
  </si>
  <si>
    <t>-595.604905524835 102.577564474402 -106.194837636979</t>
  </si>
  <si>
    <t>-592.484175430098 127.286934627516 296.588424975865</t>
  </si>
  <si>
    <t>-633.65737798693 168.135979324599 740.643239347562</t>
  </si>
  <si>
    <t>-488.674200886975 155.700164158852 803.193515246304</t>
  </si>
  <si>
    <t>-531.770246379374 -75.6269831342413 304.847915502401</t>
  </si>
  <si>
    <t>-550.046114375187 -57.1547588010476 751.975732752128</t>
  </si>
  <si>
    <t>-444.869804721981 -150.700887960033 824.600642055288</t>
  </si>
  <si>
    <t>9763-20170724T105005.446659200.bin</t>
  </si>
  <si>
    <t>-582.304581533122 7.13650764038266 -100.416255705973</t>
  </si>
  <si>
    <t>-598.882350446487 8.3021874946412 -560.530932436268</t>
  </si>
  <si>
    <t>-593.150281631186 144.966539600267 -546.917789520453</t>
  </si>
  <si>
    <t>-603.898458956355 180.200078872193 -254.9687103884</t>
  </si>
  <si>
    <t>-366.647036472742 184.36232216748 -213.192033762104</t>
  </si>
  <si>
    <t>-595.966142748457 101.827104438594 -106.15668603888</t>
  </si>
  <si>
    <t>-592.24577008646 126.802098806458 296.60512597944</t>
  </si>
  <si>
    <t>-633.69893156332 167.993083446821 740.611128299795</t>
  </si>
  <si>
    <t>-488.692092342554 155.658974578279 803.126480135348</t>
  </si>
  <si>
    <t>-531.8132779882 -75.7625905538048 304.917668895833</t>
  </si>
  <si>
    <t>-550.015614995847 -57.1411259311608 752.006696954231</t>
  </si>
  <si>
    <t>-444.87237065842 -150.722399975638 824.634150330123</t>
  </si>
  <si>
    <t>9763-20170724T105005.513849700.bin</t>
  </si>
  <si>
    <t>-582.306816454149 6.11653134883022 -100.48401323996</t>
  </si>
  <si>
    <t>-600.610498008678 8.5086151937835 -560.428546284992</t>
  </si>
  <si>
    <t>-595.747548679832 145.126458475112 -545.977625328457</t>
  </si>
  <si>
    <t>-603.750244945217 177.623778495149 -253.62332894223</t>
  </si>
  <si>
    <t>-365.806509978075 184.646496709602 -216.416291968702</t>
  </si>
  <si>
    <t>-596.903606944411 100.825592533023 -106.264546345623</t>
  </si>
  <si>
    <t>-592.466213889518 126.299529015309 296.45874802218</t>
  </si>
  <si>
    <t>-633.864290729602 168.172121697254 740.441512563076</t>
  </si>
  <si>
    <t>-488.892372914363 155.267159544552 802.922590512327</t>
  </si>
  <si>
    <t>-531.838997279716 -76.0150742301462 304.978124441781</t>
  </si>
  <si>
    <t>-549.884545006518 -57.0227148825566 752.02904620794</t>
  </si>
  <si>
    <t>-444.645930932614 -150.480178902863 824.677820594463</t>
  </si>
  <si>
    <t>9763-20170724T105005.545925500.bin</t>
  </si>
  <si>
    <t>-582.354787680094 5.63682059227813 -100.531777878331</t>
  </si>
  <si>
    <t>-601.417264435947 8.53967802910688 -560.407956322919</t>
  </si>
  <si>
    <t>-596.88885028428 145.141203709958 -545.73638429087</t>
  </si>
  <si>
    <t>-603.218240920191 176.968082501037 -253.267309794372</t>
  </si>
  <si>
    <t>-364.909169211807 185.053346707154 -218.70852287744</t>
  </si>
  <si>
    <t>-597.221189450506 100.361581180697 -106.350924006458</t>
  </si>
  <si>
    <t>-592.851541702302 126.125953608808 296.354635074589</t>
  </si>
  <si>
    <t>-633.932982577291 168.227272044815 740.354153143733</t>
  </si>
  <si>
    <t>-488.973663374412 155.075530936689 802.813147347167</t>
  </si>
  <si>
    <t>-531.898398187382 -76.233271427813 304.971720260889</t>
  </si>
  <si>
    <t>-549.866715374314 -57.0638471047143 752.022264454245</t>
  </si>
  <si>
    <t>-444.401483715541 -150.258353041086 824.680016474857</t>
  </si>
  <si>
    <t>9763-20170724T105005.611107900.bin</t>
  </si>
  <si>
    <t>-582.171899948565 4.39375574397127 -100.670506686361</t>
  </si>
  <si>
    <t>-602.332611554946 8.33876695221556 -560.413586185592</t>
  </si>
  <si>
    <t>-598.522164460108 144.944795265221 -545.504807850495</t>
  </si>
  <si>
    <t>-602.124320506775 176.321019270438 -252.940666273587</t>
  </si>
  <si>
    <t>-363.40188813324 186.17071072174 -221.869144078398</t>
  </si>
  <si>
    <t>-597.204004022358 99.213459398881 -106.520696712311</t>
  </si>
  <si>
    <t>-593.208121084457 125.506203033313 296.154600822316</t>
  </si>
  <si>
    <t>-633.994373242095 168.087234575142 740.159637625328</t>
  </si>
  <si>
    <t>-489.003920603751 155.175859194219 802.596403446669</t>
  </si>
  <si>
    <t>-532.024039272755 -76.7207944833388 304.896559388026</t>
  </si>
  <si>
    <t>-549.775922213836 -57.0073523576086 751.976690430544</t>
  </si>
  <si>
    <t>-444.182699948512 -150.038550200594 824.658076985205</t>
  </si>
  <si>
    <t>9763-20170724T105005.645198200.bin</t>
  </si>
  <si>
    <t>-582.029282887083 3.85511762636907 -100.709991387077</t>
  </si>
  <si>
    <t>-602.57116901693 8.24906471316467 -560.387910103071</t>
  </si>
  <si>
    <t>-599.208945315516 144.85590897949 -545.387981694241</t>
  </si>
  <si>
    <t>-601.783080611119 176.077088785466 -252.796352334739</t>
  </si>
  <si>
    <t>-362.834896191004 186.017697584107 -223.541997309656</t>
  </si>
  <si>
    <t>-597.224031630016 98.6886398979011 -106.553797008086</t>
  </si>
  <si>
    <t>-593.13336285579 125.167375250349 296.108394216317</t>
  </si>
  <si>
    <t>-634.041455477572 168.070169785432 740.082357994458</t>
  </si>
  <si>
    <t>-489.052525823759 155.078816615539 802.506414273632</t>
  </si>
  <si>
    <t>-532.009201488178 -76.9917428190702 304.872415528957</t>
  </si>
  <si>
    <t>-549.701667270848 -56.9013724104143 751.951593045447</t>
  </si>
  <si>
    <t>-444.042099429975 -149.854451364962 824.636533770231</t>
  </si>
  <si>
    <t>9763-20170724T105005.709872800.bin</t>
  </si>
  <si>
    <t>-581.64028233146 3.06809222929587 -100.714878584075</t>
  </si>
  <si>
    <t>-603.013840198814 8.06999292515616 -560.244667566362</t>
  </si>
  <si>
    <t>-600.590649704356 144.666818845974 -545.021935099209</t>
  </si>
  <si>
    <t>-600.990874837067 175.537895307635 -252.38213737942</t>
  </si>
  <si>
    <t>-361.60117165649 184.394029476174 -226.594378022856</t>
  </si>
  <si>
    <t>-597.279921587511 97.821953519772 -106.559765463291</t>
  </si>
  <si>
    <t>-592.905012252862 124.434545541149 296.090631037833</t>
  </si>
  <si>
    <t>-634.143194820096 167.858453614896 739.984302781649</t>
  </si>
  <si>
    <t>-489.107106727392 154.972943981682 802.320440896201</t>
  </si>
  <si>
    <t>-531.707066825366 -77.5375958357865 304.87597784886</t>
  </si>
  <si>
    <t>-549.611136912201 -56.837172318739 751.90411429136</t>
  </si>
  <si>
    <t>-444.097073654204 -149.933803815534 824.616530275826</t>
  </si>
  <si>
    <t>9763-20170724T105005.812660400.bin</t>
  </si>
  <si>
    <t>-580.588420471401 0.914565358447817 -100.787458971113</t>
  </si>
  <si>
    <t>-604.156415621163 6.3549545147323 -560.082602254666</t>
  </si>
  <si>
    <t>-602.996204227467 142.921099633712 -544.454799123564</t>
  </si>
  <si>
    <t>-599.544270171295 172.366951346366 -251.688166466291</t>
  </si>
  <si>
    <t>-359.527533654716 179.740935860261 -231.979309062149</t>
  </si>
  <si>
    <t>-597.015116498794 95.6845720833051 -106.631140686625</t>
  </si>
  <si>
    <t>-593.066533725776 123.084241742892 295.970831021326</t>
  </si>
  <si>
    <t>-634.254038825732 167.424532035517 739.785402444162</t>
  </si>
  <si>
    <t>-489.075555328116 155.452691898402 801.972010335839</t>
  </si>
  <si>
    <t>-531.041612696522 -78.4824211620594 304.917576459056</t>
  </si>
  <si>
    <t>-549.514327208659 -56.7184960246548 751.861042568582</t>
  </si>
  <si>
    <t>-443.955656111333 -149.771368647073 824.564909625808</t>
  </si>
  <si>
    <t>9763-20170724T105005.840732600.bin</t>
  </si>
  <si>
    <t>-580.388300755099 0.0847967759384574 -100.831375950502</t>
  </si>
  <si>
    <t>-604.643967126458 5.93726254064086 -560.035942409154</t>
  </si>
  <si>
    <t>-603.971415213093 142.47253011697 -544.169808465824</t>
  </si>
  <si>
    <t>-599.072047839021 171.738522149257 -251.405865453294</t>
  </si>
  <si>
    <t>-358.871076277896 178.713412051854 -233.92082106354</t>
  </si>
  <si>
    <t>-597.118117892774 94.9490056896011 -106.686436712726</t>
  </si>
  <si>
    <t>-593.149173629285 122.535520535916 295.902564797946</t>
  </si>
  <si>
    <t>-634.264883285013 167.262482029663 739.696474968796</t>
  </si>
  <si>
    <t>-489.051544944243 155.581089342552 801.856913124499</t>
  </si>
  <si>
    <t>-530.823066227524 -78.9701432848433 304.917692117375</t>
  </si>
  <si>
    <t>-549.531778369249 -56.805819498851 751.826839586162</t>
  </si>
  <si>
    <t>-443.556555751577 -149.393252543663 824.518854999226</t>
  </si>
  <si>
    <t>9763-20170724T105005.910419700.bin</t>
  </si>
  <si>
    <t>-605.399290603942 5.72464310572536 -559.889508735061</t>
  </si>
  <si>
    <t>-606.020777427174 142.200090447659 -543.485773629176</t>
  </si>
  <si>
    <t>-598.304462662776 171.254499849592 -250.761459015355</t>
  </si>
  <si>
    <t>-357.805604670494 177.625487416527 -237.701025758084</t>
  </si>
  <si>
    <t>-597.526927974125 93.432319148448 -106.72309664408</t>
  </si>
  <si>
    <t>-593.157720373825 121.584323684911 295.822657905401</t>
  </si>
  <si>
    <t>-634.289706214713 166.998261337394 739.537610904829</t>
  </si>
  <si>
    <t>-489.026042282635 155.829216836098 801.674833239929</t>
  </si>
  <si>
    <t>-530.297466364163 -79.6293168679717 304.875587178825</t>
  </si>
  <si>
    <t>-549.398408595478 -56.5755069448385 751.759681548436</t>
  </si>
  <si>
    <t>-443.670040774015 -149.437981579871 824.460212089103</t>
  </si>
  <si>
    <t>9763-20170724T105005.946001900.bin</t>
  </si>
  <si>
    <t>-605.956437681806 5.55661687190945 -559.771370526568</t>
  </si>
  <si>
    <t>-607.406662366447 142.000417638968 -543.056643674355</t>
  </si>
  <si>
    <t>-598.258698853874 170.946105311674 -250.362717099126</t>
  </si>
  <si>
    <t>-357.636055727916 177.083154055945 -239.687951540766</t>
  </si>
  <si>
    <t>-597.827484854843 92.5679173341014 -106.736394061668</t>
  </si>
  <si>
    <t>-593.17812343335 121.048192008138 295.783065829696</t>
  </si>
  <si>
    <t>-634.312686206072 166.934702898124 739.455530667304</t>
  </si>
  <si>
    <t>-489.042836615622 155.851832514329 801.593609869935</t>
  </si>
  <si>
    <t>-530.238291104472 -80.1592089246228 304.89305306548</t>
  </si>
  <si>
    <t>-549.51162556675 -56.8075602573463 751.753495376103</t>
  </si>
  <si>
    <t>-443.404271321068 -149.26481373515 824.418441734158</t>
  </si>
  <si>
    <t>9763-20170724T105006.012188200.bin</t>
  </si>
  <si>
    <t>-606.95651252739 4.64816085994971 -559.549792176</t>
  </si>
  <si>
    <t>-610.310382740509 140.979370811853 -542.169921126564</t>
  </si>
  <si>
    <t>-598.282578400308 169.375846429855 -249.526439323355</t>
  </si>
  <si>
    <t>-357.483927058057 175.337706786003 -243.929807804009</t>
  </si>
  <si>
    <t>-598.578566586588 90.4001475141051 -106.729499514453</t>
  </si>
  <si>
    <t>-593.460611874262 119.880291179788 295.712339937632</t>
  </si>
  <si>
    <t>-634.359509381417 166.789207027156 739.280577814193</t>
  </si>
  <si>
    <t>-489.050651139443 156.214375025254 801.415750470373</t>
  </si>
  <si>
    <t>-529.901601929527 -81.1149840277187 304.941947234243</t>
  </si>
  <si>
    <t>-549.362831910375 -56.5548624533089 751.717179380424</t>
  </si>
  <si>
    <t>-443.223997197791 -148.985802150771 824.369684867738</t>
  </si>
  <si>
    <t>9763-20170724T105006.044273900.bin</t>
  </si>
  <si>
    <t>-607.476338913753 3.85423945656225 -559.458609251053</t>
  </si>
  <si>
    <t>-611.845747849701 140.118109964373 -541.753383502265</t>
  </si>
  <si>
    <t>-598.178196381082 168.326373428907 -249.163703485891</t>
  </si>
  <si>
    <t>-357.332913911748 174.163928219798 -245.956629899982</t>
  </si>
  <si>
    <t>-599.050920767099 89.1709544921753 -106.724711839956</t>
  </si>
  <si>
    <t>-593.802725776759 119.198579258991 295.6748974215</t>
  </si>
  <si>
    <t>-634.353171195129 166.586640990774 739.204608407021</t>
  </si>
  <si>
    <t>-489.015016439361 156.402262315766 801.336819865742</t>
  </si>
  <si>
    <t>-529.771063187439 -81.688124829303 304.959563656242</t>
  </si>
  <si>
    <t>-549.412431444258 -56.6603320726267 751.717401824755</t>
  </si>
  <si>
    <t>-443.114767604958 -148.929266035377 824.343577783697</t>
  </si>
  <si>
    <t>9763-20170724T105006.109951700.bin</t>
  </si>
  <si>
    <t>-608.535249461158 1.64816620475449 -559.258645400021</t>
  </si>
  <si>
    <t>-614.974514925766 137.745841749045 -540.992954794435</t>
  </si>
  <si>
    <t>-597.81953818943 166.247919440902 -248.61551208677</t>
  </si>
  <si>
    <t>-356.946718926505 171.552804795638 -250.338136223031</t>
  </si>
  <si>
    <t>-600.08598798096 86.3889078921923 -106.706765845731</t>
  </si>
  <si>
    <t>-594.646271866801 117.673661290735 295.594554601158</t>
  </si>
  <si>
    <t>-634.358764177192 166.311478206818 739.048325323679</t>
  </si>
  <si>
    <t>-488.996947471909 156.67372591868 801.21211482662</t>
  </si>
  <si>
    <t>-529.491295665056 -83.0431898049583 305.035100456941</t>
  </si>
  <si>
    <t>-549.498486749672 -56.8623325006963 751.720445204004</t>
  </si>
  <si>
    <t>-442.514572873292 -148.392587045254 824.273594166966</t>
  </si>
  <si>
    <t>9763-20170724T105006.144557500.bin</t>
  </si>
  <si>
    <t>-608.990161215623 0.493601949922777 -559.142477310464</t>
  </si>
  <si>
    <t>-616.557617619326 136.496500999591 -540.611948416541</t>
  </si>
  <si>
    <t>-597.63683950323 165.112374639941 -248.354699806034</t>
  </si>
  <si>
    <t>-356.796245385125 170.500362914011 -252.561925240488</t>
  </si>
  <si>
    <t>-600.591224640978 84.9068066233563 -106.686896623898</t>
  </si>
  <si>
    <t>-594.999643308971 116.93897691344 295.553483745514</t>
  </si>
  <si>
    <t>-634.369543139428 166.164784515553 738.977744940767</t>
  </si>
  <si>
    <t>-488.985742787882 156.892651061688 801.145899187677</t>
  </si>
  <si>
    <t>-529.149816179856 -83.612049453021 305.085927899877</t>
  </si>
  <si>
    <t>-549.447930626826 -56.7789267333726 751.72026978205</t>
  </si>
  <si>
    <t>-442.698276683715 -148.579877246801 824.276296172686</t>
  </si>
  <si>
    <t>9763-20170724T105006.213459300.bin</t>
  </si>
  <si>
    <t>-620.015170392552 133.600006132396 -539.822712889019</t>
  </si>
  <si>
    <t>-597.784498323859 162.063315827772 -247.783571184597</t>
  </si>
  <si>
    <t>-357.097921668842 168.20523681668 -256.901207422173</t>
  </si>
  <si>
    <t>-601.577131796807 81.9427837904407 -106.609472814265</t>
  </si>
  <si>
    <t>-595.63118845824 115.287879526565 295.519090951592</t>
  </si>
  <si>
    <t>-634.429852740488 165.905759989097 738.85531201047</t>
  </si>
  <si>
    <t>-488.987351796301 157.429738031496 800.999849740835</t>
  </si>
  <si>
    <t>-528.691426030187 -85.0307028568561 305.227884951439</t>
  </si>
  <si>
    <t>-549.493701737773 -56.9352218149677 751.751335053036</t>
  </si>
  <si>
    <t>-441.922900245553 -147.839269395561 824.223797583231</t>
  </si>
  <si>
    <t>9763-20170724T105006.243545300.bin</t>
  </si>
  <si>
    <t>-621.837383344871 132.311436932555 -539.469659006258</t>
  </si>
  <si>
    <t>-597.975312591882 160.817740602518 -247.563469045104</t>
  </si>
  <si>
    <t>-357.386603975202 167.457374622103 -258.693484629624</t>
  </si>
  <si>
    <t>-602.118127940598 80.6201179992195 -106.555408619804</t>
  </si>
  <si>
    <t>-595.899332592118 114.461332458227 295.527623250956</t>
  </si>
  <si>
    <t>-634.481538024093 165.800560519202 738.809355172464</t>
  </si>
  <si>
    <t>-489.022451611016 157.465425021687 800.934089737578</t>
  </si>
  <si>
    <t>-528.467905025849 -85.5779033506985 305.287131564202</t>
  </si>
  <si>
    <t>-549.458844641244 -56.8810831746514 751.767359315819</t>
  </si>
  <si>
    <t>-441.902350493061 -147.822063495852 824.215061349126</t>
  </si>
  <si>
    <t>9763-20170724T105006.311724200.bin</t>
  </si>
  <si>
    <t>-625.189833069762 129.687158801701 -538.88696439232</t>
  </si>
  <si>
    <t>-598.35988482528 158.990717029211 -247.317637019477</t>
  </si>
  <si>
    <t>-357.999849416594 167.049624514819 -261.912121061424</t>
  </si>
  <si>
    <t>-603.481575487814 77.9382422536653 -106.40399208373</t>
  </si>
  <si>
    <t>-596.33940989698 112.811339980328 295.575583187415</t>
  </si>
  <si>
    <t>-634.591442206945 165.501087195242 738.75651391978</t>
  </si>
  <si>
    <t>-489.071968909989 157.800109161107 800.821623097585</t>
  </si>
  <si>
    <t>-527.995907048245 -86.562387814779 305.392478240435</t>
  </si>
  <si>
    <t>-549.381206170657 -56.6859050791393 751.806173093755</t>
  </si>
  <si>
    <t>-441.604339186401 -147.458994251423 824.136702547077</t>
  </si>
  <si>
    <t>9763-20170724T105006.343813800.bin</t>
  </si>
  <si>
    <t>-626.482043058484 128.330634681382 -538.687003189901</t>
  </si>
  <si>
    <t>-598.440910248696 158.126623829993 -247.281615433835</t>
  </si>
  <si>
    <t>-358.168375317966 167.041330213536 -262.789155283226</t>
  </si>
  <si>
    <t>-604.266170661466 76.4789888427952 -106.3028933562</t>
  </si>
  <si>
    <t>-596.596086684346 112.033622125463 295.607142263937</t>
  </si>
  <si>
    <t>-634.628151674355 165.306747485291 738.727963632762</t>
  </si>
  <si>
    <t>-489.091442027646 157.831962669645 800.780289781024</t>
  </si>
  <si>
    <t>-527.784417508052 -87.1550049364846 305.40823022542</t>
  </si>
  <si>
    <t>-549.420179228999 -56.7465536390412 751.797133356514</t>
  </si>
  <si>
    <t>-441.408566066976 -147.282554247711 824.074549552427</t>
  </si>
  <si>
    <t>9763-20170724T105006.411494800.bin</t>
  </si>
  <si>
    <t>-628.149153732452 125.986763536546 -538.269988042455</t>
  </si>
  <si>
    <t>-598.07677184243 156.851482110061 -247.178538766348</t>
  </si>
  <si>
    <t>-357.890248813078 166.722217627598 -263.423859692706</t>
  </si>
  <si>
    <t>-605.982684352925 73.8570199714673 -106.168642848595</t>
  </si>
  <si>
    <t>-597.360857857201 110.806983713631 295.596305124981</t>
  </si>
  <si>
    <t>-634.68138165912 164.926454393049 738.635070157113</t>
  </si>
  <si>
    <t>-489.099987506244 158.27038705284 800.675718164513</t>
  </si>
  <si>
    <t>-527.655256599955 -88.1156195170872 305.451359614127</t>
  </si>
  <si>
    <t>-549.419828255779 -56.8468485238247 751.731652060361</t>
  </si>
  <si>
    <t>-440.718191796059 -146.594097894954 823.958304285821</t>
  </si>
  <si>
    <t>9763-20170724T105006.443713100.bin</t>
  </si>
  <si>
    <t>-628.687423088148 125.214763610016 -538.066655703301</t>
  </si>
  <si>
    <t>-597.539715570158 156.621812245247 -247.146368885959</t>
  </si>
  <si>
    <t>-357.380363170583 167.029047232356 -263.45735288666</t>
  </si>
  <si>
    <t>-606.906274368827 72.7918238520247 -106.164553879661</t>
  </si>
  <si>
    <t>-597.917789606755 110.33452337229 295.537313077116</t>
  </si>
  <si>
    <t>-634.677369348144 164.712171274296 738.561858230549</t>
  </si>
  <si>
    <t>-489.094995039166 158.364905640824 800.632675981428</t>
  </si>
  <si>
    <t>-527.858451398655 -88.3340771113262 305.436912921169</t>
  </si>
  <si>
    <t>-549.405984788243 -56.8720611075414 751.69606875006</t>
  </si>
  <si>
    <t>-440.646640591302 -146.543025148672 823.930625076375</t>
  </si>
  <si>
    <t>9763-20170724T105006.508888000.bin</t>
  </si>
  <si>
    <t>-629.30868974991 123.579334568443 -537.784241319849</t>
  </si>
  <si>
    <t>-596.494878839643 155.873044737456 -247.144316932482</t>
  </si>
  <si>
    <t>-356.335966963909 166.986684082221 -262.988082134105</t>
  </si>
  <si>
    <t>-608.943195451998 70.979008985071 -106.159697944279</t>
  </si>
  <si>
    <t>-599.180344794069 109.482984048495 295.433119115769</t>
  </si>
  <si>
    <t>-634.728498727468 164.45780275004 738.533711800726</t>
  </si>
  <si>
    <t>-489.122584160331 158.713456736545 800.607834842051</t>
  </si>
  <si>
    <t>-529.15039937307 -88.531375065756 305.379231664148</t>
  </si>
  <si>
    <t>-549.397190348077 -56.9221616522925 751.669646481051</t>
  </si>
  <si>
    <t>-440.261912489837 -146.156668009247 823.877456601176</t>
  </si>
  <si>
    <t>9763-20170724T105006.548002800.bin</t>
  </si>
  <si>
    <t>-629.78588996395 122.959533868955 -537.778338464125</t>
  </si>
  <si>
    <t>-596.383526493476 156.033451523451 -247.293242981735</t>
  </si>
  <si>
    <t>-356.188604842062 167.644158171795 -262.20740677919</t>
  </si>
  <si>
    <t>-610.25563927225 70.1976649232988 -106.114007102888</t>
  </si>
  <si>
    <t>-599.901883207736 109.047049933152 295.430669777345</t>
  </si>
  <si>
    <t>-634.786528384189 164.355971153721 738.576750681464</t>
  </si>
  <si>
    <t>-489.169657656091 158.686954122943 800.632130757083</t>
  </si>
  <si>
    <t>-530.093128571322 -88.501772899371 305.34180704501</t>
  </si>
  <si>
    <t>-549.358898113908 -56.852002225957 751.669612056395</t>
  </si>
  <si>
    <t>-440.174966190216 -146.045129132621 823.855357659937</t>
  </si>
  <si>
    <t>9763-20170724T105006.613173200.bin</t>
  </si>
  <si>
    <t>-631.107526618734 121.750221402402 -537.8932378246</t>
  </si>
  <si>
    <t>-596.480971687648 157.226953383893 -247.835311596745</t>
  </si>
  <si>
    <t>-356.173492937431 169.612800487341 -260.073349506181</t>
  </si>
  <si>
    <t>-613.72460993824 68.1857902251336 -105.890101927579</t>
  </si>
  <si>
    <t>-601.233714147968 108.231934457554 295.476213041864</t>
  </si>
  <si>
    <t>-634.876967427075 164.179109917349 738.668762508252</t>
  </si>
  <si>
    <t>-489.26003292688 158.481293432963 800.721502522663</t>
  </si>
  <si>
    <t>-532.072157571889 -88.7655742491604 305.128990572614</t>
  </si>
  <si>
    <t>-549.298414255756 -56.8367906324975 751.552926049859</t>
  </si>
  <si>
    <t>-440.036733175593 -145.883668525242 823.801331090128</t>
  </si>
  <si>
    <t>9763-20170724T105006.645259200.bin</t>
  </si>
  <si>
    <t>-631.774358714231 120.881311811432 -537.944148542462</t>
  </si>
  <si>
    <t>-596.655076222992 157.665278915684 -248.108360452237</t>
  </si>
  <si>
    <t>-356.293042792259 170.599232277576 -258.581505634888</t>
  </si>
  <si>
    <t>-615.782906611241 66.749168936926 -105.653780085871</t>
  </si>
  <si>
    <t>-601.856957471819 107.606688253 295.583569605418</t>
  </si>
  <si>
    <t>-634.910404001225 164.055891775004 738.74203233719</t>
  </si>
  <si>
    <t>-489.293117368455 158.364047136171 800.794534079903</t>
  </si>
  <si>
    <t>-532.970925298839 -89.1764009523574 304.966076943494</t>
  </si>
  <si>
    <t>-549.351656872264 -57.1123828027992 751.44277711437</t>
  </si>
  <si>
    <t>-440.137544491925 -146.135834384735 823.79198753336</t>
  </si>
  <si>
    <t>9763-20170724T105006.713463500.bin</t>
  </si>
  <si>
    <t>-632.87379758328 118.987046790961 -537.66338747318</t>
  </si>
  <si>
    <t>-596.404173207346 158.301873226685 -248.327058521441</t>
  </si>
  <si>
    <t>-355.974535548209 172.633383449012 -254.574515861675</t>
  </si>
  <si>
    <t>-620.229947996778 63.123816286798 -104.91548051592</t>
  </si>
  <si>
    <t>-603.228390691458 105.976102455808 295.995138241711</t>
  </si>
  <si>
    <t>-634.939828990847 164.054929712971 738.904989313589</t>
  </si>
  <si>
    <t>-489.361358126173 158.153463587306 801.028991802216</t>
  </si>
  <si>
    <t>-534.787809492244 -90.3154855257094 304.714041893454</t>
  </si>
  <si>
    <t>-549.41608883237 -57.2810778648106 751.38018311762</t>
  </si>
  <si>
    <t>-440.110249300773 -146.182594231573 823.740792378167</t>
  </si>
  <si>
    <t>9763-20170724T105006.746552400.bin</t>
  </si>
  <si>
    <t>-633.384760501071 117.696748370982 -537.322265522733</t>
  </si>
  <si>
    <t>-595.837751706075 158.358234085184 -248.309983883297</t>
  </si>
  <si>
    <t>-355.401714741515 173.530154498255 -251.653164153222</t>
  </si>
  <si>
    <t>-622.453385448106 60.5784708332142 -104.348932901684</t>
  </si>
  <si>
    <t>-603.549314388699 104.800006254388 296.327748181131</t>
  </si>
  <si>
    <t>-634.920694566111 164.073519904042 739.050621726297</t>
  </si>
  <si>
    <t>-489.351912306184 158.28023607409 801.20767414495</t>
  </si>
  <si>
    <t>-535.120303443734 -91.3082206728518 304.6357777096</t>
  </si>
  <si>
    <t>-549.463314466778 -57.4724940570843 751.343773329675</t>
  </si>
  <si>
    <t>-440.02584505699 -146.210203935012 823.7062154545</t>
  </si>
  <si>
    <t>9763-20170724T105006.811726000.bin</t>
  </si>
  <si>
    <t>-634.762827723407 113.304289604846 -536.008238895897</t>
  </si>
  <si>
    <t>-594.304785507806 156.663946690813 -247.782025325595</t>
  </si>
  <si>
    <t>-354.047924599736 174.52245020597 -244.856767939893</t>
  </si>
  <si>
    <t>-627.593958982358 54.3453473755178 -102.27606270382</t>
  </si>
  <si>
    <t>-601.167487661804 100.894047040613 297.710869117468</t>
  </si>
  <si>
    <t>-635.02649077244 164.114149362954 739.623950847202</t>
  </si>
  <si>
    <t>-489.487466177812 157.864307914259 801.80601385491</t>
  </si>
  <si>
    <t>-534.637280561926 -94.0085407648119 304.660689685578</t>
  </si>
  <si>
    <t>-549.284443467077 -57.4640611147308 751.20809541848</t>
  </si>
  <si>
    <t>-440.13636180157 -146.449427446301 823.703496678925</t>
  </si>
  <si>
    <t>9763-20170724T105006.844821200.bin</t>
  </si>
  <si>
    <t>-636.390359053903 111.032126466877 -534.981740968582</t>
  </si>
  <si>
    <t>-593.757074998556 155.587980373461 -247.252083797655</t>
  </si>
  <si>
    <t>-353.680260428095 174.978246237668 -241.086772677029</t>
  </si>
  <si>
    <t>-631.125948930301 51.4640388202845 -100.775640713459</t>
  </si>
  <si>
    <t>-598.454367295535 98.2626392048232 298.720432642611</t>
  </si>
  <si>
    <t>-635.09081524305 164.089347600039 739.954768745352</t>
  </si>
  <si>
    <t>-489.571284848642 157.684836037736 802.166797902613</t>
  </si>
  <si>
    <t>-533.805801297852 -95.6249467883231 304.838483964026</t>
  </si>
  <si>
    <t>-549.177782458109 -57.4279305940224 751.16280770302</t>
  </si>
  <si>
    <t>-440.212914261439 -146.583511346048 823.724784358236</t>
  </si>
  <si>
    <t>9763-20170724T105006.915716000.bin</t>
  </si>
  <si>
    <t>-641.263440706422 106.853184796445 -532.108575895026</t>
  </si>
  <si>
    <t>-592.434084895605 152.04514703558 -245.464877762154</t>
  </si>
  <si>
    <t>-352.749442201616 174.684321383939 -236.000795816276</t>
  </si>
  <si>
    <t>-640.021048225522 46.1798713660378 -97.4434311255382</t>
  </si>
  <si>
    <t>-592.987914439042 92.9010703551983 300.626570343273</t>
  </si>
  <si>
    <t>-634.96462492771 163.863206713008 740.494271217794</t>
  </si>
  <si>
    <t>-489.629718279597 157.271592482971 803.116786656509</t>
  </si>
  <si>
    <t>-531.506631468987 -99.5756032333491 305.259681143336</t>
  </si>
  <si>
    <t>-548.914125553655 -57.0370948395139 750.992648348958</t>
  </si>
  <si>
    <t>-440.219548572282 -146.401954294669 823.702209068399</t>
  </si>
  <si>
    <t>9763-20170724T105006.944791000.bin</t>
  </si>
  <si>
    <t>-643.306663573072 104.786359925073 -530.529225821104</t>
  </si>
  <si>
    <t>-591.345195880243 149.172506890892 -244.310686995748</t>
  </si>
  <si>
    <t>-351.772125898791 172.759566956579 -234.346087754479</t>
  </si>
  <si>
    <t>-643.684846777409 42.9067635607225 -96.0230404050412</t>
  </si>
  <si>
    <t>-590.560623968801 90.7569526211514 301.145501011272</t>
  </si>
  <si>
    <t>-634.693605270792 163.330843174841 740.442624858095</t>
  </si>
  <si>
    <t>-489.612498701974 156.898143387089 803.667526389009</t>
  </si>
  <si>
    <t>-531.174745692009 -101.42981735075 305.39097243552</t>
  </si>
  <si>
    <t>-548.929514156495 -57.1745134309551 750.894809668477</t>
  </si>
  <si>
    <t>-439.753383448071 -145.908341866188 823.655899758755</t>
  </si>
  <si>
    <t>9763-20170724T105007.008964200.bin</t>
  </si>
  <si>
    <t>-645.878625112409 100.990951504286 -527.398347266773</t>
  </si>
  <si>
    <t>-589.214944899207 143.603007056872 -241.803092664196</t>
  </si>
  <si>
    <t>-349.673089191248 167.710999573662 -232.348741139095</t>
  </si>
  <si>
    <t>-647.986633466768 37.3232643406416 -92.9319956341087</t>
  </si>
  <si>
    <t>-582.036552886305 86.4288034057979 302.155204565839</t>
  </si>
  <si>
    <t>-634.771909261205 159.371207554805 740.915096969052</t>
  </si>
  <si>
    <t>-489.725552601485 155.77049441149 804.443630609214</t>
  </si>
  <si>
    <t>-533.529083757351 -102.210357645188 305.637383682233</t>
  </si>
  <si>
    <t>-549.016858900033 -57.8394820874887 750.980317250768</t>
  </si>
  <si>
    <t>-438.974907968469 -145.356194048644 823.911070879664</t>
  </si>
  <si>
    <t>9763-20170724T105007.044563000.bin</t>
  </si>
  <si>
    <t>-649.850717573332 98.8775732850795 -525.868488236235</t>
  </si>
  <si>
    <t>-590.559526768091 140.561514728893 -240.669955742342</t>
  </si>
  <si>
    <t>-350.967416046712 164.464163120153 -232.002248541371</t>
  </si>
  <si>
    <t>-654.309690814074 33.7878882488849 -91.1852686768143</t>
  </si>
  <si>
    <t>-582.506179275 81.3923978651235 303.064305550278</t>
  </si>
  <si>
    <t>-645.743657093314 147.590227745787 741.6900681946</t>
  </si>
  <si>
    <t>-500.413030655827 148.296968677034 804.665097741464</t>
  </si>
  <si>
    <t>-535.712925863242 -103.170751326409 306.025118860805</t>
  </si>
  <si>
    <t>-549.138501432803 -58.2352870596169 751.263716033926</t>
  </si>
  <si>
    <t>-438.274505965626 -144.757017408468 824.136671535808</t>
  </si>
  <si>
    <t>9763-20170724T105007.109741900.bin</t>
  </si>
  <si>
    <t>-663.827140599715 93.3198201522362 -523.747843327788</t>
  </si>
  <si>
    <t>-599.710753782105 132.018694171837 -239.173232213935</t>
  </si>
  <si>
    <t>-359.897045445538 154.67732819828 -233.993774649643</t>
  </si>
  <si>
    <t>-671.549684088404 24.3830887492102 -88.4034406321006</t>
  </si>
  <si>
    <t>-593.714253757898 68.8223085039137 305.070084391616</t>
  </si>
  <si>
    <t>-682.454715836226 119.838975192992 741.221725662355</t>
  </si>
  <si>
    <t>-537.795354033489 130.705716050389 804.805030712508</t>
  </si>
  <si>
    <t>-541.36980289657 -105.570686953668 306.807911599304</t>
  </si>
  <si>
    <t>-549.626679395487 -59.1089874941688 751.890619235238</t>
  </si>
  <si>
    <t>-437.555333204683 -144.288497630095 824.497635928007</t>
  </si>
  <si>
    <t>9763-20170724T105007.140822600.bin</t>
  </si>
  <si>
    <t>-668.384688836204 93.3829934457899 -523.229332529202</t>
  </si>
  <si>
    <t>-602.363359428983 130.420908044715 -238.869384857549</t>
  </si>
  <si>
    <t>-362.398315172583 151.897913195912 -236.34396927555</t>
  </si>
  <si>
    <t>-675.488081817757 24.6257593810644 -87.6680502695311</t>
  </si>
  <si>
    <t>-597.235290641989 66.2961969762864 306.025688129572</t>
  </si>
  <si>
    <t>-699.05420985361 108.905933032334 740.163963102408</t>
  </si>
  <si>
    <t>-555.40805879595 123.375028273622 805.307384672976</t>
  </si>
  <si>
    <t>-543.1155833939 -105.517639945699 307.050279336606</t>
  </si>
  <si>
    <t>-549.859767438721 -59.4479364600791 752.152149079079</t>
  </si>
  <si>
    <t>-437.3882330215 -144.208041720349 824.630934983849</t>
  </si>
  <si>
    <t>9763-20170724T105007.212027300.bin</t>
  </si>
  <si>
    <t>-673.32961916454 99.701353648863 -522.93038375764</t>
  </si>
  <si>
    <t>-604.076602292351 135.052247656654 -239.124790941507</t>
  </si>
  <si>
    <t>-363.885990413329 153.709530625049 -242.484612073353</t>
  </si>
  <si>
    <t>-679.172488324268 30.9794286146096 -86.9227799475558</t>
  </si>
  <si>
    <t>-603.576942341028 63.9954759992704 308.108795644323</t>
  </si>
  <si>
    <t>-723.902825887557 91.4437204459934 738.692314515982</t>
  </si>
  <si>
    <t>-582.443179175751 113.312291812721 806.502748568216</t>
  </si>
  <si>
    <t>-543.984622481865 -102.885623770243 307.172539915551</t>
  </si>
  <si>
    <t>-550.111518497817 -59.6508547729325 752.537085929946</t>
  </si>
  <si>
    <t>-437.363540284379 -144.207340252277 824.82401953291</t>
  </si>
  <si>
    <t>9763-20170724T105007.247691400.bin</t>
  </si>
  <si>
    <t>-675.560571084298 103.206237435423 -522.917464278417</t>
  </si>
  <si>
    <t>-604.72903316573 138.251619734571 -239.463923953526</t>
  </si>
  <si>
    <t>-364.476255691557 155.478688814766 -245.185142437978</t>
  </si>
  <si>
    <t>-680.239181031493 34.0909451888072 -86.6419012237935</t>
  </si>
  <si>
    <t>-609.727138876838 64.40088790243 309.544960209512</t>
  </si>
  <si>
    <t>-728.03966609501 86.111673402477 740.841910524444</t>
  </si>
  <si>
    <t>-586.682757560347 110.302557798263 808.075202908968</t>
  </si>
  <si>
    <t>-543.78877472532 -101.137920987447 307.033166985503</t>
  </si>
  <si>
    <t>-550.390179235785 -60.2205671344407 752.686424830206</t>
  </si>
  <si>
    <t>-436.897241550622 -143.888836160035 824.840818199855</t>
  </si>
  <si>
    <t>9763-20170724T105007.314378000.bin</t>
  </si>
  <si>
    <t>-678.880412345182 107.82425100859 -522.674965985565</t>
  </si>
  <si>
    <t>-605.586214511976 142.034658649757 -239.745883782169</t>
  </si>
  <si>
    <t>-365.186476489115 155.658627005939 -248.302696955799</t>
  </si>
  <si>
    <t>-681.515397494107 38.5574646079594 -86.8893109366574</t>
  </si>
  <si>
    <t>-624.271866175716 63.1165364398869 311.82696840562</t>
  </si>
  <si>
    <t>-725.233612775472 84.252994110554 747.552893305712</t>
  </si>
  <si>
    <t>-582.603666078989 107.383566666329 812.429637292144</t>
  </si>
  <si>
    <t>-542.033290103017 -96.8683006693009 306.308494163426</t>
  </si>
  <si>
    <t>-550.523442669749 -60.4543984391257 752.627948276392</t>
  </si>
  <si>
    <t>-436.797573407091 -143.843527238064 824.738652528969</t>
  </si>
  <si>
    <t>9763-20170724T105007.342960800.bin</t>
  </si>
  <si>
    <t>-680.799101312112 112.380984318158 -522.521839579051</t>
  </si>
  <si>
    <t>-606.684226455749 145.907420872997 -239.724962882619</t>
  </si>
  <si>
    <t>-366.229886342839 157.712026081485 -249.381296612247</t>
  </si>
  <si>
    <t>-686.101467476248 44.7288006736173 -86.8108691284698</t>
  </si>
  <si>
    <t>-626.500039756764 66.7294245202024 311.709230506251</t>
  </si>
  <si>
    <t>-725.160068548645 85.0906529746655 748.420101583527</t>
  </si>
  <si>
    <t>-582.146799029331 106.938193200392 812.896264319424</t>
  </si>
  <si>
    <t>-540.432277607331 -93.7232609006965 305.872458729439</t>
  </si>
  <si>
    <t>-550.546345736568 -60.513182383288 752.484177127187</t>
  </si>
  <si>
    <t>-436.51819448797 -143.44412908842 824.64600517764</t>
  </si>
  <si>
    <t>9763-20170724T105007.378054700.bin</t>
  </si>
  <si>
    <t>-683.519098349834 117.076593459696 -521.684814213559</t>
  </si>
  <si>
    <t>-608.463723988698 149.446816631996 -239.00107205093</t>
  </si>
  <si>
    <t>-367.955136148243 159.102557036211 -249.64269466461</t>
  </si>
  <si>
    <t>-690.627647513408 49.1296055546493 -86.4377104549746</t>
  </si>
  <si>
    <t>-629.83635454226 67.7302434748183 312.075918482218</t>
  </si>
  <si>
    <t>-725.063655812442 84.8830302761335 749.436538645683</t>
  </si>
  <si>
    <t>-581.901443810763 106.946799599046 813.507088282687</t>
  </si>
  <si>
    <t>-538.058292566212 -90.9220221853548 305.517811939089</t>
  </si>
  <si>
    <t>-550.494780814659 -60.41767354898 752.261767099111</t>
  </si>
  <si>
    <t>-436.559233938472 -143.346840020656 824.571721098156</t>
  </si>
  <si>
    <t>9763-20170724T105007.445240300.bin</t>
  </si>
  <si>
    <t>-683.193048072417 120.980935959019 -518.600148962842</t>
  </si>
  <si>
    <t>-606.230344322502 150.500821647539 -236.117390944946</t>
  </si>
  <si>
    <t>-365.705460025498 155.704971776031 -249.213537483355</t>
  </si>
  <si>
    <t>-691.412746057187 53.4552899266687 -85.2674906743381</t>
  </si>
  <si>
    <t>-636.28654868981 68.0286774196088 314.236393802036</t>
  </si>
  <si>
    <t>-725.238446037919 84.2417776086129 752.698399887233</t>
  </si>
  <si>
    <t>-581.699185682917 106.259027882062 815.93654003345</t>
  </si>
  <si>
    <t>-527.115470437751 -88.4215578232772 304.845372166371</t>
  </si>
  <si>
    <t>-550.173338926782 -59.5377166556998 751.421634516814</t>
  </si>
  <si>
    <t>-436.993168692769 -143.108923619462 824.17739305907</t>
  </si>
  <si>
    <t>9763-20170724T105007.510415900.bin</t>
  </si>
  <si>
    <t>-682.136266789171 121.836196413584 -514.281303021528</t>
  </si>
  <si>
    <t>-604.140013739785 147.779341240561 -231.73084918545</t>
  </si>
  <si>
    <t>-363.723783141335 148.775837025157 -247.539689028509</t>
  </si>
  <si>
    <t>-695.817099120104 57.6172137812368 -82.8576468504626</t>
  </si>
  <si>
    <t>-643.371436068591 69.2290012782164 317.104031030373</t>
  </si>
  <si>
    <t>-725.202280466307 83.9163735466777 756.919184538891</t>
  </si>
  <si>
    <t>-581.256519889865 104.618256085796 819.67547055759</t>
  </si>
  <si>
    <t>-516.373651856679 -88.7539430047066 304.445029552707</t>
  </si>
  <si>
    <t>-550.637509532605 -59.4252710535584 750.442432644923</t>
  </si>
  <si>
    <t>-437.633000747651 -142.985854102407 823.482870103536</t>
  </si>
  <si>
    <t>9763-20170724T105007.542070700.bin</t>
  </si>
  <si>
    <t>-681.784603792997 123.854085261485 -511.792320425071</t>
  </si>
  <si>
    <t>-603.313591947911 148.637915395221 -229.269374560668</t>
  </si>
  <si>
    <t>-362.99042288238 147.925653895512 -246.448838974676</t>
  </si>
  <si>
    <t>-697.976982169309 59.7714855721968 -81.0969830857399</t>
  </si>
  <si>
    <t>-645.945193605206 69.7785434414861 318.962072442008</t>
  </si>
  <si>
    <t>-725.133159708806 83.6328960225496 759.226147722498</t>
  </si>
  <si>
    <t>-581.063542237151 104.02390105145 821.799641811326</t>
  </si>
  <si>
    <t>-511.664866256718 -90.034301882805 304.108439845506</t>
  </si>
  <si>
    <t>-550.832262631068 -59.9268341088261 749.409204466919</t>
  </si>
  <si>
    <t>-437.859527260865 -143.056680088633 822.988343513205</t>
  </si>
  <si>
    <t>9763-20170724T105007.620794600.bin</t>
  </si>
  <si>
    <t>-680.868293574258 132.40863005973 -510.385805325127</t>
  </si>
  <si>
    <t>-601.588877548198 155.584053788041 -227.951908726917</t>
  </si>
  <si>
    <t>-361.417977943748 152.425945619987 -246.893807548525</t>
  </si>
  <si>
    <t>-701.866993866498 66.3597415045651 -80.3690099954671</t>
  </si>
  <si>
    <t>-649.975455272622 72.5879225929311 319.784875492705</t>
  </si>
  <si>
    <t>-724.816701104021 83.5308548286612 761.809050942432</t>
  </si>
  <si>
    <t>-580.519406689629 102.291280463028 824.368048725505</t>
  </si>
  <si>
    <t>-504.541112698189 -88.1826361050571 300.602966494336</t>
  </si>
  <si>
    <t>-553.750725327919 -61.8647061427887 744.053572588124</t>
  </si>
  <si>
    <t>-439.842064913999 -140.818687043813 820.724209877515</t>
  </si>
  <si>
    <t>9763-20170724T105007.647865400.bin</t>
  </si>
  <si>
    <t>-674.977402938024 1.94403169865791 -536.284480198289</t>
  </si>
  <si>
    <t>-678.747871352653 137.016211164444 -511.020906391483</t>
  </si>
  <si>
    <t>-599.409887267974 159.484856943938 -228.546388616083</t>
  </si>
  <si>
    <t>-359.337768058687 155.727691298505 -248.599776305289</t>
  </si>
  <si>
    <t>-701.788915490354 69.3442757553398 -80.7190161972827</t>
  </si>
  <si>
    <t>-650.304993071619 74.1513531221028 319.507080199172</t>
  </si>
  <si>
    <t>-724.57020596325 83.2892072964514 761.663461347777</t>
  </si>
  <si>
    <t>-580.238549998928 101.75091473258 824.232239167207</t>
  </si>
  <si>
    <t>-501.499843900064 -86.6748487210614 298.689789064425</t>
  </si>
  <si>
    <t>-554.487432207718 -66.2744091252689 741.857894827408</t>
  </si>
  <si>
    <t>-438.92001697689 -141.375429792417 819.904627786107</t>
  </si>
  <si>
    <t>9763-20170724T105007.713046400.bin</t>
  </si>
  <si>
    <t>-651.841287117269 11.7555201779471 -671.662187293622</t>
  </si>
  <si>
    <t>-688.707215715848 23.4766173922571 -538.36079092726</t>
  </si>
  <si>
    <t>-691.56265103689 158.576435431702 -513.184113798689</t>
  </si>
  <si>
    <t>-612.718480064156 180.130833510925 -230.500190354073</t>
  </si>
  <si>
    <t>-372.788406880743 174.698288379705 -251.828126677484</t>
  </si>
  <si>
    <t>-708.939508160838 81.1271249482065 -82.2039157551584</t>
  </si>
  <si>
    <t>-657.423598097966 83.9235101918255 318.037220522906</t>
  </si>
  <si>
    <t>-724.396985138847 83.2509427269181 761.004253507168</t>
  </si>
  <si>
    <t>-579.965132312029 100.893916198627 823.577957819402</t>
  </si>
  <si>
    <t>-524.478181908828 -62.373853736822 295.715793799663</t>
  </si>
  <si>
    <t>-590.954693504698 -42.5119620770165 738.264690177262</t>
  </si>
  <si>
    <t>-474.953266458608 -114.772288436255 818.323428031454</t>
  </si>
  <si>
    <t>9763-20170724T105007.741128500.bin</t>
  </si>
  <si>
    <t>-686.546560403623 8.36915100245869 -595.093584028923</t>
  </si>
  <si>
    <t>-658.375878264259 20.3510292543886 -672.345496397065</t>
  </si>
  <si>
    <t>-695.353887537381 31.9782723908811 -539.072469736875</t>
  </si>
  <si>
    <t>-698.24929503336 167.087981094836 -513.940333087793</t>
  </si>
  <si>
    <t>-619.375026521135 188.594428381245 -231.26105580637</t>
  </si>
  <si>
    <t>-379.613062766223 182.626134930066 -254.271533990304</t>
  </si>
  <si>
    <t>-712.181081756682 85.6351132306625 -82.7235713473711</t>
  </si>
  <si>
    <t>-660.495070299307 87.7477221393419 317.499784354758</t>
  </si>
  <si>
    <t>-724.385767349713 83.1646600584725 760.719285063313</t>
  </si>
  <si>
    <t>-579.949252218862 100.852657700302 823.269541897989</t>
  </si>
  <si>
    <t>-533.470133156514 -60.0275390721561 295.784557168448</t>
  </si>
  <si>
    <t>-603.035467760297 -45.5947578623766 737.947070810672</t>
  </si>
  <si>
    <t>-490.171467141432 -121.898842035707 818.735076454894</t>
  </si>
  <si>
    <t>9763-20170724T105007.813823300.bin</t>
  </si>
  <si>
    <t>-705.488982963386 4.2571287094836 -472.752010724352</t>
  </si>
  <si>
    <t>-689.849753392152 13.5079748273774 -596.002254728705</t>
  </si>
  <si>
    <t>-661.535710745667 25.6051757945506 -673.183917989811</t>
  </si>
  <si>
    <t>-698.707741281354 37.0156338415895 -539.946714557548</t>
  </si>
  <si>
    <t>-702.574284092272 172.140963188251 -514.870339794199</t>
  </si>
  <si>
    <t>-623.282005255084 193.502301506083 -232.297183341515</t>
  </si>
  <si>
    <t>-383.893007494187 187.787395071934 -258.963561687898</t>
  </si>
  <si>
    <t>-712.896727731335 89.0949694606268 -83.4599112482744</t>
  </si>
  <si>
    <t>-662.675188906444 89.8474979741359 316.954666745873</t>
  </si>
  <si>
    <t>-724.692410679601 83.4690511053902 760.438459708289</t>
  </si>
  <si>
    <t>-580.100772863925 100.229267324872 822.885789739088</t>
  </si>
  <si>
    <t>-537.682199681281 -73.4616999497002 297.366411665266</t>
  </si>
  <si>
    <t>-624.351597813529 -63.791231569804 736.959025070052</t>
  </si>
  <si>
    <t>-517.708865530226 -145.527524022318 820.826758899639</t>
  </si>
  <si>
    <t>9763-20170724T105007.846419300.bin</t>
  </si>
  <si>
    <t>-704.536688610662 2.91443621967778 -472.978298945479</t>
  </si>
  <si>
    <t>-689.249123877126 12.2776715689663 -596.264327787564</t>
  </si>
  <si>
    <t>-660.915140913022 24.4630562014816 -673.424770882356</t>
  </si>
  <si>
    <t>-698.081797266952 35.725423304425 -540.179741488882</t>
  </si>
  <si>
    <t>-702.654856703115 170.832244310483 -515.126000286567</t>
  </si>
  <si>
    <t>-622.835032649836 192.684734905727 -232.738926479139</t>
  </si>
  <si>
    <t>-383.633392511689 187.645335131891 -261.165493795669</t>
  </si>
  <si>
    <t>-711.057189687122 88.5806964775647 -83.9494709133901</t>
  </si>
  <si>
    <t>-663.342285648643 89.4955442038772 316.771224435615</t>
  </si>
  <si>
    <t>-724.788770906054 83.5796832265441 760.361678417198</t>
  </si>
  <si>
    <t>-580.177904599351 100.364279995305 822.757971642375</t>
  </si>
  <si>
    <t>-537.288718137984 -81.6990068922701 298.328931646446</t>
  </si>
  <si>
    <t>-634.052401957286 -70.6238783103161 735.76714145442</t>
  </si>
  <si>
    <t>-528.20057096269 -150.295987869714 822.571773471388</t>
  </si>
  <si>
    <t>9763-20170724T105007.878510300.bin</t>
  </si>
  <si>
    <t>-702.9778489299 0.0779682746185699 -473.070554922744</t>
  </si>
  <si>
    <t>-688.157172259311 9.55561797919131 -596.404764130418</t>
  </si>
  <si>
    <t>-659.822672547417 21.8599163641691 -673.546257801302</t>
  </si>
  <si>
    <t>-696.91582860237 32.9416291643836 -540.282647701578</t>
  </si>
  <si>
    <t>-702.17188821396 168.01017622135 -515.233063362767</t>
  </si>
  <si>
    <t>-621.840794812867 190.476512864293 -233.03926377227</t>
  </si>
  <si>
    <t>-382.795780472606 186.475354404161 -262.911069356778</t>
  </si>
  <si>
    <t>-708.475925677636 86.8594690033665 -84.2319300896148</t>
  </si>
  <si>
    <t>-662.727899276867 88.3030332887608 316.716555684213</t>
  </si>
  <si>
    <t>-724.852725216637 83.6429588432268 760.323026108775</t>
  </si>
  <si>
    <t>-580.228668168832 100.556944490419 822.653543902267</t>
  </si>
  <si>
    <t>-536.912821005751 -89.0159939628068 299.441813375216</t>
  </si>
  <si>
    <t>-641.766444104642 -76.3371852120308 735.096219651099</t>
  </si>
  <si>
    <t>-534.545796707925 -152.92851797249 822.987051653841</t>
  </si>
  <si>
    <t>9763-20170724T105007.942690800.bin</t>
  </si>
  <si>
    <t>-688.244668168378 2.96099645263394 -596.257211999633</t>
  </si>
  <si>
    <t>-659.979971179419 15.4865156672618 -673.388471513738</t>
  </si>
  <si>
    <t>-696.646825062788 26.2864149640573 -540.055414924653</t>
  </si>
  <si>
    <t>-703.353641040047 161.305325292447 -515.001454290065</t>
  </si>
  <si>
    <t>-621.631073891165 184.331896541621 -233.252746376373</t>
  </si>
  <si>
    <t>-382.629273256352 182.634278938161 -263.685106480227</t>
  </si>
  <si>
    <t>-704.661850383116 81.6874387129953 -83.825909257453</t>
  </si>
  <si>
    <t>-658.773141530947 84.0663669197759 317.102096204355</t>
  </si>
  <si>
    <t>-724.877494959045 83.1740534727853 760.411663682504</t>
  </si>
  <si>
    <t>-580.256791474601 100.891886341879 822.52618857896</t>
  </si>
  <si>
    <t>-542.394743559181 -103.163849574405 302.665142857549</t>
  </si>
  <si>
    <t>-628.718605114123 -98.2796602476631 741.82744124145</t>
  </si>
  <si>
    <t>-517.375570064286 -173.288520107035 825.873382902549</t>
  </si>
  <si>
    <t>9763-20170724T105008.007354800.bin</t>
  </si>
  <si>
    <t>-660.177171728066 8.41500359311931 -672.873562342497</t>
  </si>
  <si>
    <t>-696.095892074828 19.1640173511319 -539.391907920174</t>
  </si>
  <si>
    <t>-704.07919628095 153.991331027484 -513.797375884676</t>
  </si>
  <si>
    <t>-620.004413163698 177.492256513868 -232.780714637155</t>
  </si>
  <si>
    <t>-380.880221949873 178.386513435571 -262.27104183137</t>
  </si>
  <si>
    <t>-698.993085750885 76.3642471875983 -83.8392408481333</t>
  </si>
  <si>
    <t>-657.481685506145 80.4276276820763 317.552051536281</t>
  </si>
  <si>
    <t>-724.863597558106 83.0680480913072 760.440951205997</t>
  </si>
  <si>
    <t>-580.292793014722 101.300788970187 822.522653227684</t>
  </si>
  <si>
    <t>-546.704235408784 -113.225051288241 307.506293885454</t>
  </si>
  <si>
    <t>-623.325130648352 -110.497033105962 748.644947981842</t>
  </si>
  <si>
    <t>-509.529682104438 -187.390083136039 827.54593011124</t>
  </si>
  <si>
    <t>9763-20170724T105008.043888800.bin</t>
  </si>
  <si>
    <t>-659.574263854595 5.40295015141919 -672.799472502414</t>
  </si>
  <si>
    <t>-695.206912650961 16.042433107418 -539.235459270135</t>
  </si>
  <si>
    <t>-703.700732077642 150.734443994884 -513.251164970848</t>
  </si>
  <si>
    <t>-618.596774474071 174.456385092631 -232.562986833981</t>
  </si>
  <si>
    <t>-379.383778437788 176.787049211115 -261.243301352758</t>
  </si>
  <si>
    <t>-696.753747355455 74.1028856577441 -83.9450617943504</t>
  </si>
  <si>
    <t>-657.054323389039 79.2032626634928 317.61765198646</t>
  </si>
  <si>
    <t>-724.835367583709 83.0478513992502 760.443367265362</t>
  </si>
  <si>
    <t>-580.271353262877 101.285240055858 822.539621922991</t>
  </si>
  <si>
    <t>-550.787898659107 -114.178357742002 309.399778925195</t>
  </si>
  <si>
    <t>-620.917986250247 -113.865481146611 751.734678592988</t>
  </si>
  <si>
    <t>-506.343954242671 -191.396905345863 828.864221975754</t>
  </si>
  <si>
    <t>9763-20170724T105008.113575500.bin</t>
  </si>
  <si>
    <t>-659.202915658591 1.02324488803674 -672.588847052549</t>
  </si>
  <si>
    <t>-694.313972005507 11.4467465503094 -538.861357380248</t>
  </si>
  <si>
    <t>-703.591841370768 146.064867067516 -512.52481562084</t>
  </si>
  <si>
    <t>-618.303476829416 169.575258750255 -231.874937622744</t>
  </si>
  <si>
    <t>-378.57220304275 174.048705488347 -255.534505391168</t>
  </si>
  <si>
    <t>-694.583727929848 69.958615032067 -84.0084814747962</t>
  </si>
  <si>
    <t>-656.282940562554 76.4773037320867 317.66958492758</t>
  </si>
  <si>
    <t>-724.736330490975 82.8002966365432 760.474303686995</t>
  </si>
  <si>
    <t>-580.272182401224 101.81867550341 822.568889876211</t>
  </si>
  <si>
    <t>-557.839664628637 -121.74523090514 312.595074633302</t>
  </si>
  <si>
    <t>-618.382437666252 -125.573982115241 756.454392727456</t>
  </si>
  <si>
    <t>-503.368271828473 -203.96748551086 832.042113666123</t>
  </si>
  <si>
    <t>9763-20170724T105008.145634100.bin</t>
  </si>
  <si>
    <t>-693.473899884268 8.36890241104675 -540.189013023747</t>
  </si>
  <si>
    <t>-702.871605341865 142.965553642399 -513.755879549974</t>
  </si>
  <si>
    <t>-617.936352985492 166.382935366035 -232.991203807928</t>
  </si>
  <si>
    <t>-377.903541000367 171.397287813106 -253.23975603035</t>
  </si>
  <si>
    <t>-693.554221154633 67.6997552842352 -85.3141215497202</t>
  </si>
  <si>
    <t>-656.865134218451 74.9397073595492 316.501987313575</t>
  </si>
  <si>
    <t>-724.740056531569 82.6330634743449 759.781427084888</t>
  </si>
  <si>
    <t>-580.261832452714 101.680158205605 821.834231443713</t>
  </si>
  <si>
    <t>-559.742094836907 -124.734326734061 311.760248125349</t>
  </si>
  <si>
    <t>-618.053457161516 -127.940693844017 754.980839643562</t>
  </si>
  <si>
    <t>-502.858520042943 -206.503436519637 830.116033874127</t>
  </si>
  <si>
    <t>9763-20170724T105008.211318500.bin</t>
  </si>
  <si>
    <t>-693.036514104915 5.68611032584363 -541.994979659364</t>
  </si>
  <si>
    <t>-702.39118118179 140.235586529574 -515.435007820344</t>
  </si>
  <si>
    <t>-619.970841875861 163.845328845725 -233.937880048546</t>
  </si>
  <si>
    <t>-379.726510790174 170.260064350976 -251.038348377953</t>
  </si>
  <si>
    <t>-692.083971874916 64.9780127713541 -87.5063156913391</t>
  </si>
  <si>
    <t>-659.409512834194 73.7929839218443 314.624708474918</t>
  </si>
  <si>
    <t>-724.904649716252 82.3537827707282 758.378130421971</t>
  </si>
  <si>
    <t>-580.375267170716 101.479236833334 820.287361643993</t>
  </si>
  <si>
    <t>-563.703823988061 -125.402177548761 310.891900542562</t>
  </si>
  <si>
    <t>-618.913149662851 -127.184539047172 754.582089874346</t>
  </si>
  <si>
    <t>-503.814923417217 -206.462630412302 829.112032222569</t>
  </si>
  <si>
    <t>9763-20170724T105008.249922000.bin</t>
  </si>
  <si>
    <t>-692.933843417118 4.24991150589995 -542.882186579538</t>
  </si>
  <si>
    <t>-702.641645482845 138.806543839868 -516.343161119421</t>
  </si>
  <si>
    <t>-621.653389847655 162.1430810799 -234.40787367636</t>
  </si>
  <si>
    <t>-381.422166467015 169.246190639881 -251.420346009965</t>
  </si>
  <si>
    <t>-691.25228789749 63.7035032113449 -88.5333951027302</t>
  </si>
  <si>
    <t>-660.781130698741 72.9639498807983 313.760510330396</t>
  </si>
  <si>
    <t>-724.939758532464 82.1249731465634 757.674688609293</t>
  </si>
  <si>
    <t>-580.406989136327 101.520353699357 819.491992535826</t>
  </si>
  <si>
    <t>-565.796874669208 -125.781959579489 310.497435177075</t>
  </si>
  <si>
    <t>-619.130112442886 -127.223342670869 754.512781339343</t>
  </si>
  <si>
    <t>-504.077402223897 -206.725565299672 828.873760800685</t>
  </si>
  <si>
    <t>9763-20170724T105008.312092000.bin</t>
  </si>
  <si>
    <t>-704.083277790611 134.241308053188 -518.337959069359</t>
  </si>
  <si>
    <t>-624.722674604802 157.585142139897 -235.94082282306</t>
  </si>
  <si>
    <t>-384.597824561277 166.308514784575 -253.684954105893</t>
  </si>
  <si>
    <t>-690.013058991772 60.605569023566 -90.6168194627292</t>
  </si>
  <si>
    <t>-662.205156942497 71.2308397052745 311.836344896983</t>
  </si>
  <si>
    <t>-724.884044129761 81.7119893500583 756.003061809879</t>
  </si>
  <si>
    <t>-580.418869281021 101.900279070932 817.724331239707</t>
  </si>
  <si>
    <t>-569.901947962574 -125.710309971657 309.971835091776</t>
  </si>
  <si>
    <t>-619.309368385276 -127.228756148848 754.434345235455</t>
  </si>
  <si>
    <t>-504.215163400728 -206.834668490959 828.620043285813</t>
  </si>
  <si>
    <t>9763-20170724T105008.377267600.bin</t>
  </si>
  <si>
    <t>-706.279441657964 129.659496346633 -519.575466011654</t>
  </si>
  <si>
    <t>-627.607957253613 153.755509301713 -237.048598716092</t>
  </si>
  <si>
    <t>-387.61550176706 164.25173289712 -255.603690114223</t>
  </si>
  <si>
    <t>-688.768641444186 57.1084536125773 -92.1561376618628</t>
  </si>
  <si>
    <t>-661.024888379833 69.2787445318916 310.257641072091</t>
  </si>
  <si>
    <t>-724.773030594505 81.0815021567364 754.358194878814</t>
  </si>
  <si>
    <t>-580.385124455523 102.237978033593 815.935988642371</t>
  </si>
  <si>
    <t>-571.045884966449 -127.171877035169 309.659745256279</t>
  </si>
  <si>
    <t>-619.475684266902 -127.368118322099 754.40514816106</t>
  </si>
  <si>
    <t>-503.919585062202 -206.468432598376 828.413380976057</t>
  </si>
  <si>
    <t>9763-20170724T105008.411864700.bin</t>
  </si>
  <si>
    <t>-707.385195973737 127.475506006754 -519.90039430507</t>
  </si>
  <si>
    <t>-628.972962964745 151.714845536308 -237.313840787483</t>
  </si>
  <si>
    <t>-389.080012753951 162.997124613705 -256.676867207987</t>
  </si>
  <si>
    <t>-687.866281086758 55.3600447425574 -92.6838658530787</t>
  </si>
  <si>
    <t>-660.378619979849 67.9757940764218 309.733790351039</t>
  </si>
  <si>
    <t>-724.789596348197 80.9002659087346 753.653867749482</t>
  </si>
  <si>
    <t>-580.415420899071 102.437645246361 815.131859639763</t>
  </si>
  <si>
    <t>-570.641655617969 -128.066428437508 309.559755762616</t>
  </si>
  <si>
    <t>-619.54008404099 -127.514079364693 754.321715979687</t>
  </si>
  <si>
    <t>-503.703982610796 -206.257259160694 828.273138770455</t>
  </si>
  <si>
    <t>9763-20170724T105008.446466700.bin</t>
  </si>
  <si>
    <t>-708.31276095777 125.003377593278 -520.163057766419</t>
  </si>
  <si>
    <t>-630.31343230555 149.287895038861 -237.466167399238</t>
  </si>
  <si>
    <t>-390.506860242428 161.06782024153 -257.589493958309</t>
  </si>
  <si>
    <t>-686.796590170234 53.2744661859899 -93.1378561360469</t>
  </si>
  <si>
    <t>-659.875686784145 66.7762344598993 309.289398249034</t>
  </si>
  <si>
    <t>-724.764949811695 80.6910641468478 753.00174879285</t>
  </si>
  <si>
    <t>-580.414819456103 102.58508717797 814.410234024099</t>
  </si>
  <si>
    <t>-569.791340876905 -128.808703001231 309.437284815498</t>
  </si>
  <si>
    <t>-619.465791688869 -127.3730955676 754.165792558379</t>
  </si>
  <si>
    <t>-503.768416427963 -206.298182213875 828.140491366702</t>
  </si>
  <si>
    <t>9763-20170724T105008.515150200.bin</t>
  </si>
  <si>
    <t>-709.96796594278 119.95823317129 -520.492164030774</t>
  </si>
  <si>
    <t>-632.838482844372 144.035010765666 -237.538904179641</t>
  </si>
  <si>
    <t>-393.190063877936 156.995651693528 -258.78833549424</t>
  </si>
  <si>
    <t>-685.314530987133 49.6883102631309 -93.9385491934354</t>
  </si>
  <si>
    <t>-659.161112453249 64.6619937577548 308.487165548713</t>
  </si>
  <si>
    <t>-724.676949515929 80.5112299129391 751.827200157439</t>
  </si>
  <si>
    <t>-580.426205242966 103.071767026121 813.228135167952</t>
  </si>
  <si>
    <t>-567.867006523091 -130.453894324633 309.184599042346</t>
  </si>
  <si>
    <t>-619.280603224546 -126.997449545762 753.815435981039</t>
  </si>
  <si>
    <t>-503.680830559899 -206.012274221669 827.846985238335</t>
  </si>
  <si>
    <t>9763-20170724T105008.546455900.bin</t>
  </si>
  <si>
    <t>-711.167682667338 117.637315655046 -520.459195518164</t>
  </si>
  <si>
    <t>-634.071692165984 141.535757780147 -237.481595891847</t>
  </si>
  <si>
    <t>-394.481158624702 154.990571869474 -259.073645518131</t>
  </si>
  <si>
    <t>-684.922021877384 48.1218683310619 -94.2980395134173</t>
  </si>
  <si>
    <t>-659.013935900279 63.7162198896569 308.120057339695</t>
  </si>
  <si>
    <t>-724.65039807007 80.5046285430487 751.334684918632</t>
  </si>
  <si>
    <t>-580.421075464096 103.139627873867 812.758341630805</t>
  </si>
  <si>
    <t>-567.277445434239 -131.222963481809 309.137871415351</t>
  </si>
  <si>
    <t>-619.35711561563 -127.171331336571 753.699440106</t>
  </si>
  <si>
    <t>-503.468383085473 -205.79116627391 827.699543335726</t>
  </si>
  <si>
    <t>9763-20170724T105008.609119100.bin</t>
  </si>
  <si>
    <t>-713.929983287439 114.007290768777 -520.432770293375</t>
  </si>
  <si>
    <t>-636.492330128059 138.081080015065 -237.563392230309</t>
  </si>
  <si>
    <t>-397.029798554263 152.55090479763 -259.905535863603</t>
  </si>
  <si>
    <t>-684.583557983524 45.5887191825282 -94.9863061736087</t>
  </si>
  <si>
    <t>-658.935301739815 62.0748886922081 307.412806200862</t>
  </si>
  <si>
    <t>-724.513379323398 80.3195328067141 750.495313721231</t>
  </si>
  <si>
    <t>-580.38994121157 103.530544640363 811.952252055728</t>
  </si>
  <si>
    <t>-567.178493919078 -132.051888795727 308.962336555914</t>
  </si>
  <si>
    <t>-619.362448065535 -127.056556258036 753.509566623363</t>
  </si>
  <si>
    <t>-503.217430280063 -205.34378091184 827.460625395982</t>
  </si>
  <si>
    <t>9763-20170724T105008.646727900.bin</t>
  </si>
  <si>
    <t>-715.343930694509 112.534138020741 -520.461029033684</t>
  </si>
  <si>
    <t>-637.594306886754 136.56056030484 -237.673238187988</t>
  </si>
  <si>
    <t>-398.204814156219 151.613862100034 -260.409745014199</t>
  </si>
  <si>
    <t>-684.522096817026 44.5125215729308 -95.2911541912139</t>
  </si>
  <si>
    <t>-658.866041647228 61.5014919214377 307.086491966877</t>
  </si>
  <si>
    <t>-724.495015161794 80.2970489030765 750.12538618179</t>
  </si>
  <si>
    <t>-580.37420837771 103.505100759848 811.58992268086</t>
  </si>
  <si>
    <t>-567.251812866196 -132.503077058552 308.869065579316</t>
  </si>
  <si>
    <t>-619.397042965164 -127.110679223567 753.433511321782</t>
  </si>
  <si>
    <t>-503.018618592372 -205.067276830565 827.366788962121</t>
  </si>
  <si>
    <t>9763-20170724T105008.709894000.bin</t>
  </si>
  <si>
    <t>-717.79150772802 110.112751401073 -520.454824486059</t>
  </si>
  <si>
    <t>-639.563274324081 134.402687625022 -237.821535148964</t>
  </si>
  <si>
    <t>-400.304517026765 150.284094000954 -261.356993025096</t>
  </si>
  <si>
    <t>-684.42932910751 42.7641518706928 -95.8338462943836</t>
  </si>
  <si>
    <t>-658.740409260789 60.6031977565685 306.504977180241</t>
  </si>
  <si>
    <t>-724.522326637496 80.3641528644271 749.441434770595</t>
  </si>
  <si>
    <t>-580.38785575801 103.43562765573 810.925221235017</t>
  </si>
  <si>
    <t>-567.210688197453 -133.365439939068 308.72966198387</t>
  </si>
  <si>
    <t>-619.468741070976 -127.163478746592 753.337285032998</t>
  </si>
  <si>
    <t>-502.992347784232 -204.997074816232 827.245908755977</t>
  </si>
  <si>
    <t>9763-20170724T105008.746502000.bin</t>
  </si>
  <si>
    <t>-718.678082114784 109.027087384146 -520.42642104028</t>
  </si>
  <si>
    <t>-640.243356383037 133.235106217932 -237.84330993935</t>
  </si>
  <si>
    <t>-401.054011791382 149.666061924891 -261.704863284169</t>
  </si>
  <si>
    <t>-684.405374500152 41.8565671716099 -96.0546291490155</t>
  </si>
  <si>
    <t>-658.73091437268 60.0813724880138 306.267768203856</t>
  </si>
  <si>
    <t>-724.50388751478 80.3543431559403 749.147672975933</t>
  </si>
  <si>
    <t>-580.382252368045 103.480040843778 810.64153092034</t>
  </si>
  <si>
    <t>-567.279965321135 -133.800099807834 308.671462089201</t>
  </si>
  <si>
    <t>-619.539615083911 -127.289856708779 753.303344015713</t>
  </si>
  <si>
    <t>-502.904943350665 -204.90753045807 827.189383111512</t>
  </si>
  <si>
    <t>9763-20170724T105008.810167400.bin</t>
  </si>
  <si>
    <t>-720.343433839826 107.021112337216 -520.341007490793</t>
  </si>
  <si>
    <t>-641.58884378329 131.129700304014 -237.8383662559</t>
  </si>
  <si>
    <t>-402.50273190027 148.255029805147 -262.239986566653</t>
  </si>
  <si>
    <t>-684.737746088323 40.2593756833655 -96.3478420742758</t>
  </si>
  <si>
    <t>-658.683324798068 59.0859509850704 305.922457181358</t>
  </si>
  <si>
    <t>-724.579652138144 80.4643547780217 748.705209140423</t>
  </si>
  <si>
    <t>-580.417078827454 103.361533859823 810.188440872472</t>
  </si>
  <si>
    <t>-567.535152137553 -134.689647294798 308.606549100045</t>
  </si>
  <si>
    <t>-619.700767835667 -127.582523972158 753.261504768088</t>
  </si>
  <si>
    <t>-502.587108695269 -204.536021988618 827.084601204667</t>
  </si>
  <si>
    <t>9763-20170724T105008.842285500.bin</t>
  </si>
  <si>
    <t>-721.086682016924 106.160857338569 -520.299778348323</t>
  </si>
  <si>
    <t>-642.282591271876 130.190878829478 -237.804279678716</t>
  </si>
  <si>
    <t>-403.245105963513 147.669908571881 -262.429707016877</t>
  </si>
  <si>
    <t>-684.865739909043 39.5425279411681 -96.4600247301507</t>
  </si>
  <si>
    <t>-658.688026720033 58.6327835124835 305.789815981483</t>
  </si>
  <si>
    <t>-724.533461628996 80.365335597731 748.516295611642</t>
  </si>
  <si>
    <t>-580.378227669612 103.293719471077 810.004991716068</t>
  </si>
  <si>
    <t>-567.617427466331 -134.984697546019 308.574168878993</t>
  </si>
  <si>
    <t>-619.678752479278 -127.423710855768 753.239539339059</t>
  </si>
  <si>
    <t>-502.653710229781 -204.525177850609 827.048720720988</t>
  </si>
  <si>
    <t>9763-20170724T105008.911474300.bin</t>
  </si>
  <si>
    <t>-721.849955034241 104.650794882166 -520.302099384568</t>
  </si>
  <si>
    <t>-642.89217356056 128.571651286707 -237.840217922662</t>
  </si>
  <si>
    <t>-403.916002293132 146.873668388865 -262.46404474824</t>
  </si>
  <si>
    <t>-684.777004685656 38.4228987161221 -96.7760672665615</t>
  </si>
  <si>
    <t>-658.638194990402 58.1889189575984 305.443729821464</t>
  </si>
  <si>
    <t>-724.506320062469 80.5544863071182 748.043279790337</t>
  </si>
  <si>
    <t>-580.397534264807 103.393318973899 809.674082668698</t>
  </si>
  <si>
    <t>-568.197519505548 -135.374517410597 308.534434016804</t>
  </si>
  <si>
    <t>-619.782916268592 -127.401224414714 753.265684193913</t>
  </si>
  <si>
    <t>-502.93779375184 -204.838218433929 827.008516717651</t>
  </si>
  <si>
    <t>9763-20170724T105008.946069300.bin</t>
  </si>
  <si>
    <t>-721.746308943255 104.153848718948 -520.360056034029</t>
  </si>
  <si>
    <t>-642.677302934897 128.314061400112 -237.949690204381</t>
  </si>
  <si>
    <t>-403.705716089563 146.941913605244 -262.370915237038</t>
  </si>
  <si>
    <t>-684.486534411285 38.0309567769079 -96.9241825999874</t>
  </si>
  <si>
    <t>-658.296671701183 58.0144597016863 305.281557010856</t>
  </si>
  <si>
    <t>-724.511673605723 80.6860696932119 747.826743040349</t>
  </si>
  <si>
    <t>-580.416242399139 103.37255880563 809.544574247486</t>
  </si>
  <si>
    <t>-568.60905705389 -135.602395363074 308.54503030414</t>
  </si>
  <si>
    <t>-619.856064512062 -127.403430562338 753.314677054305</t>
  </si>
  <si>
    <t>-502.961108567042 -204.829766043601 826.989982702342</t>
  </si>
  <si>
    <t>9763-20170724T105009.013251000.bin</t>
  </si>
  <si>
    <t>-720.861164435894 103.737142032301 -520.653154251367</t>
  </si>
  <si>
    <t>-641.483764603065 128.739561580246 -238.402781355012</t>
  </si>
  <si>
    <t>-402.46876308178 147.7132326254 -262.124215252758</t>
  </si>
  <si>
    <t>-684.250512290146 37.2740600732375 -97.099362188095</t>
  </si>
  <si>
    <t>-657.769915144895 57.3527536786837 305.082592868948</t>
  </si>
  <si>
    <t>-724.434512613136 80.4633352525691 747.586588139153</t>
  </si>
  <si>
    <t>-580.38047214353 103.390465322662 809.312409633847</t>
  </si>
  <si>
    <t>-569.723986273345 -136.270498041486 308.56590455989</t>
  </si>
  <si>
    <t>-620.01642737563 -127.554705369621 753.407721030358</t>
  </si>
  <si>
    <t>-502.69496504302 -204.449962971036 826.961105939512</t>
  </si>
  <si>
    <t>9763-20170724T105009.047363500.bin</t>
  </si>
  <si>
    <t>-720.288341902304 103.742975664174 -520.871001617989</t>
  </si>
  <si>
    <t>-640.718374546461 129.136799697267 -238.709732526246</t>
  </si>
  <si>
    <t>-401.675075100952 148.183191128431 -262.085347642249</t>
  </si>
  <si>
    <t>-684.223091759486 37.0140268664491 -97.1708242940306</t>
  </si>
  <si>
    <t>-657.930478389701 57.1609473297256 305.020004701745</t>
  </si>
  <si>
    <t>-724.518288057114 80.5202331376297 747.520728276156</t>
  </si>
  <si>
    <t>-580.400801526487 103.120505754179 809.219120844395</t>
  </si>
  <si>
    <t>-570.206049185994 -136.636463367035 308.559610500239</t>
  </si>
  <si>
    <t>-620.115104988293 -127.717027707371 753.450136619298</t>
  </si>
  <si>
    <t>-502.598017773961 -204.359853713045 826.954751145324</t>
  </si>
  <si>
    <t>9763-20170724T105009.112044100.bin</t>
  </si>
  <si>
    <t>-718.391077502321 103.412751523445 -521.457913115148</t>
  </si>
  <si>
    <t>-638.882448358389 129.760723030761 -239.366910385368</t>
  </si>
  <si>
    <t>-399.731873702161 148.38094264697 -261.97578117903</t>
  </si>
  <si>
    <t>-683.716133376897 36.3066891908852 -97.2775075211314</t>
  </si>
  <si>
    <t>-658.565510012714 56.7626346695138 304.970728592038</t>
  </si>
  <si>
    <t>-724.575299440276 80.3680308305072 747.495295066525</t>
  </si>
  <si>
    <t>-580.401732865801 102.974640899064 809.059816240518</t>
  </si>
  <si>
    <t>-570.898483238488 -137.448854142561 308.541875538523</t>
  </si>
  <si>
    <t>-620.26024205867 -127.92326757145 753.510734202508</t>
  </si>
  <si>
    <t>-502.541495919121 -204.324466778321 826.944178572864</t>
  </si>
  <si>
    <t>9763-20170724T105009.145633700.bin</t>
  </si>
  <si>
    <t>-717.304744521052 103.135266094982 -521.781599945952</t>
  </si>
  <si>
    <t>-638.202571505693 129.657762329107 -239.592684730491</t>
  </si>
  <si>
    <t>-398.987941256959 147.983790701946 -261.760180828214</t>
  </si>
  <si>
    <t>-683.324403492055 36.0058214810501 -97.2983902478119</t>
  </si>
  <si>
    <t>-658.794887579793 56.5778517022261 304.982399304831</t>
  </si>
  <si>
    <t>-724.619467758027 80.3049300905689 747.511604955818</t>
  </si>
  <si>
    <t>-580.408861384841 102.908146478545 808.99115953018</t>
  </si>
  <si>
    <t>-571.045157959632 -137.73734469266 308.543474737623</t>
  </si>
  <si>
    <t>-620.280795536937 -127.909567271771 753.523053509419</t>
  </si>
  <si>
    <t>-502.550351698498 -204.30872400965 826.939871268323</t>
  </si>
  <si>
    <t>9763-20170724T105009.211820300.bin</t>
  </si>
  <si>
    <t>-715.530145093651 102.517977452036 -522.282198115292</t>
  </si>
  <si>
    <t>-637.66655806999 128.988598025009 -239.74413960563</t>
  </si>
  <si>
    <t>-398.360819375765 147.08480580309 -261.102691000306</t>
  </si>
  <si>
    <t>-682.92250431025 35.4792209832856 -97.2880930926297</t>
  </si>
  <si>
    <t>-659.062994498337 56.2771966358655 305.021283159278</t>
  </si>
  <si>
    <t>-724.649138065539 80.1516148328567 747.549083206339</t>
  </si>
  <si>
    <t>-580.377089655197 102.746187188234 808.887394342406</t>
  </si>
  <si>
    <t>-571.11387266672 -138.301500715413 308.54394781433</t>
  </si>
  <si>
    <t>-620.322131607219 -127.918222123358 753.517095764764</t>
  </si>
  <si>
    <t>-502.586888370676 -204.32176665014 826.921508821194</t>
  </si>
  <si>
    <t>9763-20170724T105009.243682100.bin</t>
  </si>
  <si>
    <t>-715.201639168382 102.121581100168 -522.466172125188</t>
  </si>
  <si>
    <t>-638.240981171689 128.7499181716 -239.695515440729</t>
  </si>
  <si>
    <t>-398.913555950114 146.867535781893 -260.789481075827</t>
  </si>
  <si>
    <t>-683.025509935752 35.2165151541101 -97.2432589613953</t>
  </si>
  <si>
    <t>-658.919315338048 56.1430171114459 305.044768680763</t>
  </si>
  <si>
    <t>-724.665615645002 80.0927521956255 747.561870791638</t>
  </si>
  <si>
    <t>-580.405119381506 102.931562932321 808.836688321305</t>
  </si>
  <si>
    <t>-571.175548524335 -138.596549737395 308.563752208494</t>
  </si>
  <si>
    <t>-620.369556230551 -128.017128621633 753.518441257454</t>
  </si>
  <si>
    <t>-502.466948806158 -204.172308549359 826.912451239958</t>
  </si>
  <si>
    <t>9763-20170724T105009.309858500.bin</t>
  </si>
  <si>
    <t>-715.019120379788 101.520381823261 -522.809266196373</t>
  </si>
  <si>
    <t>-640.400925341518 129.043769629257 -239.497092264126</t>
  </si>
  <si>
    <t>-401.0523209478 147.071641672514 -260.427961391403</t>
  </si>
  <si>
    <t>-682.865151317186 34.9861871400685 -97.1922899307864</t>
  </si>
  <si>
    <t>-658.394443879666 55.9670538080409 305.070860533833</t>
  </si>
  <si>
    <t>-724.673869342645 79.9600148816032 747.525492185993</t>
  </si>
  <si>
    <t>-580.368159959536 102.820169606794 808.685668501428</t>
  </si>
  <si>
    <t>-571.134021854041 -138.433780951225 308.608605165337</t>
  </si>
  <si>
    <t>-620.231549216139 -127.536654256781 753.50873165562</t>
  </si>
  <si>
    <t>-502.865368480501 -204.475262026834 826.945183167096</t>
  </si>
  <si>
    <t>9763-20170724T105009.345959500.bin</t>
  </si>
  <si>
    <t>-715.073524722881 101.160967457354 -523.090481864689</t>
  </si>
  <si>
    <t>-642.176353935014 129.388462626799 -239.399728248706</t>
  </si>
  <si>
    <t>-402.82609229356 147.334372669038 -260.380947947054</t>
  </si>
  <si>
    <t>-682.663518762559 34.9199383509908 -97.2482401022851</t>
  </si>
  <si>
    <t>-658.348951848802 55.9544792255888 305.021560707318</t>
  </si>
  <si>
    <t>-724.676692717561 79.9791442947642 747.461986736642</t>
  </si>
  <si>
    <t>-580.353836587269 102.845341437536 808.579389892953</t>
  </si>
  <si>
    <t>-571.127693099973 -138.419276997177 308.614566641458</t>
  </si>
  <si>
    <t>-620.233231740885 -127.523081205416 753.505274752617</t>
  </si>
  <si>
    <t>-502.956335719482 -204.581469883707 826.959127330208</t>
  </si>
  <si>
    <t>9763-20170724T105009.409629100.bin</t>
  </si>
  <si>
    <t>-715.857140619512 100.443490945923 -523.672130180532</t>
  </si>
  <si>
    <t>-646.398791484244 129.661585700278 -239.219877558497</t>
  </si>
  <si>
    <t>-407.113469821413 148.206562845209 -260.421160613065</t>
  </si>
  <si>
    <t>-682.484348264416 34.9820843431417 -97.4327529309525</t>
  </si>
  <si>
    <t>-658.451481654742 55.9757462805503 304.856075268454</t>
  </si>
  <si>
    <t>-724.638121665811 79.9919246222626 747.298062757063</t>
  </si>
  <si>
    <t>-580.339746654453 103.003045729619 808.418871488663</t>
  </si>
  <si>
    <t>-570.798723869634 -138.524623886921 308.60991973148</t>
  </si>
  <si>
    <t>-620.302213209899 -127.700810470652 753.489565475448</t>
  </si>
  <si>
    <t>-502.834878398479 -204.461863857229 826.950126927685</t>
  </si>
  <si>
    <t>9763-20170724T105009.443227500.bin</t>
  </si>
  <si>
    <t>-716.256928971852 100.060873866876 -523.860071280863</t>
  </si>
  <si>
    <t>-647.672025766036 129.250104600883 -239.19319973836</t>
  </si>
  <si>
    <t>-408.46119000651 148.301297244905 -260.78312168202</t>
  </si>
  <si>
    <t>-682.398665209271 34.9602951831134 -97.5311882882226</t>
  </si>
  <si>
    <t>-658.448222505471 55.8766990148929 304.766621297644</t>
  </si>
  <si>
    <t>-724.533525411471 79.8997351634584 747.181487437758</t>
  </si>
  <si>
    <t>-580.301822291773 103.145537649406 808.370712554593</t>
  </si>
  <si>
    <t>-570.787780970645 -138.426655759638 308.584358955149</t>
  </si>
  <si>
    <t>-620.323199138367 -127.705657995303 753.482200431657</t>
  </si>
  <si>
    <t>-502.886749443092 -204.515438498894 826.941433915013</t>
  </si>
  <si>
    <t>9763-20170724T105009.512423700.bin</t>
  </si>
  <si>
    <t>-716.604767317402 99.1736126793862 -524.233608927104</t>
  </si>
  <si>
    <t>-648.726774359731 128.342433460933 -239.395164907372</t>
  </si>
  <si>
    <t>-409.560147101598 147.129380764055 -261.693683781729</t>
  </si>
  <si>
    <t>-682.029001080143 34.4683678748149 -97.6653958827877</t>
  </si>
  <si>
    <t>-657.98450212966 55.8511726362544 304.602285352144</t>
  </si>
  <si>
    <t>-724.397917000596 79.8458033354971 746.981850233629</t>
  </si>
  <si>
    <t>-580.240322321373 103.317902864431 808.259703797101</t>
  </si>
  <si>
    <t>-570.576529554808 -138.504212812799 308.527249106039</t>
  </si>
  <si>
    <t>-620.331678459322 -127.673443390893 753.449401010358</t>
  </si>
  <si>
    <t>-502.82587305174 -204.383104216603 826.902178535832</t>
  </si>
  <si>
    <t>9763-20170724T105009.546120900.bin</t>
  </si>
  <si>
    <t>-716.748128975015 98.9353871403446 -524.415463591901</t>
  </si>
  <si>
    <t>-649.085582367016 128.120979898248 -239.527381740156</t>
  </si>
  <si>
    <t>-409.912172962121 146.586639137138 -262.020381885825</t>
  </si>
  <si>
    <t>-681.893772315391 34.4823430127822 -97.7068722604456</t>
  </si>
  <si>
    <t>-657.876692746221 55.8826503231001 304.561523071554</t>
  </si>
  <si>
    <t>-724.450525680565 79.9572878166243 746.930383929359</t>
  </si>
  <si>
    <t>-580.271408757504 103.29529356454 808.208437535335</t>
  </si>
  <si>
    <t>-570.347768472224 -138.542524588447 308.527705042863</t>
  </si>
  <si>
    <t>-620.326282514913 -127.649250166537 753.43418920329</t>
  </si>
  <si>
    <t>-502.769980419178 -204.282902807971 826.885372256301</t>
  </si>
  <si>
    <t>9763-20170724T105009.611800800.bin</t>
  </si>
  <si>
    <t>-717.016043877559 98.5937937196038 -524.734372024643</t>
  </si>
  <si>
    <t>-649.670238243513 127.561583805887 -239.749143668035</t>
  </si>
  <si>
    <t>-410.488713045567 145.874280759863 -262.280234846774</t>
  </si>
  <si>
    <t>-681.383852858054 34.6172137562671 -97.7582224399131</t>
  </si>
  <si>
    <t>-657.800903785981 55.7856805947802 304.548107587823</t>
  </si>
  <si>
    <t>-724.463956841681 79.9254002739681 746.896061702813</t>
  </si>
  <si>
    <t>-580.265350448156 103.265916503735 808.127562713683</t>
  </si>
  <si>
    <t>-569.994669940384 -138.592697865229 308.541944335541</t>
  </si>
  <si>
    <t>-620.316062224583 -127.601680633314 753.407616029825</t>
  </si>
  <si>
    <t>-502.875496376305 -204.398432596899 826.873546681461</t>
  </si>
  <si>
    <t>9763-20170724T105009.644918600.bin</t>
  </si>
  <si>
    <t>-717.057348317741 98.5032926556112 -524.911058805019</t>
  </si>
  <si>
    <t>-649.904425353139 127.504526654465 -239.883619285189</t>
  </si>
  <si>
    <t>-410.730981264204 145.813397400866 -262.506092734139</t>
  </si>
  <si>
    <t>-681.197319754819 34.7140516172135 -97.7902577245338</t>
  </si>
  <si>
    <t>-657.810777815812 55.8098924792409 304.531367088924</t>
  </si>
  <si>
    <t>-724.448429876355 79.8895188988183 746.862459278793</t>
  </si>
  <si>
    <t>-580.247495454871 103.227944716183 808.089008364365</t>
  </si>
  <si>
    <t>-569.915234932499 -138.576868028049 308.541958948285</t>
  </si>
  <si>
    <t>-620.265513108867 -127.432298833679 753.392108241275</t>
  </si>
  <si>
    <t>-502.77909021744 -204.160175740154 826.856807403652</t>
  </si>
  <si>
    <t>9763-20170724T105009.710098100.bin</t>
  </si>
  <si>
    <t>-716.515218965731 98.3830640082531 -525.173995224422</t>
  </si>
  <si>
    <t>-648.899086207355 128.404185608707 -240.361747261651</t>
  </si>
  <si>
    <t>-409.822111649524 147.185123658691 -263.606823078871</t>
  </si>
  <si>
    <t>-680.711227247748 34.6116073915553 -97.8420684564404</t>
  </si>
  <si>
    <t>-657.474226371126 55.777104674167 304.484547399497</t>
  </si>
  <si>
    <t>-724.357292201199 79.7582002025863 746.759794853823</t>
  </si>
  <si>
    <t>-580.19483347281 103.285223161307 808.004630186878</t>
  </si>
  <si>
    <t>-569.65559856038 -138.594495123381 308.559158241091</t>
  </si>
  <si>
    <t>-620.235078405509 -127.287401839883 753.385552623385</t>
  </si>
  <si>
    <t>-503.100342100156 -204.539637219944 826.862266041386</t>
  </si>
  <si>
    <t>9763-20170724T105009.740198300.bin</t>
  </si>
  <si>
    <t>-715.926865896057 98.2940719408036 -525.263979405888</t>
  </si>
  <si>
    <t>-647.784506154565 128.825190308563 -240.631385916724</t>
  </si>
  <si>
    <t>-408.838780273 148.419740034103 -264.545773379921</t>
  </si>
  <si>
    <t>-680.525091862628 34.499309922488 -97.8799196026436</t>
  </si>
  <si>
    <t>-657.395904420516 55.6772664023827 304.45223644522</t>
  </si>
  <si>
    <t>-724.359524100725 79.7698538956054 746.707600266434</t>
  </si>
  <si>
    <t>-580.195044884377 103.259035499593 807.962673829871</t>
  </si>
  <si>
    <t>-569.579378300967 -138.673432514859 308.582125096986</t>
  </si>
  <si>
    <t>-620.30298453201 -127.450780828708 753.399748740265</t>
  </si>
  <si>
    <t>-502.965998987746 -204.422193811011 826.848551740373</t>
  </si>
  <si>
    <t>9763-20170724T105009.807880700.bin</t>
  </si>
  <si>
    <t>-714.495953598788 98.1950018854895 -525.456833908794</t>
  </si>
  <si>
    <t>-644.965440966667 129.738426819822 -241.270722001154</t>
  </si>
  <si>
    <t>-406.192958000741 150.437677261369 -265.971489070236</t>
  </si>
  <si>
    <t>-680.046646248422 34.3139763059653 -97.9916298301201</t>
  </si>
  <si>
    <t>-657.397755439029 55.5587727313896 304.36441321528</t>
  </si>
  <si>
    <t>-724.365642449002 79.798221575265 746.615852213305</t>
  </si>
  <si>
    <t>-580.199756357973 103.286559206741 807.867739600957</t>
  </si>
  <si>
    <t>-569.368923432765 -138.915128579226 308.608406739414</t>
  </si>
  <si>
    <t>-620.338980592198 -127.500338964242 753.398619647437</t>
  </si>
  <si>
    <t>-502.841930209821 -204.251795741226 826.82189177477</t>
  </si>
  <si>
    <t>9763-20170724T105009.847539500.bin</t>
  </si>
  <si>
    <t>-713.85024569831 98.2681290553155 -525.534208362415</t>
  </si>
  <si>
    <t>-643.741850819078 130.254904575982 -241.539780483462</t>
  </si>
  <si>
    <t>-405.021889484447 151.054745169501 -266.659882775794</t>
  </si>
  <si>
    <t>-679.886398781936 34.3271982446784 -98.0579706337265</t>
  </si>
  <si>
    <t>-657.532046548051 55.5551855100382 304.315372451075</t>
  </si>
  <si>
    <t>-724.37221732761 79.8152095030764 746.572040932997</t>
  </si>
  <si>
    <t>-580.199947651085 103.257933580713 807.826452962845</t>
  </si>
  <si>
    <t>-569.35126601222 -139.032456854305 308.614930328015</t>
  </si>
  <si>
    <t>-620.367820111142 -127.565354603637 753.40150472721</t>
  </si>
  <si>
    <t>-502.759095760747 -204.158926901941 826.810842595844</t>
  </si>
  <si>
    <t>9763-20170724T105009.912212000.bin</t>
  </si>
  <si>
    <t>-712.397880474585 98.7506334702816 -525.744087079594</t>
  </si>
  <si>
    <t>-641.19486760139 131.428399106232 -242.100821409013</t>
  </si>
  <si>
    <t>-402.6151191286 152.463894160806 -268.33167080954</t>
  </si>
  <si>
    <t>-679.520798564652 34.3414528206742 -98.1396372276379</t>
  </si>
  <si>
    <t>-657.578157790495 55.6867420787987 304.25011572227</t>
  </si>
  <si>
    <t>-724.333184503576 79.7851022607454 746.495751330888</t>
  </si>
  <si>
    <t>-580.142799670131 103.075956689209 807.765203962746</t>
  </si>
  <si>
    <t>-569.408693666272 -139.037406369329 308.604656433588</t>
  </si>
  <si>
    <t>-620.352964404598 -127.463418316622 753.404667290816</t>
  </si>
  <si>
    <t>-502.987513011103 -204.429476291133 826.813619195871</t>
  </si>
  <si>
    <t>9763-20170724T105009.945302300.bin</t>
  </si>
  <si>
    <t>-711.638259976984 98.9293860738562 -525.85282324698</t>
  </si>
  <si>
    <t>-639.759670664096 131.967213562425 -242.421682281425</t>
  </si>
  <si>
    <t>-401.199296748419 152.858319860555 -268.944008243377</t>
  </si>
  <si>
    <t>-679.272038556465 34.2598232929556 -98.1592879650702</t>
  </si>
  <si>
    <t>-657.430253407339 55.633400100618 304.234520380531</t>
  </si>
  <si>
    <t>-724.268926412685 79.6692160665752 746.462261760881</t>
  </si>
  <si>
    <t>-580.131333479333 103.302567467139 807.724636696078</t>
  </si>
  <si>
    <t>-569.450243379498 -139.198718834022 308.607480472469</t>
  </si>
  <si>
    <t>-620.435124870242 -127.69537384209 753.417026524953</t>
  </si>
  <si>
    <t>-502.849424870557 -204.344544663837 826.80502733092</t>
  </si>
  <si>
    <t>9763-20170724T105010.014991800.bin</t>
  </si>
  <si>
    <t>-709.984550301729 99.4082788841122 -526.069771452443</t>
  </si>
  <si>
    <t>-636.547797895384 133.087302536716 -243.114004486256</t>
  </si>
  <si>
    <t>-398.087991186086 153.761774924337 -270.688671234311</t>
  </si>
  <si>
    <t>-678.680975505948 34.2504960406011 -98.1687782610454</t>
  </si>
  <si>
    <t>-657.217121062286 55.6708871601359 304.242896684871</t>
  </si>
  <si>
    <t>-724.314313419861 79.7603687268261 746.420691769626</t>
  </si>
  <si>
    <t>-580.165953111456 103.354076500886 807.673417946059</t>
  </si>
  <si>
    <t>-569.206123246915 -139.450315191147 308.593729484218</t>
  </si>
  <si>
    <t>-620.441985918442 -127.764855674722 753.396183322022</t>
  </si>
  <si>
    <t>-502.780671589856 -204.290578467947 826.791786901902</t>
  </si>
  <si>
    <t>9763-20170724T105010.045125400.bin</t>
  </si>
  <si>
    <t>-709.152098181891 99.7723947311865 -526.143669525575</t>
  </si>
  <si>
    <t>-634.929650714269 133.700123007442 -243.422782671539</t>
  </si>
  <si>
    <t>-396.49350018648 154.143640287565 -271.371701181425</t>
  </si>
  <si>
    <t>-678.394075756576 34.3907844010294 -98.1868097915503</t>
  </si>
  <si>
    <t>-657.29066920738 55.8527680318136 304.241698522377</t>
  </si>
  <si>
    <t>-724.402698955807 79.9356162122426 746.414248211745</t>
  </si>
  <si>
    <t>-580.199940163602 103.196865327888 807.665725114554</t>
  </si>
  <si>
    <t>-569.034733466288 -139.374435710558 308.591753010397</t>
  </si>
  <si>
    <t>-620.31048103865 -127.392280258769 753.375643046202</t>
  </si>
  <si>
    <t>-503.032280535814 -204.478559088801 826.797953348468</t>
  </si>
  <si>
    <t>9763-20170724T105010.112305700.bin</t>
  </si>
  <si>
    <t>-707.361969480806 100.486183636119 -526.151559339421</t>
  </si>
  <si>
    <t>-631.467461774408 134.997274956477 -243.945513209345</t>
  </si>
  <si>
    <t>-393.032534829299 154.725884989074 -272.412823063912</t>
  </si>
  <si>
    <t>-677.888253243085 34.5720080343212 -98.2103747270331</t>
  </si>
  <si>
    <t>-657.281224490912 55.9868314921926 304.246342943901</t>
  </si>
  <si>
    <t>-724.409721574586 79.9509232940934 746.392142583848</t>
  </si>
  <si>
    <t>-580.226018849596 103.341497385218 807.639742252351</t>
  </si>
  <si>
    <t>-568.807026519549 -139.454567424007 308.607134259844</t>
  </si>
  <si>
    <t>-620.306307042272 -127.429947480086 753.364702617795</t>
  </si>
  <si>
    <t>-503.055977644213 -204.551385123993 826.794560897138</t>
  </si>
  <si>
    <t>9763-20170724T105010.146399200.bin</t>
  </si>
  <si>
    <t>-706.494684042401 100.80052504955 -526.120139312305</t>
  </si>
  <si>
    <t>-629.925936135934 135.698073766544 -244.143920931454</t>
  </si>
  <si>
    <t>-391.463441599627 155.033862352339 -272.651110347791</t>
  </si>
  <si>
    <t>-677.595940584696 34.5279693170412 -98.2083341977911</t>
  </si>
  <si>
    <t>-657.14201857175 55.9399880949277 304.256367675001</t>
  </si>
  <si>
    <t>-724.347849354003 79.8394759981491 746.377176645956</t>
  </si>
  <si>
    <t>-580.203271641814 103.46621797684 807.62577312195</t>
  </si>
  <si>
    <t>-568.677545354778 -139.573062092114 308.609412380308</t>
  </si>
  <si>
    <t>-620.307969479189 -127.472515290643 753.359446461384</t>
  </si>
  <si>
    <t>-502.772495925442 -204.176613558833 826.770945548543</t>
  </si>
  <si>
    <t>9763-20170724T105010.208564600.bin</t>
  </si>
  <si>
    <t>-705.003165380312 101.671069752945 -525.957576771788</t>
  </si>
  <si>
    <t>-627.471879171955 136.977762960298 -244.295366890373</t>
  </si>
  <si>
    <t>-388.996296491468 156.077389114984 -272.853085182494</t>
  </si>
  <si>
    <t>-676.884710306063 34.5742788787702 -98.1840393188893</t>
  </si>
  <si>
    <t>-656.828980957631 55.9444486746945 304.302928888441</t>
  </si>
  <si>
    <t>-724.374030923206 79.891392310951 746.357718024416</t>
  </si>
  <si>
    <t>-580.240339780584 103.582343511634 807.607429766563</t>
  </si>
  <si>
    <t>-567.990702991534 -139.827083028027 308.616110939066</t>
  </si>
  <si>
    <t>-620.281798861021 -127.539221770594 753.315098508784</t>
  </si>
  <si>
    <t>-502.571582791057 -203.963168289536 826.738329312716</t>
  </si>
  <si>
    <t>9763-20170724T105010.245191700.bin</t>
  </si>
  <si>
    <t>-704.190282999199 102.230461815887 -525.780688255496</t>
  </si>
  <si>
    <t>-626.076215486056 137.672089640805 -244.296573234533</t>
  </si>
  <si>
    <t>-387.596054462219 156.561905527873 -272.954283189253</t>
  </si>
  <si>
    <t>-676.423039969955 34.6199995584568 -98.1689093606925</t>
  </si>
  <si>
    <t>-656.694065707552 55.9753604111763 304.335030697762</t>
  </si>
  <si>
    <t>-724.302379291418 79.7669584572843 746.347996462659</t>
  </si>
  <si>
    <t>-580.208961705536 103.663774409441 807.612573568341</t>
  </si>
  <si>
    <t>-567.48529844868 -139.846505708275 308.604972969051</t>
  </si>
  <si>
    <t>-620.187879985781 -127.356481984547 753.270319505195</t>
  </si>
  <si>
    <t>-502.741656968718 -204.151039290913 826.729712302458</t>
  </si>
  <si>
    <t>9763-20170724T105010.311882500.bin</t>
  </si>
  <si>
    <t>-702.405795201852 103.229879886206 -525.368208468711</t>
  </si>
  <si>
    <t>-622.526832300936 139.580472582447 -244.495897894653</t>
  </si>
  <si>
    <t>-384.077675460193 158.207919425607 -273.58047349908</t>
  </si>
  <si>
    <t>-675.43938402699 34.6903831967609 -98.0867886869338</t>
  </si>
  <si>
    <t>-656.325685012793 56.1358661786003 304.44194868637</t>
  </si>
  <si>
    <t>-724.291332801168 79.8190587835636 746.359190517627</t>
  </si>
  <si>
    <t>-580.237581610363 103.860185837395 807.660472867135</t>
  </si>
  <si>
    <t>-566.400165877527 -139.861912611588 308.617037413492</t>
  </si>
  <si>
    <t>-620.093849268296 -127.24743708115 753.201975421459</t>
  </si>
  <si>
    <t>-502.796194829455 -204.236106464869 826.695619964308</t>
  </si>
  <si>
    <t>9763-20170724T105010.343762300.bin</t>
  </si>
  <si>
    <t>-701.458270173882 103.784328480691 -525.138845418144</t>
  </si>
  <si>
    <t>-620.673257340074 140.571275976066 -244.582899198296</t>
  </si>
  <si>
    <t>-382.306772281674 159.400789089475 -274.209315289419</t>
  </si>
  <si>
    <t>-675.106225084274 34.8916703509562 -98.035044682199</t>
  </si>
  <si>
    <t>-656.228306322641 56.3080541277545 304.506429429474</t>
  </si>
  <si>
    <t>-724.356975674328 79.9558878848584 746.390506676559</t>
  </si>
  <si>
    <t>-580.279355950656 103.818757372143 807.705535514792</t>
  </si>
  <si>
    <t>-565.908522687248 -139.821059720797 308.640402466236</t>
  </si>
  <si>
    <t>-620.099416636858 -127.348363546378 753.171698338185</t>
  </si>
  <si>
    <t>-502.647088330699 -204.099968149105 826.666117035439</t>
  </si>
  <si>
    <t>9763-20170724T105010.412446500.bin</t>
  </si>
  <si>
    <t>-699.572508159996 105.016090400293 -524.669232060338</t>
  </si>
  <si>
    <t>-617.567907738938 141.938785354724 -244.485194481808</t>
  </si>
  <si>
    <t>-379.437199234762 161.522255763137 -275.48690780567</t>
  </si>
  <si>
    <t>-674.275621679391 35.1390432956646 -97.9450545278847</t>
  </si>
  <si>
    <t>-655.915214050599 56.5480827459669 304.62072996451</t>
  </si>
  <si>
    <t>-724.288908663211 79.8402107340557 746.466116502644</t>
  </si>
  <si>
    <t>-580.297326186964 104.165416205213 807.801375263874</t>
  </si>
  <si>
    <t>-564.860156163301 -139.776752273232 308.645634975293</t>
  </si>
  <si>
    <t>-620.037152248814 -127.417602453127 753.078614894746</t>
  </si>
  <si>
    <t>-502.506092263087 -203.999819845561 826.623958175314</t>
  </si>
  <si>
    <t>9763-20170724T105010.445036100.bin</t>
  </si>
  <si>
    <t>-698.731302367809 105.884710709886 -524.339725229458</t>
  </si>
  <si>
    <t>-615.983871917882 142.676961308465 -244.356844031458</t>
  </si>
  <si>
    <t>-378.042280393826 162.983907323345 -276.330199046727</t>
  </si>
  <si>
    <t>-673.901554172112 35.4015519323946 -97.8831611373014</t>
  </si>
  <si>
    <t>-655.657847283625 56.7452401170738 304.691412156468</t>
  </si>
  <si>
    <t>-724.27076356159 79.8005613322136 746.513574142933</t>
  </si>
  <si>
    <t>-580.300637575722 104.238048342914 807.854485565752</t>
  </si>
  <si>
    <t>-564.309093371474 -139.584526083687 308.642640878303</t>
  </si>
  <si>
    <t>-619.920530652942 -127.199687661922 753.025853391016</t>
  </si>
  <si>
    <t>-502.630780239704 -204.110061342078 826.613864685785</t>
  </si>
  <si>
    <t>9763-20170724T105010.511717100.bin</t>
  </si>
  <si>
    <t>-697.420210169732 107.35032370025 -523.716453782867</t>
  </si>
  <si>
    <t>-612.625437816745 143.989415184594 -244.326873999975</t>
  </si>
  <si>
    <t>-375.044129771564 165.43209572384 -278.182171530551</t>
  </si>
  <si>
    <t>-673.208345607081 35.7884854089468 -97.7419882248838</t>
  </si>
  <si>
    <t>-655.104740615637 57.0263050948388 304.844524672516</t>
  </si>
  <si>
    <t>-724.312611531603 79.8967514145863 746.572839514414</t>
  </si>
  <si>
    <t>-580.37365378514 104.443618089575 807.943165666595</t>
  </si>
  <si>
    <t>-563.556965800654 -139.460421431442 308.655238145201</t>
  </si>
  <si>
    <t>-619.850012128754 -127.198135223852 752.965964437401</t>
  </si>
  <si>
    <t>-502.426872339962 -203.882675203168 826.577025407517</t>
  </si>
  <si>
    <t>9763-20170724T105010.543880000.bin</t>
  </si>
  <si>
    <t>-696.751410963206 108.004755790335 -523.528909004652</t>
  </si>
  <si>
    <t>-611.316300114713 144.56894485414 -244.32445372423</t>
  </si>
  <si>
    <t>-373.859901798859 166.275584506425 -278.881073196195</t>
  </si>
  <si>
    <t>-672.81883541243 36.0300281008281 -97.6721197491987</t>
  </si>
  <si>
    <t>-654.812612455152 57.0912122958548 304.927972675659</t>
  </si>
  <si>
    <t>-724.285261729639 79.8392614596635 746.607872205482</t>
  </si>
  <si>
    <t>-580.377463744709 104.551214633065 807.985180432285</t>
  </si>
  <si>
    <t>-563.27938994263 -139.429056606012 308.667437876864</t>
  </si>
  <si>
    <t>-619.872081180446 -127.352068458089 752.955915695179</t>
  </si>
  <si>
    <t>-502.254081278977 -203.741746175711 826.56256266141</t>
  </si>
  <si>
    <t>9763-20170724T105010.612063100.bin</t>
  </si>
  <si>
    <t>-695.370086647191 109.792151578361 -523.09323193217</t>
  </si>
  <si>
    <t>-608.933829710027 146.162801343324 -244.171827274909</t>
  </si>
  <si>
    <t>-371.57288030789 167.59489669909 -279.54630882608</t>
  </si>
  <si>
    <t>-672.305445487563 36.8824198308409 -97.5429296261709</t>
  </si>
  <si>
    <t>-654.374630402801 57.4311404034927 305.087092024787</t>
  </si>
  <si>
    <t>-724.318925400823 79.8857064519771 746.703994881738</t>
  </si>
  <si>
    <t>-580.399293412667 104.505541433343 808.090641094254</t>
  </si>
  <si>
    <t>-562.913981478748 -139.138168517463 308.699189918649</t>
  </si>
  <si>
    <t>-619.8466991777 -127.345758026066 752.965557948584</t>
  </si>
  <si>
    <t>-502.33635227601 -203.908445945327 826.56438104182</t>
  </si>
  <si>
    <t>9763-20170724T105010.643708800.bin</t>
  </si>
  <si>
    <t>-694.598060658084 110.737704125617 -522.79800750342</t>
  </si>
  <si>
    <t>-607.410119412803 147.301862729744 -244.135949123498</t>
  </si>
  <si>
    <t>-370.020056614167 168.338727939233 -279.551893804105</t>
  </si>
  <si>
    <t>-672.043238561352 37.2919351702324 -97.4493157496794</t>
  </si>
  <si>
    <t>-654.017608956673 57.6012262724366 305.188552728978</t>
  </si>
  <si>
    <t>-724.310293092555 79.8707968558872 746.759313652756</t>
  </si>
  <si>
    <t>-580.38891281037 104.457924355466 808.154471013585</t>
  </si>
  <si>
    <t>-562.84241908382 -139.054141068076 308.735324381606</t>
  </si>
  <si>
    <t>-619.83664294175 -127.307993447818 752.987231790993</t>
  </si>
  <si>
    <t>-502.292390293002 -203.845665372193 826.557839671181</t>
  </si>
  <si>
    <t>9763-20170724T105010.711400400.bin</t>
  </si>
  <si>
    <t>-692.860183306445 112.916147263812 -522.348903070681</t>
  </si>
  <si>
    <t>-603.94449468878 150.445116681336 -244.36188207575</t>
  </si>
  <si>
    <t>-366.398030286755 170.530528794454 -279.277815712251</t>
  </si>
  <si>
    <t>-671.471358464327 38.3735955942545 -97.2061961198701</t>
  </si>
  <si>
    <t>-653.114967538631 58.1553619956387 305.443011635139</t>
  </si>
  <si>
    <t>-724.480565658877 80.1413137350094 746.89003477562</t>
  </si>
  <si>
    <t>-580.494825305343 104.371942328405 808.276377334225</t>
  </si>
  <si>
    <t>-562.678626561142 -138.859894097216 308.791447799182</t>
  </si>
  <si>
    <t>-619.823791934909 -127.366461509482 753.00979032655</t>
  </si>
  <si>
    <t>-502.398183437022 -204.090810554489 826.575418747262</t>
  </si>
  <si>
    <t>9763-20170724T105010.743990600.bin</t>
  </si>
  <si>
    <t>-691.931525292368 114.071996341537 -522.200151004346</t>
  </si>
  <si>
    <t>-602.190494822908 151.993938616186 -244.531846413333</t>
  </si>
  <si>
    <t>-364.540754297031 171.554443068279 -279.040386222399</t>
  </si>
  <si>
    <t>-671.174771031763 38.9603915861769 -97.0835952180324</t>
  </si>
  <si>
    <t>-652.788476834816 58.4616309109549 305.577891528913</t>
  </si>
  <si>
    <t>-724.537566331697 80.2100203967943 746.965414288763</t>
  </si>
  <si>
    <t>-580.515934350545 104.255932281311 808.340071582526</t>
  </si>
  <si>
    <t>-562.654828097033 -138.764220170152 308.787119889154</t>
  </si>
  <si>
    <t>-619.82897171547 -127.447724386813 753.017018008851</t>
  </si>
  <si>
    <t>-502.437419068034 -204.215408430782 826.591597110384</t>
  </si>
  <si>
    <t>9763-20170724T105010.810679700.bin</t>
  </si>
  <si>
    <t>-690.077881923073 116.39593785987 -522.004838695094</t>
  </si>
  <si>
    <t>-598.628948165514 154.476334186144 -244.9161739081</t>
  </si>
  <si>
    <t>-360.872039630762 173.567026122923 -278.946591810989</t>
  </si>
  <si>
    <t>-670.701340067192 40.0698820020571 -96.8705205641206</t>
  </si>
  <si>
    <t>-652.402266908877 59.1387403541439 305.815748851861</t>
  </si>
  <si>
    <t>-724.63401101973 80.345006859673 747.127592840503</t>
  </si>
  <si>
    <t>-580.576201823503 104.240260070531 808.476203349628</t>
  </si>
  <si>
    <t>-562.693825368617 -138.295025999329 308.729927648703</t>
  </si>
  <si>
    <t>-619.702645612022 -127.297564946096 752.994520761527</t>
  </si>
  <si>
    <t>-502.65497406664 -204.537049948369 826.623392730649</t>
  </si>
  <si>
    <t>9763-20170724T105010.843247100.bin</t>
  </si>
  <si>
    <t>-689.305387295088 117.594923340936 -521.892857998201</t>
  </si>
  <si>
    <t>-596.852858693098 155.485773255372 -245.111252201143</t>
  </si>
  <si>
    <t>-359.067488259658 174.768655243343 -278.832984294618</t>
  </si>
  <si>
    <t>-670.610145664924 40.6159442690996 -96.7875822441559</t>
  </si>
  <si>
    <t>-652.317400812877 59.5033042872603 305.907493232769</t>
  </si>
  <si>
    <t>-724.624140019925 80.3171852256212 747.208444494518</t>
  </si>
  <si>
    <t>-580.579355861389 104.328457147163 808.542276470387</t>
  </si>
  <si>
    <t>-562.64902203126 -138.119321118224 308.691633667447</t>
  </si>
  <si>
    <t>-619.640132453545 -127.268268860711 752.971980593381</t>
  </si>
  <si>
    <t>-502.698459078795 -204.631906437758 826.638907616174</t>
  </si>
  <si>
    <t>9763-20170724T105010.909427700.bin</t>
  </si>
  <si>
    <t>-688.354376353172 119.948203215214 -521.622125564871</t>
  </si>
  <si>
    <t>-594.300224129869 157.191648144264 -245.292674752025</t>
  </si>
  <si>
    <t>-356.222655238013 176.97575998577 -276.574414033521</t>
  </si>
  <si>
    <t>-671.096855938409 41.8824138438079 -96.7367977736784</t>
  </si>
  <si>
    <t>-652.643976602324 60.5772433749271 305.959948105691</t>
  </si>
  <si>
    <t>-724.615743460033 80.4938928581248 747.338794001038</t>
  </si>
  <si>
    <t>-580.646816924003 104.900138047334 808.694936939567</t>
  </si>
  <si>
    <t>-562.896550192449 -137.701259894113 308.549507694795</t>
  </si>
  <si>
    <t>-619.596540256263 -127.48370371275 752.881255305532</t>
  </si>
  <si>
    <t>-502.403404020633 -204.388376164774 826.629107151056</t>
  </si>
  <si>
    <t>9763-20170724T105010.947409200.bin</t>
  </si>
  <si>
    <t>-688.325139841197 121.040880370539 -521.433683351395</t>
  </si>
  <si>
    <t>-594.242502260891 157.631060753175 -245.026723505092</t>
  </si>
  <si>
    <t>-355.748926168614 177.677443364305 -272.772463818684</t>
  </si>
  <si>
    <t>-671.549392472397 42.3050373940946 -96.6927540429089</t>
  </si>
  <si>
    <t>-652.706690406318 61.215323389843 305.975886018488</t>
  </si>
  <si>
    <t>-724.664615806262 80.7210063847626 747.389228723194</t>
  </si>
  <si>
    <t>-580.684436099826 104.977060204475 808.778245245627</t>
  </si>
  <si>
    <t>-562.984094601946 -137.430724589405 308.464284245018</t>
  </si>
  <si>
    <t>-619.586781743611 -127.626716540406 752.822994272587</t>
  </si>
  <si>
    <t>-502.277552950973 -204.304750713338 826.62201139711</t>
  </si>
  <si>
    <t>9763-20170724T105011.009073900.bin</t>
  </si>
  <si>
    <t>-689.03364811978 123.073830964142 -520.958345460617</t>
  </si>
  <si>
    <t>-598.843369736243 157.716197208122 -243.007217105768</t>
  </si>
  <si>
    <t>-359.581283969553 176.517544673121 -264.244369914311</t>
  </si>
  <si>
    <t>-673.596587306885 42.9612425745756 -96.5880003888109</t>
  </si>
  <si>
    <t>-653.395188841497 62.4142409164861 305.988941721819</t>
  </si>
  <si>
    <t>-724.737852090328 81.0901007664354 747.531487115323</t>
  </si>
  <si>
    <t>-580.76218477806 105.209368157155 808.985532147654</t>
  </si>
  <si>
    <t>-562.899181467649 -136.927229329835 308.248465366854</t>
  </si>
  <si>
    <t>-619.426689255884 -127.610835240761 752.675519128172</t>
  </si>
  <si>
    <t>-502.437777060529 -204.611090447681 826.647682658432</t>
  </si>
  <si>
    <t>9763-20170724T105011.045178700.bin</t>
  </si>
  <si>
    <t>-689.594104797962 124.18959020752 -520.311231029039</t>
  </si>
  <si>
    <t>-602.356266883409 156.835060515327 -241.178567821096</t>
  </si>
  <si>
    <t>-362.765781917241 174.215911335898 -259.757070655925</t>
  </si>
  <si>
    <t>-674.694504818548 42.900264959748 -96.4982368271318</t>
  </si>
  <si>
    <t>-653.993258346726 62.7561390626779 306.033565819269</t>
  </si>
  <si>
    <t>-724.771617047153 81.2766916893327 747.617945547585</t>
  </si>
  <si>
    <t>-580.838379115994 105.561092642971 809.106040877385</t>
  </si>
  <si>
    <t>-562.793323633162 -136.82263315073 308.168843222164</t>
  </si>
  <si>
    <t>-619.336993251486 -127.545926504475 752.615253752513</t>
  </si>
  <si>
    <t>-502.480289412877 -204.683492971967 826.653295274446</t>
  </si>
  <si>
    <t>9763-20170724T105011.109863900.bin</t>
  </si>
  <si>
    <t>-691.067992797016 125.695680509604 -518.764711525829</t>
  </si>
  <si>
    <t>-606.728726248171 152.623463217525 -238.135161362448</t>
  </si>
  <si>
    <t>-366.595976567366 165.992633358636 -252.571299490324</t>
  </si>
  <si>
    <t>-677.007771676707 42.2335852177434 -96.4085834745055</t>
  </si>
  <si>
    <t>-655.854324567259 63.0382512992858 306.051816956882</t>
  </si>
  <si>
    <t>-724.73559911551 81.5334279897816 747.782007657229</t>
  </si>
  <si>
    <t>-580.912711608216 106.082578919141 809.423082024774</t>
  </si>
  <si>
    <t>-563.05379381573 -136.889723207027 308.046405049239</t>
  </si>
  <si>
    <t>-619.328524270466 -127.748311221327 752.593003355228</t>
  </si>
  <si>
    <t>-502.342486972052 -204.6745793432 826.646395433303</t>
  </si>
  <si>
    <t>9763-20170724T105011.146550200.bin</t>
  </si>
  <si>
    <t>-691.933618789388 125.602937405032 -518.238344099073</t>
  </si>
  <si>
    <t>-608.240030440171 150.363626328443 -237.216024327459</t>
  </si>
  <si>
    <t>-367.898143161032 162.948325843404 -248.542538478695</t>
  </si>
  <si>
    <t>-678.098040893566 41.6318935042011 -96.4215926964347</t>
  </si>
  <si>
    <t>-656.98842377323 63.0232680567858 306.010316136108</t>
  </si>
  <si>
    <t>-724.673225630606 81.5716564660613 747.88985833284</t>
  </si>
  <si>
    <t>-580.905928339469 106.248376842257 809.60964447766</t>
  </si>
  <si>
    <t>-563.323846852158 -136.91419232261 308.013736401977</t>
  </si>
  <si>
    <t>-619.304479922286 -127.750254976726 752.609903996523</t>
  </si>
  <si>
    <t>-502.423425454496 -204.848223757394 826.650442502359</t>
  </si>
  <si>
    <t>9763-20170724T105011.208720800.bin</t>
  </si>
  <si>
    <t>-693.984013648906 124.355600950727 -517.695540543225</t>
  </si>
  <si>
    <t>-612.082051830643 145.574892177722 -235.856932257068</t>
  </si>
  <si>
    <t>-371.522288283182 158.084307401602 -240.893837475071</t>
  </si>
  <si>
    <t>-680.571395840471 40.2760218358083 -96.4262648707216</t>
  </si>
  <si>
    <t>-658.965565808253 62.4956670357872 305.934424228867</t>
  </si>
  <si>
    <t>-724.728061392583 81.7910567381282 748.143678452034</t>
  </si>
  <si>
    <t>-580.9938437634 106.50268805945 809.926624708093</t>
  </si>
  <si>
    <t>-564.114412229104 -137.356850615092 308.080329739267</t>
  </si>
  <si>
    <t>-619.347583137831 -127.935205313278 752.74077141105</t>
  </si>
  <si>
    <t>-502.095000126248 -204.582546107868 826.661605663157</t>
  </si>
  <si>
    <t>9763-20170724T105011.246828200.bin</t>
  </si>
  <si>
    <t>-695.226466273583 123.272342105361 -517.538444081653</t>
  </si>
  <si>
    <t>-614.605316695408 143.384202803298 -235.249773349107</t>
  </si>
  <si>
    <t>-374.003474629428 155.973567183695 -237.030307309577</t>
  </si>
  <si>
    <t>-681.699246778483 39.2931634559959 -96.4104507820374</t>
  </si>
  <si>
    <t>-659.825626836875 61.9532829267464 305.911190045596</t>
  </si>
  <si>
    <t>-724.786431385721 81.919789194895 748.227666941872</t>
  </si>
  <si>
    <t>-581.041518672846 106.471500931362 810.04911019556</t>
  </si>
  <si>
    <t>-564.606641837381 -137.737484898467 308.131868722605</t>
  </si>
  <si>
    <t>-619.355236932188 -127.94973553007 752.830196361842</t>
  </si>
  <si>
    <t>-502.067480048204 -204.609639509197 826.682595520052</t>
  </si>
  <si>
    <t>9763-20170724T105011.312005200.bin</t>
  </si>
  <si>
    <t>-697.620556995671 119.734270500982 -517.786153863145</t>
  </si>
  <si>
    <t>-618.667459668302 137.900899073756 -234.894676885927</t>
  </si>
  <si>
    <t>-378.219635402334 152.840162276687 -231.350246855338</t>
  </si>
  <si>
    <t>-683.103654836754 36.7250713848323 -96.3181112923156</t>
  </si>
  <si>
    <t>-660.901126620692 60.6375721832876 305.913079534017</t>
  </si>
  <si>
    <t>-724.875891887503 82.0238216363525 748.361316170577</t>
  </si>
  <si>
    <t>-581.136555997565 106.58397737756 810.192583738793</t>
  </si>
  <si>
    <t>-565.613675074223 -138.722048073212 308.24442439634</t>
  </si>
  <si>
    <t>-619.411692320983 -128.042568633077 753.02974189657</t>
  </si>
  <si>
    <t>-502.030327353407 -204.708862295451 826.726387511536</t>
  </si>
  <si>
    <t>9763-20170724T105011.343639900.bin</t>
  </si>
  <si>
    <t>-699.05856119893 117.365624511935 -518.20566079983</t>
  </si>
  <si>
    <t>-620.035306887968 135.043558029724 -235.302628077217</t>
  </si>
  <si>
    <t>-379.743517623328 151.513246822061 -229.020259989225</t>
  </si>
  <si>
    <t>-683.625338631422 35.3372962373057 -96.3242230356311</t>
  </si>
  <si>
    <t>-661.323019380408 59.8762792427983 305.863689709065</t>
  </si>
  <si>
    <t>-724.901661250978 81.9763173345318 748.373838062597</t>
  </si>
  <si>
    <t>-581.181173092987 106.695898305053 810.185501929445</t>
  </si>
  <si>
    <t>-566.241146524719 -139.441155045628 308.359596020574</t>
  </si>
  <si>
    <t>-619.477456691122 -128.204414894789 753.15048990968</t>
  </si>
  <si>
    <t>-501.78052244276 -204.481902223718 826.747124923526</t>
  </si>
  <si>
    <t>9763-20170724T105011.418850000.bin</t>
  </si>
  <si>
    <t>-701.415490337124 111.542212672727 -519.587945940059</t>
  </si>
  <si>
    <t>-620.550496052916 130.167999694429 -237.266996705643</t>
  </si>
  <si>
    <t>-380.93901476215 149.682266960062 -221.254091350857</t>
  </si>
  <si>
    <t>-684.531696357244 32.3689467638394 -96.4979286441934</t>
  </si>
  <si>
    <t>-662.075402984557 58.272899736055 305.595811687909</t>
  </si>
  <si>
    <t>-725.001740867501 82.0335832072319 748.178981078009</t>
  </si>
  <si>
    <t>-581.307881534988 106.893205816518 809.99607938115</t>
  </si>
  <si>
    <t>-567.585067746065 -140.808531643521 308.626568360581</t>
  </si>
  <si>
    <t>-619.62910233854 -128.614183366926 753.419241678792</t>
  </si>
  <si>
    <t>-501.551797560608 -204.472593642103 826.839764103636</t>
  </si>
  <si>
    <t>9763-20170724T105011.448930000.bin</t>
  </si>
  <si>
    <t>-702.007755888838 108.580749119681 -520.44637953774</t>
  </si>
  <si>
    <t>-620.364901466302 127.162836925809 -238.34654500064</t>
  </si>
  <si>
    <t>-381.450899355031 149.878565250584 -217.015239345158</t>
  </si>
  <si>
    <t>-685.056230839702 30.7938510196911 -96.6648622480918</t>
  </si>
  <si>
    <t>-662.228421516774 57.3729662847738 305.36392056748</t>
  </si>
  <si>
    <t>-725.048100511824 82.045742242339 747.994901897677</t>
  </si>
  <si>
    <t>-581.375643246638 107.031089194031 809.811385551557</t>
  </si>
  <si>
    <t>-568.430339675711 -141.46872942144 308.72720266372</t>
  </si>
  <si>
    <t>-619.690459744798 -128.756037868832 753.564150433952</t>
  </si>
  <si>
    <t>-501.351528555559 -204.294239856066 826.893093758659</t>
  </si>
  <si>
    <t>9763-20170724T105011.510596100.bin</t>
  </si>
  <si>
    <t>-703.177077789813 103.896546723342 -521.335328998837</t>
  </si>
  <si>
    <t>-618.207110464398 119.883196540039 -240.060210048666</t>
  </si>
  <si>
    <t>-380.663305339832 148.513406743013 -211.702739024902</t>
  </si>
  <si>
    <t>-686.04851049573 27.8916037365475 -97.0484304555134</t>
  </si>
  <si>
    <t>-662.559861651594 55.8599168519454 304.848022919215</t>
  </si>
  <si>
    <t>-725.196416792764 82.1350475597071 747.503643326879</t>
  </si>
  <si>
    <t>-581.524746364833 107.146979671186 809.31119142634</t>
  </si>
  <si>
    <t>-569.808528370298 -142.851038611624 308.964641826784</t>
  </si>
  <si>
    <t>-619.700682932761 -128.700810344565 753.848162257636</t>
  </si>
  <si>
    <t>-501.497826490022 -204.599007391061 827.025177174324</t>
  </si>
  <si>
    <t>9763-20170724T105011.546749200.bin</t>
  </si>
  <si>
    <t>-703.799925799169 101.694427871949 -521.684019548522</t>
  </si>
  <si>
    <t>-616.909129231905 116.896195330024 -240.952669567404</t>
  </si>
  <si>
    <t>-379.978171950198 149.339518023362 -211.593509129094</t>
  </si>
  <si>
    <t>-686.472055326541 26.4189096370355 -97.2943959808173</t>
  </si>
  <si>
    <t>-662.959324350763 55.1263276530246 304.548473273839</t>
  </si>
  <si>
    <t>-725.298311898955 82.2454204263227 747.204264423851</t>
  </si>
  <si>
    <t>-581.585665765803 107.001711927891 809.018967742029</t>
  </si>
  <si>
    <t>-570.60277931538 -143.595552965521 309.051073216555</t>
  </si>
  <si>
    <t>-619.694864898563 -128.657565508126 753.971734222042</t>
  </si>
  <si>
    <t>-501.440292948471 -204.552651587336 827.068231094836</t>
  </si>
  <si>
    <t>9763-20170724T105011.613438300.bin</t>
  </si>
  <si>
    <t>-705.030001365011 96.3439974779919 -523.078617021115</t>
  </si>
  <si>
    <t>-615.013603181445 110.3474359887 -243.271134721302</t>
  </si>
  <si>
    <t>-379.523846857098 150.502317626206 -211.917932275947</t>
  </si>
  <si>
    <t>-687.162095768288 23.1070447708985 -97.9112806145016</t>
  </si>
  <si>
    <t>-663.848585180564 53.3336866977563 303.831757935296</t>
  </si>
  <si>
    <t>-725.35702310621 82.1903784710416 746.520634977847</t>
  </si>
  <si>
    <t>-581.685003307112 107.131608747982 808.355522446214</t>
  </si>
  <si>
    <t>-572.321295281371 -145.178367242797 309.195030533982</t>
  </si>
  <si>
    <t>-619.729861733442 -128.598320630199 754.240156623255</t>
  </si>
  <si>
    <t>-501.619168482383 -204.880758250248 827.165895170778</t>
  </si>
  <si>
    <t>9763-20170724T105011.645518400.bin</t>
  </si>
  <si>
    <t>-705.860400294615 93.1239179668644 -523.941843066197</t>
  </si>
  <si>
    <t>-614.528776580232 108.751800931459 -244.647241793968</t>
  </si>
  <si>
    <t>-379.859311472968 152.035146150819 -211.365835336489</t>
  </si>
  <si>
    <t>-687.445324602164 21.3463291641494 -98.2182855472795</t>
  </si>
  <si>
    <t>-664.331054668384 52.3933733862275 303.473749884791</t>
  </si>
  <si>
    <t>-725.425892533822 82.2028585969088 746.179155723723</t>
  </si>
  <si>
    <t>-581.7705211826 107.277766433969 807.998891451387</t>
  </si>
  <si>
    <t>-573.12325359615 -146.254864419526 309.297960718693</t>
  </si>
  <si>
    <t>-619.872066539269 -128.998127242192 754.36779643689</t>
  </si>
  <si>
    <t>-501.287894069627 -204.651103698906 827.18067316552</t>
  </si>
  <si>
    <t>9763-20170724T105011.709690500.bin</t>
  </si>
  <si>
    <t>-707.373528842531 86.2199946255298 -525.812416403364</t>
  </si>
  <si>
    <t>-614.01933189807 105.62826503365 -247.425104074351</t>
  </si>
  <si>
    <t>-380.821477383396 153.845535199182 -210.754386185223</t>
  </si>
  <si>
    <t>-687.744183934913 17.7537191149033 -98.845039938395</t>
  </si>
  <si>
    <t>-665.292405707473 50.361879607862 302.760802687913</t>
  </si>
  <si>
    <t>-725.504467668976 82.1127252371025 745.450785644635</t>
  </si>
  <si>
    <t>-581.878150489727 107.34832884464 807.272882721235</t>
  </si>
  <si>
    <t>-574.962371184997 -148.113379458548 309.42396677572</t>
  </si>
  <si>
    <t>-620.002718088332 -129.321017555692 754.588433249527</t>
  </si>
  <si>
    <t>-500.81632463184 -204.208103092535 827.209295799728</t>
  </si>
  <si>
    <t>9763-20170724T105011.744318200.bin</t>
  </si>
  <si>
    <t>-708.345713036367 82.4967200385838 -526.741609386844</t>
  </si>
  <si>
    <t>-613.989406078255 104.333222166336 -248.872438201237</t>
  </si>
  <si>
    <t>-381.18782936449 153.76717169471 -211.314289903095</t>
  </si>
  <si>
    <t>-687.837064265361 15.938747116443 -99.1619533950631</t>
  </si>
  <si>
    <t>-665.620691713964 49.3066809646909 302.394652445997</t>
  </si>
  <si>
    <t>-725.464173379321 81.9833525434806 745.050269741993</t>
  </si>
  <si>
    <t>-581.914671108867 107.537042854461 806.919987802921</t>
  </si>
  <si>
    <t>-575.706175952901 -148.970148640612 309.482541085528</t>
  </si>
  <si>
    <t>-620.029271082443 -129.384175971509 754.674849005792</t>
  </si>
  <si>
    <t>-500.674633891548 -204.074073442227 827.222641607143</t>
  </si>
  <si>
    <t>9763-20170724T105011.812015800.bin</t>
  </si>
  <si>
    <t>-710.645965650815 75.9457030962055 -528.515097939672</t>
  </si>
  <si>
    <t>-614.184245679781 102.658920398509 -251.797179856566</t>
  </si>
  <si>
    <t>-381.395501164493 152.340055932755 -214.487269307102</t>
  </si>
  <si>
    <t>-688.091398216267 12.7498980293308 -99.8141100521484</t>
  </si>
  <si>
    <t>-666.037940148924 47.4516440604984 301.638347543304</t>
  </si>
  <si>
    <t>-725.522247962394 81.9609897258222 744.242623491075</t>
  </si>
  <si>
    <t>-582.024547849732 107.502624203235 806.237024205049</t>
  </si>
  <si>
    <t>-577.444836715298 -150.383845559496 309.56693154166</t>
  </si>
  <si>
    <t>-620.163199703729 -129.698106839945 754.857322176622</t>
  </si>
  <si>
    <t>-500.412531303834 -203.905290669972 827.247987251813</t>
  </si>
  <si>
    <t>9763-20170724T105011.843608600.bin</t>
  </si>
  <si>
    <t>-711.725796601692 73.2396816312246 -529.179336778856</t>
  </si>
  <si>
    <t>-614.091463136157 102.193999324043 -253.098854183245</t>
  </si>
  <si>
    <t>-381.061361286852 151.370641727475 -216.637030688246</t>
  </si>
  <si>
    <t>-688.130260859513 11.3133708478815 -100.136651541655</t>
  </si>
  <si>
    <t>-666.127804023101 46.4820072728278 301.277966490788</t>
  </si>
  <si>
    <t>-725.545925137021 81.8778027034241 743.863848759079</t>
  </si>
  <si>
    <t>-582.078705814413 107.496129308616 805.897468107403</t>
  </si>
  <si>
    <t>-578.55217352154 -150.917882463248 309.603450100231</t>
  </si>
  <si>
    <t>-620.236035688168 -129.848841401625 754.963773741723</t>
  </si>
  <si>
    <t>-500.370904331098 -203.949747021389 827.273713202646</t>
  </si>
  <si>
    <t>9763-20170724T105011.908781700.bin</t>
  </si>
  <si>
    <t>-713.293708410129 69.7229146943421 -530.034107913516</t>
  </si>
  <si>
    <t>-613.019559028472 101.848422569196 -255.25370286386</t>
  </si>
  <si>
    <t>-378.911536601736 149.103226693666 -223.452880892856</t>
  </si>
  <si>
    <t>-688.233277993582 9.60824303643926 -100.885664558845</t>
  </si>
  <si>
    <t>-666.284270984291 45.4184649967176 300.475205385462</t>
  </si>
  <si>
    <t>-725.574382224529 81.8019401420975 743.004943742441</t>
  </si>
  <si>
    <t>-582.153852417114 107.413558721476 805.148996437011</t>
  </si>
  <si>
    <t>-580.362074002016 -151.699761826746 309.642222328029</t>
  </si>
  <si>
    <t>-620.306816135029 -130.112095683767 755.118099728395</t>
  </si>
  <si>
    <t>-500.143507026268 -203.818925177063 827.335504424502</t>
  </si>
  <si>
    <t>9763-20170724T105011.944385200.bin</t>
  </si>
  <si>
    <t>-713.82000171666 68.7312900963555 -530.383100790301</t>
  </si>
  <si>
    <t>-612.087520777065 102.237480863164 -256.304496011031</t>
  </si>
  <si>
    <t>-377.560376614061 148.829267996584 -226.688443143069</t>
  </si>
  <si>
    <t>-688.076717379171 9.01804602452444 -101.227020546197</t>
  </si>
  <si>
    <t>-666.301325948683 45.1265302510617 300.11656789444</t>
  </si>
  <si>
    <t>-725.591327412177 81.7796234138882 742.601867194493</t>
  </si>
  <si>
    <t>-582.213552952175 107.502431590851 804.79846301158</t>
  </si>
  <si>
    <t>-580.876204431975 -151.925795046876 309.617871365971</t>
  </si>
  <si>
    <t>-620.321003221697 -130.167585836779 755.171999271171</t>
  </si>
  <si>
    <t>-500.196233152283 -203.968382467951 827.35786593368</t>
  </si>
  <si>
    <t>9763-20170724T105012.012588700.bin</t>
  </si>
  <si>
    <t>-713.963196296593 67.1387450317684 -530.879749124644</t>
  </si>
  <si>
    <t>-609.235622406061 103.534151682775 -258.301875847841</t>
  </si>
  <si>
    <t>-373.786030418699 148.300610267954 -233.59702945837</t>
  </si>
  <si>
    <t>-687.468834536462 8.06850835509954 -101.741540929038</t>
  </si>
  <si>
    <t>-666.041452351621 44.5600702057168 299.586101239517</t>
  </si>
  <si>
    <t>-725.660841076921 81.7851422779788 741.956020943737</t>
  </si>
  <si>
    <t>-582.282003177119 107.313035578737 804.230585508617</t>
  </si>
  <si>
    <t>-581.415150107235 -152.51273937579 309.589330585128</t>
  </si>
  <si>
    <t>-620.386997819893 -130.426211018238 755.232416072498</t>
  </si>
  <si>
    <t>-499.939642008357 -203.792487750049 827.323588956285</t>
  </si>
  <si>
    <t>9763-20170724T105012.041688500.bin</t>
  </si>
  <si>
    <t>-713.82063593831 66.6352732182488 -531.026998845167</t>
  </si>
  <si>
    <t>-607.553387031389 104.632593469245 -259.264611250799</t>
  </si>
  <si>
    <t>-371.922475390307 149.253907774575 -236.072594270849</t>
  </si>
  <si>
    <t>-687.117789082082 7.72508244819437 -101.903342691363</t>
  </si>
  <si>
    <t>-665.897928158225 44.2972443987796 299.427994803236</t>
  </si>
  <si>
    <t>-725.722871019676 81.7976338779629 741.723074197696</t>
  </si>
  <si>
    <t>-582.347295874388 107.335887718367 804.000913283802</t>
  </si>
  <si>
    <t>-581.470231661357 -152.879714695531 309.575533354423</t>
  </si>
  <si>
    <t>-620.463718467528 -130.725263414502 755.24371849482</t>
  </si>
  <si>
    <t>-499.570377249063 -203.413650446965 827.275130544712</t>
  </si>
  <si>
    <t>9763-20170724T105012.112360700.bin</t>
  </si>
  <si>
    <t>-713.95055664658 66.4768644884564 -531.229354486023</t>
  </si>
  <si>
    <t>-604.99080753768 107.443840058581 -260.968985431181</t>
  </si>
  <si>
    <t>-369.095247091856 151.336480393815 -239.11523031219</t>
  </si>
  <si>
    <t>-686.670440305789 7.5916724604208 -102.117866062085</t>
  </si>
  <si>
    <t>-665.659989385549 44.0880465459882 299.231374839151</t>
  </si>
  <si>
    <t>-725.725976734482 81.6094929878593 741.413281350231</t>
  </si>
  <si>
    <t>-582.427235342994 107.628470619795 803.668954285899</t>
  </si>
  <si>
    <t>-581.2555864296 -152.98190081655 309.488116514809</t>
  </si>
  <si>
    <t>-620.442033604521 -130.828275294873 755.197252143076</t>
  </si>
  <si>
    <t>-499.42187427036 -203.343190272632 827.190122815479</t>
  </si>
  <si>
    <t>9763-20170724T105012.143946400.bin</t>
  </si>
  <si>
    <t>-713.949489862822 67.0894203047826 -531.229928224486</t>
  </si>
  <si>
    <t>-604.20528488046 109.088268125978 -261.445762359554</t>
  </si>
  <si>
    <t>-368.238198280712 152.782502286638 -239.970135138154</t>
  </si>
  <si>
    <t>-686.33312681494 7.91557172468811 -102.169754462959</t>
  </si>
  <si>
    <t>-665.59555553543 44.3188579431078 299.202168132915</t>
  </si>
  <si>
    <t>-725.75837741728 81.6023394115812 741.326212985478</t>
  </si>
  <si>
    <t>-582.475740161116 107.733241155472 803.572018912005</t>
  </si>
  <si>
    <t>-580.92048606731 -152.767337072205 309.406963103793</t>
  </si>
  <si>
    <t>-620.359768025806 -130.706124735645 755.133970470387</t>
  </si>
  <si>
    <t>-499.626953560561 -203.672415577288 827.15344282683</t>
  </si>
  <si>
    <t>9763-20170724T105012.212633800.bin</t>
  </si>
  <si>
    <t>-713.422291737449 69.3057011086805 -531.09621234276</t>
  </si>
  <si>
    <t>-602.535361903661 112.394170602697 -261.951728003509</t>
  </si>
  <si>
    <t>-366.220834851645 154.997315866857 -242.170919739038</t>
  </si>
  <si>
    <t>-685.506237756298 9.16572759240148 -102.20961809483</t>
  </si>
  <si>
    <t>-665.617014801764 45.1600222916475 299.242129881741</t>
  </si>
  <si>
    <t>-725.801673571048 81.5452145315146 741.309136149007</t>
  </si>
  <si>
    <t>-582.546084671321 107.880680682615 803.531264176783</t>
  </si>
  <si>
    <t>-579.970367217739 -152.191537802188 309.214739119558</t>
  </si>
  <si>
    <t>-620.237513242912 -130.696915449239 754.976228047536</t>
  </si>
  <si>
    <t>-499.410651565087 -203.47499818847 827.028544093643</t>
  </si>
  <si>
    <t>9763-20170724T105012.245224500.bin</t>
  </si>
  <si>
    <t>-713.019312139324 70.976310483361 -531.031583536873</t>
  </si>
  <si>
    <t>-601.618309902349 114.229222134083 -262.125948115051</t>
  </si>
  <si>
    <t>-365.120952585837 156.452952556244 -243.768120164709</t>
  </si>
  <si>
    <t>-685.143593157911 10.2632127863419 -102.214138020116</t>
  </si>
  <si>
    <t>-665.666438822788 45.7937407768686 299.299129304015</t>
  </si>
  <si>
    <t>-725.868308371196 81.6222654447556 741.371773761233</t>
  </si>
  <si>
    <t>-582.602648460336 107.923088157311 803.585002929095</t>
  </si>
  <si>
    <t>-579.246046141801 -151.788795089601 309.115391507891</t>
  </si>
  <si>
    <t>-620.185026258337 -130.770217644597 754.878262927922</t>
  </si>
  <si>
    <t>-499.169048847937 -203.209990246212 826.953870607648</t>
  </si>
  <si>
    <t>9763-20170724T105012.312440000.bin</t>
  </si>
  <si>
    <t>-712.572932780365 74.948879380677 -530.828566377612</t>
  </si>
  <si>
    <t>-599.929585918508 118.163687633343 -262.434953563145</t>
  </si>
  <si>
    <t>-363.049188036306 159.313772157526 -246.777332568774</t>
  </si>
  <si>
    <t>-684.339615805465 13.1738147929286 -102.120972055627</t>
  </si>
  <si>
    <t>-665.617388058015 47.6004923413932 299.524367457301</t>
  </si>
  <si>
    <t>-725.934801335173 81.6770753411049 741.640557351186</t>
  </si>
  <si>
    <t>-582.66629302766 108.015529755588 803.831581339531</t>
  </si>
  <si>
    <t>-577.317391937245 -150.339898747153 308.957708360113</t>
  </si>
  <si>
    <t>-619.998276679158 -130.675440195882 754.658936116353</t>
  </si>
  <si>
    <t>-499.091911162463 -203.206434116916 826.826925628078</t>
  </si>
  <si>
    <t>9763-20170724T105012.347263800.bin</t>
  </si>
  <si>
    <t>-712.189081896006 76.9577855271048 -530.734384665406</t>
  </si>
  <si>
    <t>-599.108661238242 120.563377376616 -262.58770952995</t>
  </si>
  <si>
    <t>-362.042892717079 161.081921261645 -248.134163090757</t>
  </si>
  <si>
    <t>-683.796849424539 14.8157625165052 -102.043605961866</t>
  </si>
  <si>
    <t>-665.390888540281 48.5003444148322 299.679284630717</t>
  </si>
  <si>
    <t>-725.950512708037 81.6573964357165 741.815488721804</t>
  </si>
  <si>
    <t>-582.702649829575 108.160170816577 803.984315165313</t>
  </si>
  <si>
    <t>-576.513711368847 -149.555458695379 308.893370493475</t>
  </si>
  <si>
    <t>-619.940877161881 -130.777038449716 754.558641761623</t>
  </si>
  <si>
    <t>-499.042459841392 -203.273375844733 826.774404699926</t>
  </si>
  <si>
    <t>9763-20170724T105012.414960700.bin</t>
  </si>
  <si>
    <t>-711.406966103916 81.4375911216885 -530.576619077121</t>
  </si>
  <si>
    <t>-597.39080126081 125.728903982459 -262.939271008928</t>
  </si>
  <si>
    <t>-359.999445123344 164.931681874218 -250.314681222311</t>
  </si>
  <si>
    <t>-682.574149278348 18.5444211388606 -101.809161998828</t>
  </si>
  <si>
    <t>-664.516657487068 50.6511849888361 300.058624661623</t>
  </si>
  <si>
    <t>-726.059884119955 81.7774717113905 742.223479112961</t>
  </si>
  <si>
    <t>-582.774378134769 108.198423258361 804.340159610314</t>
  </si>
  <si>
    <t>-574.455077499538 -147.586036477204 308.746906558738</t>
  </si>
  <si>
    <t>-619.644558207859 -130.468300887119 754.308553021236</t>
  </si>
  <si>
    <t>-499.049319323896 -203.313358290591 826.680408869794</t>
  </si>
  <si>
    <t>9763-20170724T105012.446211400.bin</t>
  </si>
  <si>
    <t>-711.226739313108 83.8586408143524 -530.467545118404</t>
  </si>
  <si>
    <t>-596.863492026033 128.379526078239 -263.016417158507</t>
  </si>
  <si>
    <t>-359.31976001778 166.782442848045 -250.806725617869</t>
  </si>
  <si>
    <t>-682.121244765117 20.6419044163081 -101.630424399405</t>
  </si>
  <si>
    <t>-663.861663650684 51.77796631718 300.304702916522</t>
  </si>
  <si>
    <t>-726.11414455323 81.792527847281 742.475150567508</t>
  </si>
  <si>
    <t>-582.810740640532 108.204623170489 804.554435339152</t>
  </si>
  <si>
    <t>-573.307322395334 -146.543676751649 308.67439052252</t>
  </si>
  <si>
    <t>-619.463769054049 -130.186324503706 754.183220375586</t>
  </si>
  <si>
    <t>-499.060403384283 -203.271617413383 826.632164717052</t>
  </si>
  <si>
    <t>9763-20170724T105012.512386300.bin</t>
  </si>
  <si>
    <t>-710.820456003454 88.4956108368408 -529.936628250466</t>
  </si>
  <si>
    <t>-596.217614052957 132.628805807792 -262.523750279826</t>
  </si>
  <si>
    <t>-358.361746932652 169.184521679433 -250.727909573803</t>
  </si>
  <si>
    <t>-681.192063846781 24.5925231540093 -101.166451531669</t>
  </si>
  <si>
    <t>-662.366427621939 53.8239322461832 300.885562888371</t>
  </si>
  <si>
    <t>-726.206015474243 81.7798485727767 742.978368325463</t>
  </si>
  <si>
    <t>-582.86755782635 108.114788018002 805.009488950437</t>
  </si>
  <si>
    <t>-570.901807931573 -144.448524201633 308.621905230409</t>
  </si>
  <si>
    <t>-619.153830028536 -129.724662200356 753.946990024642</t>
  </si>
  <si>
    <t>-499.151115770079 -203.326132939609 826.53793144611</t>
  </si>
  <si>
    <t>9763-20170724T105012.544025600.bin</t>
  </si>
  <si>
    <t>-710.368603565058 90.7696668090346 -529.574066523851</t>
  </si>
  <si>
    <t>-595.922450476435 134.511493644762 -262.02959847046</t>
  </si>
  <si>
    <t>-357.921044572599 170.173980937153 -250.439162916725</t>
  </si>
  <si>
    <t>-680.484278108874 26.4703452495471 -100.939880522715</t>
  </si>
  <si>
    <t>-661.647419097799 54.7927387046093 301.176696228525</t>
  </si>
  <si>
    <t>-726.247880504367 81.823905512932 743.218788189362</t>
  </si>
  <si>
    <t>-582.885491629289 108.056076933283 805.237839829957</t>
  </si>
  <si>
    <t>-569.788693157875 -143.476568076612 308.602168233321</t>
  </si>
  <si>
    <t>-619.058940397623 -129.654868610416 753.838605269656</t>
  </si>
  <si>
    <t>-499.285303591127 -203.556136948291 826.503310721795</t>
  </si>
  <si>
    <t>9763-20170724T105012.609189300.bin</t>
  </si>
  <si>
    <t>-709.05044425285 95.5785414509044 -528.743822154202</t>
  </si>
  <si>
    <t>-595.23343328432 137.680271011118 -260.668522814768</t>
  </si>
  <si>
    <t>-356.914424105447 170.86430320109 -248.269446827235</t>
  </si>
  <si>
    <t>-679.049466648636 30.3014213013082 -100.511550317243</t>
  </si>
  <si>
    <t>-660.240304688987 56.7706412214538 301.732484763569</t>
  </si>
  <si>
    <t>-726.301598661318 81.9167405548421 743.660221270122</t>
  </si>
  <si>
    <t>-582.927105282444 108.106908078058 805.669024142978</t>
  </si>
  <si>
    <t>-567.652304734885 -141.576343083468 308.582478110898</t>
  </si>
  <si>
    <t>-618.805765298918 -129.410647612659 753.61055242654</t>
  </si>
  <si>
    <t>-499.197358253729 -203.421419200617 826.435829720476</t>
  </si>
  <si>
    <t>9763-20170724T105012.645802600.bin</t>
  </si>
  <si>
    <t>-708.194103542547 98.2600722193208 -528.345472841759</t>
  </si>
  <si>
    <t>-594.981492805633 139.356309330407 -259.858453218024</t>
  </si>
  <si>
    <t>-356.52189734533 171.2634040124 -246.827220434265</t>
  </si>
  <si>
    <t>-678.395181823639 32.4131777123439 -100.31899945284</t>
  </si>
  <si>
    <t>-659.682093213679 57.9094944362837 301.992340984153</t>
  </si>
  <si>
    <t>-726.386209775907 82.0791663364778 743.889463014546</t>
  </si>
  <si>
    <t>-582.951487593457 107.924334257855 805.904010821049</t>
  </si>
  <si>
    <t>-566.602887689948 -140.579487061006 308.530820280818</t>
  </si>
  <si>
    <t>-618.646277823123 -129.205798388103 753.485853878319</t>
  </si>
  <si>
    <t>-499.24865405105 -203.45541399685 826.413968052007</t>
  </si>
  <si>
    <t>9763-20170724T105012.712993100.bin</t>
  </si>
  <si>
    <t>-707.192577565208 103.609048912917 -527.508796920057</t>
  </si>
  <si>
    <t>-594.856249525162 142.233371743943 -258.287895665674</t>
  </si>
  <si>
    <t>-356.098375045866 171.729456421808 -245.038273423958</t>
  </si>
  <si>
    <t>-677.824453362822 36.6400672680386 -99.9271973271595</t>
  </si>
  <si>
    <t>-659.177739125407 60.0584989605302 302.513490287449</t>
  </si>
  <si>
    <t>-726.481860012408 82.2458096026851 744.423424801634</t>
  </si>
  <si>
    <t>-582.983058661063 107.757544995459 806.427886705856</t>
  </si>
  <si>
    <t>-564.809451739436 -138.53440493465 308.434356127498</t>
  </si>
  <si>
    <t>-618.361836402228 -128.855785697372 753.251499008797</t>
  </si>
  <si>
    <t>-499.565633492005 -203.863119825552 826.385878363568</t>
  </si>
  <si>
    <t>9763-20170724T105012.752617100.bin</t>
  </si>
  <si>
    <t>-707.081773335332 106.091839549671 -527.121819710286</t>
  </si>
  <si>
    <t>-595.086895774368 143.574575107362 -257.597451724161</t>
  </si>
  <si>
    <t>-356.198020314581 172.037929196766 -244.450109994915</t>
  </si>
  <si>
    <t>-677.675727930696 38.6716371516741 -99.7310902563738</t>
  </si>
  <si>
    <t>-659.061615796307 61.0798765586317 302.768691945155</t>
  </si>
  <si>
    <t>-726.517124698684 82.32812997618 744.690949603963</t>
  </si>
  <si>
    <t>-582.958887284737 107.46040607196 806.712494777422</t>
  </si>
  <si>
    <t>-564.16193370919 -137.453280542279 308.381000178832</t>
  </si>
  <si>
    <t>-618.177134809894 -128.473842405443 753.142496774367</t>
  </si>
  <si>
    <t>-499.656616330763 -203.831011882513 826.364482741262</t>
  </si>
  <si>
    <t>9763-20170724T105012.811785900.bin</t>
  </si>
  <si>
    <t>-707.028005117191 110.495121240545 -526.536470257797</t>
  </si>
  <si>
    <t>-595.702615265307 146.093077209495 -256.47975267116</t>
  </si>
  <si>
    <t>-356.593636239091 172.565713466466 -243.177875613416</t>
  </si>
  <si>
    <t>-677.430515303632 42.4595890380565 -99.3210470697865</t>
  </si>
  <si>
    <t>-658.42626107468 62.8867422137923 303.26588100319</t>
  </si>
  <si>
    <t>-726.601460896259 82.519214286614 745.213495810534</t>
  </si>
  <si>
    <t>-582.972510297703 107.190397691022 807.256945581981</t>
  </si>
  <si>
    <t>-563.118304082761 -135.470884837841 308.295344340972</t>
  </si>
  <si>
    <t>-618.015981084124 -128.33889758026 752.97733984198</t>
  </si>
  <si>
    <t>-499.819670141853 -204.056149252652 826.3519407465</t>
  </si>
  <si>
    <t>9763-20170724T105012.842877200.bin</t>
  </si>
  <si>
    <t>-707.185074400485 112.548974120681 -526.330527391456</t>
  </si>
  <si>
    <t>-596.068536205711 147.674120569114 -256.125824201369</t>
  </si>
  <si>
    <t>-356.853815610006 173.113790667789 -242.709078627534</t>
  </si>
  <si>
    <t>-677.503835381399 44.3185146187586 -99.0917070282786</t>
  </si>
  <si>
    <t>-658.027170925898 63.7529293426692 303.521825785307</t>
  </si>
  <si>
    <t>-726.639926828926 82.6049183576854 745.45882053422</t>
  </si>
  <si>
    <t>-582.984519509976 107.099645132313 807.510708783413</t>
  </si>
  <si>
    <t>-562.61621388293 -134.45421449851 308.263060843702</t>
  </si>
  <si>
    <t>-617.87799202117 -128.104080797383 752.894714155028</t>
  </si>
  <si>
    <t>-499.900339644517 -204.085340792571 826.348061117923</t>
  </si>
  <si>
    <t>9763-20170724T105012.880976500.bin</t>
  </si>
  <si>
    <t>-707.213841724127 114.458789226462 -526.214988042146</t>
  </si>
  <si>
    <t>-596.379655325068 149.298816164012 -255.857470753918</t>
  </si>
  <si>
    <t>-357.053114905216 173.705022848336 -242.515193348209</t>
  </si>
  <si>
    <t>-677.640179664614 46.1617405266302 -98.8602091351646</t>
  </si>
  <si>
    <t>-657.573341645082 64.7406481500577 303.764704852331</t>
  </si>
  <si>
    <t>-726.697594279829 82.7473958855016 745.672770406634</t>
  </si>
  <si>
    <t>-582.991425388395 106.896697156583 807.742623094748</t>
  </si>
  <si>
    <t>-562.054309361508 -133.463406767422 308.240620406265</t>
  </si>
  <si>
    <t>-617.770710845928 -127.961326329936 752.815408922078</t>
  </si>
  <si>
    <t>-500.001188856879 -204.185199574897 826.351640280083</t>
  </si>
  <si>
    <t>9763-20170724T105012.945770900.bin</t>
  </si>
  <si>
    <t>-706.585901185104 117.779888592402 -526.163323858221</t>
  </si>
  <si>
    <t>-596.531734466506 152.365783023064 -255.454797980957</t>
  </si>
  <si>
    <t>-357.010178665474 174.688377351862 -241.964248792299</t>
  </si>
  <si>
    <t>-677.669795202257 49.445849363339 -98.3279521189503</t>
  </si>
  <si>
    <t>-656.335462046946 66.523954938729 304.29822956006</t>
  </si>
  <si>
    <t>-726.781897014867 82.9160712457096 746.096170306488</t>
  </si>
  <si>
    <t>-583.004208418541 106.617035419492 808.172941552146</t>
  </si>
  <si>
    <t>-560.611697966553 -131.593918332004 308.254536692309</t>
  </si>
  <si>
    <t>-617.544986177179 -127.667289382541 752.6639281878</t>
  </si>
  <si>
    <t>-500.08917720011 -204.216644493609 826.363798405943</t>
  </si>
  <si>
    <t>9763-20170724T105013.016961500.bin</t>
  </si>
  <si>
    <t>-705.596551281832 120.67134919719 -526.176600899081</t>
  </si>
  <si>
    <t>-596.286985299844 155.138262768602 -255.151415611226</t>
  </si>
  <si>
    <t>-356.611680054739 175.517827279565 -241.320683136173</t>
  </si>
  <si>
    <t>-677.399948879903 52.536399344915 -97.8174395756918</t>
  </si>
  <si>
    <t>-655.131747106714 68.310985333598 304.811414370808</t>
  </si>
  <si>
    <t>-726.791066496098 83.0033200272148 746.471457650053</t>
  </si>
  <si>
    <t>-582.990860501902 106.521231059509 808.565581739347</t>
  </si>
  <si>
    <t>-558.751513752909 -129.995515412441 308.277524016001</t>
  </si>
  <si>
    <t>-617.309707914875 -127.387640973444 752.488647193573</t>
  </si>
  <si>
    <t>-500.07794484855 -204.118957265036 826.355591733672</t>
  </si>
  <si>
    <t>9763-20170724T105013.043035800.bin</t>
  </si>
  <si>
    <t>-705.117394643422 121.96947694164 -526.22869941756</t>
  </si>
  <si>
    <t>-596.142335510324 156.397920141703 -255.064062441365</t>
  </si>
  <si>
    <t>-356.398669494303 175.825315570344 -241.049362265588</t>
  </si>
  <si>
    <t>-677.260052077307 54.2237040432242 -97.604800143694</t>
  </si>
  <si>
    <t>-654.826884686199 69.1772104196882 305.046153454398</t>
  </si>
  <si>
    <t>-726.815610706472 83.0782214300307 746.661303202081</t>
  </si>
  <si>
    <t>-582.97376616945 106.294075231755 808.772903794971</t>
  </si>
  <si>
    <t>-557.896479976168 -129.213587698679 308.316773231658</t>
  </si>
  <si>
    <t>-617.256872891113 -127.365827484135 752.41824413119</t>
  </si>
  <si>
    <t>-500.041883482112 -204.065951021269 826.344185253959</t>
  </si>
  <si>
    <t>9763-20170724T105013.111238000.bin</t>
  </si>
  <si>
    <t>-704.051429615937 124.459047645465 -526.51805848796</t>
  </si>
  <si>
    <t>-595.516816639138 159.153091174631 -255.210482389736</t>
  </si>
  <si>
    <t>-355.656194884087 176.598400931985 -240.602155361927</t>
  </si>
  <si>
    <t>-676.861610329992 57.6937600125195 -97.263887690249</t>
  </si>
  <si>
    <t>-654.259016714442 71.0962499599636 305.432266124743</t>
  </si>
  <si>
    <t>-726.880350873837 83.3106932896676 747.026755151834</t>
  </si>
  <si>
    <t>-582.994767462648 106.170879048774 809.168613735277</t>
  </si>
  <si>
    <t>-556.486799724765 -127.332816950183 308.370112942999</t>
  </si>
  <si>
    <t>-617.041654532462 -127.033030297431 752.272087167708</t>
  </si>
  <si>
    <t>-500.442840604374 -204.50566217508 826.366568476798</t>
  </si>
  <si>
    <t>9763-20170724T105013.144344500.bin</t>
  </si>
  <si>
    <t>-703.605717572986 125.750114286699 -526.697228390288</t>
  </si>
  <si>
    <t>-595.246302732129 160.584717761276 -255.33760062501</t>
  </si>
  <si>
    <t>-355.339874403107 177.101324906518 -240.405804144037</t>
  </si>
  <si>
    <t>-676.695712346678 59.4933817571402 -97.1153172940133</t>
  </si>
  <si>
    <t>-653.876272530105 72.0291454971723 305.596556246583</t>
  </si>
  <si>
    <t>-726.902477191186 83.3922753790878 747.18324966863</t>
  </si>
  <si>
    <t>-583.008516566875 106.171891044049 809.335598559511</t>
  </si>
  <si>
    <t>-555.918684020152 -126.411597009763 308.400836893177</t>
  </si>
  <si>
    <t>-616.959433535372 -126.952579441695 752.205296695385</t>
  </si>
  <si>
    <t>-500.438236557479 -204.470177251859 826.374892011527</t>
  </si>
  <si>
    <t>9763-20170724T105013.213031600.bin</t>
  </si>
  <si>
    <t>-702.603504821137 128.440843374953 -527.101677184376</t>
  </si>
  <si>
    <t>-594.48734366369 163.409132221525 -255.662404761383</t>
  </si>
  <si>
    <t>-354.500561961359 178.206266880782 -240.225929693338</t>
  </si>
  <si>
    <t>-675.858798879158 62.9123000411887 -96.8083932748227</t>
  </si>
  <si>
    <t>-652.764193085304 73.8951943477234 305.93311824646</t>
  </si>
  <si>
    <t>-726.922776369963 83.4616053779891 747.456960264607</t>
  </si>
  <si>
    <t>-582.99342646735 106.050524650421 809.597040970731</t>
  </si>
  <si>
    <t>-554.5630920293 -124.659555451904 308.422799160686</t>
  </si>
  <si>
    <t>-616.64078448539 -126.418450186358 752.03753726303</t>
  </si>
  <si>
    <t>-500.546444455801 -204.384929524523 826.405684458054</t>
  </si>
  <si>
    <t>9763-20170724T105013.243617600.bin</t>
  </si>
  <si>
    <t>-701.945577739403 129.668313229696 -527.370770505803</t>
  </si>
  <si>
    <t>-593.988372172068 164.815212504767 -255.891206084187</t>
  </si>
  <si>
    <t>-353.973709131312 178.724683269584 -240.066636679899</t>
  </si>
  <si>
    <t>-675.391096730739 64.512302203756 -96.6396541948346</t>
  </si>
  <si>
    <t>-652.121559104458 74.665582232542 306.113492775882</t>
  </si>
  <si>
    <t>-726.929965473468 83.46148435853 747.576203600227</t>
  </si>
  <si>
    <t>-582.976392912554 105.92591548425 809.705388280318</t>
  </si>
  <si>
    <t>-553.683286096119 -123.833287925475 308.424912169331</t>
  </si>
  <si>
    <t>-616.467863392045 -126.143883832839 751.9349890489</t>
  </si>
  <si>
    <t>-500.806671641999 -204.630173581292 826.431071515956</t>
  </si>
  <si>
    <t>9763-20170724T105013.313804300.bin</t>
  </si>
  <si>
    <t>-700.813454089347 131.396800757743 -527.945893427688</t>
  </si>
  <si>
    <t>-593.045809258662 167.356322956052 -256.497381651828</t>
  </si>
  <si>
    <t>-352.98505494762 179.756662606958 -240.129552311358</t>
  </si>
  <si>
    <t>-674.461033552562 67.3299418584634 -96.3277210302106</t>
  </si>
  <si>
    <t>-650.920404727547 76.017224074581 306.443983079761</t>
  </si>
  <si>
    <t>-726.97116591705 83.6229523968093 747.742731451847</t>
  </si>
  <si>
    <t>-582.984213163722 105.797711309181 809.898845987912</t>
  </si>
  <si>
    <t>-552.0427086634 -122.546789946001 308.495748665158</t>
  </si>
  <si>
    <t>-616.247186792235 -125.809450966389 751.77035061977</t>
  </si>
  <si>
    <t>-500.722876206397 -204.345764246008 826.426284317873</t>
  </si>
  <si>
    <t>9763-20170724T105013.345891700.bin</t>
  </si>
  <si>
    <t>-700.21780478302 132.107733266111 -528.19140374936</t>
  </si>
  <si>
    <t>-592.660898899165 168.449557258038 -256.710283794568</t>
  </si>
  <si>
    <t>-352.575379171831 180.168883246793 -240.204024889343</t>
  </si>
  <si>
    <t>-674.031587221647 68.5682612333665 -96.151259345343</t>
  </si>
  <si>
    <t>-650.224984277851 76.5811169669962 306.618757074054</t>
  </si>
  <si>
    <t>-726.921572476352 83.5643812629212 747.823472674677</t>
  </si>
  <si>
    <t>-582.926269629974 105.653308424058 809.990546730831</t>
  </si>
  <si>
    <t>-551.38816141308 -121.914968266256 308.560696079217</t>
  </si>
  <si>
    <t>-616.186671998135 -125.698647258696 751.719125188382</t>
  </si>
  <si>
    <t>-500.838115445512 -204.436441518576 826.434389866688</t>
  </si>
  <si>
    <t>9763-20170724T105013.414078800.bin</t>
  </si>
  <si>
    <t>-675.776697946418 0.00834577483806243 -550.01540090137</t>
  </si>
  <si>
    <t>-699.119998639049 133.786352011714 -528.71120568365</t>
  </si>
  <si>
    <t>-591.804338820602 170.735155213383 -257.216558166138</t>
  </si>
  <si>
    <t>-351.675990442626 181.185026812208 -240.482749958659</t>
  </si>
  <si>
    <t>-673.260361506049 71.1558263604586 -95.8464865528798</t>
  </si>
  <si>
    <t>-648.738283374597 77.8063804876917 306.905456137987</t>
  </si>
  <si>
    <t>-726.990194178966 83.764815431156 747.919860185983</t>
  </si>
  <si>
    <t>-582.922489863294 105.350509988782 810.09579974201</t>
  </si>
  <si>
    <t>-550.468939008611 -120.634398355099 308.619251428588</t>
  </si>
  <si>
    <t>-616.032636589166 -125.506723256004 751.595413770394</t>
  </si>
  <si>
    <t>-501.008484963916 -204.569230670288 826.467772727605</t>
  </si>
  <si>
    <t>9763-20170724T105013.446038200.bin</t>
  </si>
  <si>
    <t>-675.519763707186 0.778858299353487 -550.005190391265</t>
  </si>
  <si>
    <t>-698.647435533892 134.662873298818 -529.060311440845</t>
  </si>
  <si>
    <t>-591.527157542231 171.873871543967 -257.524429050347</t>
  </si>
  <si>
    <t>-351.376111109412 181.774688380683 -240.781920127976</t>
  </si>
  <si>
    <t>-672.788330295921 72.4633651862227 -95.754208797196</t>
  </si>
  <si>
    <t>-648.160623939367 78.4726885459563 307.001388520757</t>
  </si>
  <si>
    <t>-727.001442511973 83.8045770262281 747.940794082651</t>
  </si>
  <si>
    <t>-582.924963459913 105.335594328391 810.115337287716</t>
  </si>
  <si>
    <t>-549.916235833245 -119.927023281901 308.623661801613</t>
  </si>
  <si>
    <t>-615.887698745091 -125.276716597967 751.514968870937</t>
  </si>
  <si>
    <t>-501.37302091015 -204.960005587005 826.510101269062</t>
  </si>
  <si>
    <t>9763-20170724T105013.512728700.bin</t>
  </si>
  <si>
    <t>-674.510803851926 2.00613121107017 -550.060020991681</t>
  </si>
  <si>
    <t>-697.297009616218 136.043367980682 -529.761513336119</t>
  </si>
  <si>
    <t>-590.740978072712 173.702749811979 -258.065356171342</t>
  </si>
  <si>
    <t>-350.550233264809 182.628396392709 -241.344902292712</t>
  </si>
  <si>
    <t>-672.060064686094 74.6059109766284 -95.6213201558129</t>
  </si>
  <si>
    <t>-647.4585748264 79.6325025336164 307.149287209482</t>
  </si>
  <si>
    <t>-726.976006708782 83.7964751171917 747.997092952422</t>
  </si>
  <si>
    <t>-582.871872485867 105.173936404218 810.160608169293</t>
  </si>
  <si>
    <t>-548.68787584934 -118.9959232266 308.605904665464</t>
  </si>
  <si>
    <t>-615.678107460704 -125.017269591872 751.341338239196</t>
  </si>
  <si>
    <t>-501.229186428108 -204.631049060258 826.510192619078</t>
  </si>
  <si>
    <t>9763-20170724T105013.544308400.bin</t>
  </si>
  <si>
    <t>-673.658537191222 2.57483442472267 -550.07167313869</t>
  </si>
  <si>
    <t>-696.335488646929 136.674344367538 -530.050845128422</t>
  </si>
  <si>
    <t>-590.178780882113 174.676953557988 -258.246237002079</t>
  </si>
  <si>
    <t>-349.972791669633 183.21443193646 -241.540054178588</t>
  </si>
  <si>
    <t>-671.61439994843 75.5269529513455 -95.5540572947377</t>
  </si>
  <si>
    <t>-647.187150817272 80.1728402815859 307.231749032141</t>
  </si>
  <si>
    <t>-726.993128778149 83.8693976981042 748.028495226694</t>
  </si>
  <si>
    <t>-582.877176831338 105.18086164083 810.187347766327</t>
  </si>
  <si>
    <t>-548.011746631153 -118.597727447341 308.579094888502</t>
  </si>
  <si>
    <t>-615.5818756618 -124.893935197532 751.243237291744</t>
  </si>
  <si>
    <t>-501.435080883667 -204.84088184287 826.518002223793</t>
  </si>
  <si>
    <t>9763-20170724T105013.610482700.bin</t>
  </si>
  <si>
    <t>-672.102274162752 3.22022253602336 -550.047728683154</t>
  </si>
  <si>
    <t>-694.62435840986 137.421182751999 -530.55711319666</t>
  </si>
  <si>
    <t>-589.244848136545 176.178441434811 -258.556711167904</t>
  </si>
  <si>
    <t>-349.020497545697 183.942754099288 -241.738826668752</t>
  </si>
  <si>
    <t>-670.681386565587 76.8634487970683 -95.3550080616452</t>
  </si>
  <si>
    <t>-646.454878314202 80.8489982730446 307.449962065772</t>
  </si>
  <si>
    <t>-726.966785265663 83.8770936303686 748.10879767783</t>
  </si>
  <si>
    <t>-582.844271326288 105.162070603174 810.261322748765</t>
  </si>
  <si>
    <t>-546.516382456406 -118.130074733806 308.567842439037</t>
  </si>
  <si>
    <t>-615.436914423323 -124.770634525211 751.046743325418</t>
  </si>
  <si>
    <t>-501.511469366053 -204.863739474675 826.50142844793</t>
  </si>
  <si>
    <t>9763-20170724T105013.648218000.bin</t>
  </si>
  <si>
    <t>-671.28714471096 3.48823004877568 -549.999670793988</t>
  </si>
  <si>
    <t>-693.808507267651 137.720837575992 -530.744440931019</t>
  </si>
  <si>
    <t>-588.781189991864 176.824572064669 -258.65735181887</t>
  </si>
  <si>
    <t>-348.547841409815 184.340102784538 -241.855578843059</t>
  </si>
  <si>
    <t>-670.20960103379 77.4301930918084 -95.2410329480141</t>
  </si>
  <si>
    <t>-645.974473114707 81.1331449075162 307.56613629759</t>
  </si>
  <si>
    <t>-726.955031878682 83.916427493685 748.140033855742</t>
  </si>
  <si>
    <t>-582.818386726308 105.070588251803 810.30442797368</t>
  </si>
  <si>
    <t>-545.789703491204 -117.822180190445 308.587716349666</t>
  </si>
  <si>
    <t>-615.288404352831 -124.453337181536 750.962576471352</t>
  </si>
  <si>
    <t>-501.781586950403 -205.057456413027 826.503685330084</t>
  </si>
  <si>
    <t>9763-20170724T105013.709379900.bin</t>
  </si>
  <si>
    <t>-669.376351026254 3.77720247535535 -549.891321009697</t>
  </si>
  <si>
    <t>-691.918572454391 138.06153757799 -531.069512916439</t>
  </si>
  <si>
    <t>-587.610007450822 177.734078025614 -258.788289431422</t>
  </si>
  <si>
    <t>-347.343834301549 184.80322119297 -242.264380570371</t>
  </si>
  <si>
    <t>-669.077626875904 78.1605979286389 -94.9692616833861</t>
  </si>
  <si>
    <t>-644.703441757937 81.3790273640288 307.833636152734</t>
  </si>
  <si>
    <t>-726.854923563333 83.7531998046129 748.201557696273</t>
  </si>
  <si>
    <t>-582.750024912102 105.112545236322 810.369560519064</t>
  </si>
  <si>
    <t>-544.653425323113 -117.716981924317 308.694443774622</t>
  </si>
  <si>
    <t>-615.276250731483 -124.454322820615 750.878703214786</t>
  </si>
  <si>
    <t>-501.436638620882 -204.535079219328 826.475588345208</t>
  </si>
  <si>
    <t>9763-20170724T105013.741243800.bin</t>
  </si>
  <si>
    <t>-668.320905515326 3.90372942969839 -549.830245876506</t>
  </si>
  <si>
    <t>-690.85075049184 138.235745737326 -531.229838155523</t>
  </si>
  <si>
    <t>-586.888309709413 178.149016669076 -258.851494212075</t>
  </si>
  <si>
    <t>-346.604076035753 185.086106121997 -242.534899939032</t>
  </si>
  <si>
    <t>-668.493867858284 78.5187145351656 -94.8385891315695</t>
  </si>
  <si>
    <t>-644.06980152148 81.3949756653103 307.963893397809</t>
  </si>
  <si>
    <t>-726.800728199169 83.6124103073896 748.242153111095</t>
  </si>
  <si>
    <t>-582.755676904635 105.438830173207 810.386637453442</t>
  </si>
  <si>
    <t>-544.165522185354 -117.726460493892 308.778670440489</t>
  </si>
  <si>
    <t>-615.360883437655 -124.678935511002 750.863830090399</t>
  </si>
  <si>
    <t>-501.590557452533 -204.822996029535 826.498042826725</t>
  </si>
  <si>
    <t>9763-20170724T105013.815449200.bin</t>
  </si>
  <si>
    <t>-666.072861378678 4.41829542181813 -549.80907531886</t>
  </si>
  <si>
    <t>-688.663468274501 138.814490982568 -531.726525840346</t>
  </si>
  <si>
    <t>-585.050351645607 179.558196241146 -259.338165567672</t>
  </si>
  <si>
    <t>-344.7127013611 186.619626154638 -243.883818420783</t>
  </si>
  <si>
    <t>-667.315627874294 79.5170939311456 -94.666673319713</t>
  </si>
  <si>
    <t>-643.206771830843 81.8185018697898 308.158535431735</t>
  </si>
  <si>
    <t>-726.787159948112 83.5394241132112 748.279198745804</t>
  </si>
  <si>
    <t>-582.68158975167 105.026544678349 810.401660058949</t>
  </si>
  <si>
    <t>-543.310020676993 -117.538671521375 308.898996281777</t>
  </si>
  <si>
    <t>-615.243358035113 -124.428772792547 750.817618813509</t>
  </si>
  <si>
    <t>-501.715905381762 -204.834030065539 826.539747413947</t>
  </si>
  <si>
    <t>9763-20170724T105013.843095800.bin</t>
  </si>
  <si>
    <t>-664.778478692792 4.38572659397346 -549.816977015818</t>
  </si>
  <si>
    <t>-687.426136379928 138.813144710799 -532.091797954191</t>
  </si>
  <si>
    <t>-583.941713613247 180.383586464309 -259.779236391206</t>
  </si>
  <si>
    <t>-343.590405519441 187.475553455187 -244.553491096276</t>
  </si>
  <si>
    <t>-666.726489268496 79.8685454432912 -94.583921048691</t>
  </si>
  <si>
    <t>-642.725669532523 81.9955646910928 308.248647975591</t>
  </si>
  <si>
    <t>-726.789708313125 83.5154699291577 748.286844528869</t>
  </si>
  <si>
    <t>-582.681207875358 105.051103466216 810.385894808251</t>
  </si>
  <si>
    <t>-542.93118691214 -117.507737690967 308.987574810598</t>
  </si>
  <si>
    <t>-615.282742287403 -124.46502334849 750.836947133638</t>
  </si>
  <si>
    <t>-501.609599274063 -204.671716744116 826.550829014681</t>
  </si>
  <si>
    <t>9763-20170724T105013.911276500.bin</t>
  </si>
  <si>
    <t>-663.512012572521 4.16545641318203 -549.830195157691</t>
  </si>
  <si>
    <t>-686.177770578366 138.636684849771 -532.50437461658</t>
  </si>
  <si>
    <t>-582.7603062375 181.265729267148 -260.330288657693</t>
  </si>
  <si>
    <t>-342.402657854245 188.134361131561 -245.102367333918</t>
  </si>
  <si>
    <t>-666.112290443113 80.0788958370699 -94.5062361766567</t>
  </si>
  <si>
    <t>-642.228678004002 81.9686498564067 308.334509992745</t>
  </si>
  <si>
    <t>-726.73066261045 83.3721636099119 748.276733629569</t>
  </si>
  <si>
    <t>-582.684054776339 105.374303317726 810.355323205577</t>
  </si>
  <si>
    <t>-542.61199041724 -117.547430780907 309.070553423233</t>
  </si>
  <si>
    <t>-615.375016498368 -124.590868277852 750.868168532202</t>
  </si>
  <si>
    <t>-501.624668708417 -204.702029789403 826.566999778717</t>
  </si>
  <si>
    <t>9763-20170724T105013.949390200.bin</t>
  </si>
  <si>
    <t>-661.113546427632 3.43579267318887 -549.851350324425</t>
  </si>
  <si>
    <t>-683.979351204891 137.996768980563 -533.477164708888</t>
  </si>
  <si>
    <t>-580.908659204239 182.898890838521 -261.537055108698</t>
  </si>
  <si>
    <t>-340.527323964798 189.158199375316 -246.420200042201</t>
  </si>
  <si>
    <t>-664.977356566541 80.6669238670634 -94.3339691357437</t>
  </si>
  <si>
    <t>-641.08870816306 82.091184308933 308.508373568988</t>
  </si>
  <si>
    <t>-726.71202440241 83.2985547211842 748.252580183543</t>
  </si>
  <si>
    <t>-582.617605493015 105.056003055945 810.306712279022</t>
  </si>
  <si>
    <t>-542.18410978942 -117.675298145534 309.30534640703</t>
  </si>
  <si>
    <t>-615.631462265026 -125.111779588893 750.95951978358</t>
  </si>
  <si>
    <t>-501.463162570104 -204.668966619101 826.613591104475</t>
  </si>
  <si>
    <t>9763-20170724T105014.013572900.bin</t>
  </si>
  <si>
    <t>-658.641538573859 3.12875629778614 -549.97055275514</t>
  </si>
  <si>
    <t>-681.624979726732 137.78424525582 -534.599503927633</t>
  </si>
  <si>
    <t>-579.216099778449 184.157739659427 -262.656182692152</t>
  </si>
  <si>
    <t>-338.778899527399 190.009287195358 -248.284938730243</t>
  </si>
  <si>
    <t>-663.75687597443 81.4577708222728 -94.2207753817083</t>
  </si>
  <si>
    <t>-639.561687746449 82.458875610836 308.604569587119</t>
  </si>
  <si>
    <t>-726.762408930671 83.4193363880129 748.089349434833</t>
  </si>
  <si>
    <t>-582.665862378867 105.185798401819 810.135497364724</t>
  </si>
  <si>
    <t>-541.622722696354 -117.466424757218 309.39065522337</t>
  </si>
  <si>
    <t>-615.503178405532 -124.980343155903 750.919664384002</t>
  </si>
  <si>
    <t>-501.548758114157 -204.71374085551 826.710817196735</t>
  </si>
  <si>
    <t>9763-20170724T105014.046661400.bin</t>
  </si>
  <si>
    <t>-657.265366423267 3.06230213532535 -550.049395336645</t>
  </si>
  <si>
    <t>-680.192297924163 137.788465297872 -535.222942400421</t>
  </si>
  <si>
    <t>-578.173526452972 184.868653934987 -263.254651381933</t>
  </si>
  <si>
    <t>-337.739581467083 190.474698953344 -248.729461212482</t>
  </si>
  <si>
    <t>-663.195398319255 81.9269080654776 -94.1853198374165</t>
  </si>
  <si>
    <t>-638.808892470305 82.6935776433177 308.628922063975</t>
  </si>
  <si>
    <t>-726.723099454224 83.3599459959819 747.980676846997</t>
  </si>
  <si>
    <t>-582.602220392287 104.949343730517 810.032230967078</t>
  </si>
  <si>
    <t>-541.336034000798 -117.333876618533 309.424319381996</t>
  </si>
  <si>
    <t>-615.453045449741 -124.927108828601 750.909915992052</t>
  </si>
  <si>
    <t>-501.693587419435 -204.87746957225 826.765372080086</t>
  </si>
  <si>
    <t>9763-20170724T105014.114847700.bin</t>
  </si>
  <si>
    <t>-653.670765264613 2.99744781372692 -550.238050209841</t>
  </si>
  <si>
    <t>-676.296064538551 137.896397551127 -536.502771163382</t>
  </si>
  <si>
    <t>-575.522578774391 186.237986861322 -264.291448863875</t>
  </si>
  <si>
    <t>-335.056763151936 192.276363282378 -250.484255776872</t>
  </si>
  <si>
    <t>-661.826124750098 82.9354370328665 -94.2108685034968</t>
  </si>
  <si>
    <t>-637.864818004252 83.1649125390225 308.629634465272</t>
  </si>
  <si>
    <t>-726.757405641127 83.4743146444516 747.773093801495</t>
  </si>
  <si>
    <t>-582.634366584746 105.048648460482 809.824779826734</t>
  </si>
  <si>
    <t>-541.108048512929 -117.124032334057 309.51838311813</t>
  </si>
  <si>
    <t>-615.509858743077 -125.071924723393 750.943141042723</t>
  </si>
  <si>
    <t>-501.6015138739 -204.788585202049 826.820686065529</t>
  </si>
  <si>
    <t>9763-20170724T105014.147541700.bin</t>
  </si>
  <si>
    <t>-651.771709597458 2.94076460293559 -550.40638942173</t>
  </si>
  <si>
    <t>-674.308106134955 137.922959193084 -537.281901052745</t>
  </si>
  <si>
    <t>-574.1478433473 186.958014610402 -264.968335332697</t>
  </si>
  <si>
    <t>-333.649355675537 193.017883157885 -251.755142816899</t>
  </si>
  <si>
    <t>-661.016166576016 83.5066121405919 -94.2818266674652</t>
  </si>
  <si>
    <t>-637.662137738378 83.4051079758337 308.594390552103</t>
  </si>
  <si>
    <t>-726.707173812998 83.4141878618436 747.681743259286</t>
  </si>
  <si>
    <t>-582.623170435626 105.225849316683 809.741118440287</t>
  </si>
  <si>
    <t>-541.143759973066 -117.057324910861 309.510854891897</t>
  </si>
  <si>
    <t>-615.514174246598 -125.130019125687 750.934897375341</t>
  </si>
  <si>
    <t>-501.687607378946 -204.931535636251 826.846135564797</t>
  </si>
  <si>
    <t>9763-20170724T105014.222239800.bin</t>
  </si>
  <si>
    <t>-647.913369677569 2.89837875263129 -550.841351209858</t>
  </si>
  <si>
    <t>-670.189843395033 138.03971867703 -539.165336713894</t>
  </si>
  <si>
    <t>-571.487770722115 189.50826328159 -266.768344824989</t>
  </si>
  <si>
    <t>-330.955719350027 197.297327464162 -255.16978829324</t>
  </si>
  <si>
    <t>-659.864481576244 84.8346538526589 -94.403117926858</t>
  </si>
  <si>
    <t>-637.384502968754 84.0091030915132 308.521927255842</t>
  </si>
  <si>
    <t>-726.658496030521 83.3807584402289 747.591505814018</t>
  </si>
  <si>
    <t>-582.580497185304 105.235329142776 809.649569846849</t>
  </si>
  <si>
    <t>-541.183666526736 -116.824196318961 309.391402400172</t>
  </si>
  <si>
    <t>-615.452556510133 -125.118709400097 750.853974445192</t>
  </si>
  <si>
    <t>-501.903235895779 -205.202037020087 826.883459479483</t>
  </si>
  <si>
    <t>9763-20170724T105014.244358400.bin</t>
  </si>
  <si>
    <t>-645.87030419825 2.86629924941508 -551.052099641288</t>
  </si>
  <si>
    <t>-668.081330214955 138.097979689841 -540.190760726565</t>
  </si>
  <si>
    <t>-570.407443585407 189.924227734071 -267.491177465957</t>
  </si>
  <si>
    <t>-329.854474225778 199.360640806702 -257.68845526794</t>
  </si>
  <si>
    <t>-659.149331175825 85.4523304487734 -94.4464847950229</t>
  </si>
  <si>
    <t>-637.320682344935 84.3917734872095 308.513898629849</t>
  </si>
  <si>
    <t>-726.658518880027 83.4020677673323 747.580982822352</t>
  </si>
  <si>
    <t>-582.577866595003 105.284278545414 809.623128918473</t>
  </si>
  <si>
    <t>-541.379938867102 -116.698848895951 309.310712363799</t>
  </si>
  <si>
    <t>-615.443918015785 -125.170242014031 750.819658446276</t>
  </si>
  <si>
    <t>-502.287648986037 -205.734749027388 826.926889228083</t>
  </si>
  <si>
    <t>9763-20170724T105014.310540800.bin</t>
  </si>
  <si>
    <t>-641.893778621058 3.05256509558603 -551.347467645547</t>
  </si>
  <si>
    <t>-663.874742733471 138.445333790443 -542.319699082643</t>
  </si>
  <si>
    <t>-569.588565969254 189.818116909702 -268.344978032732</t>
  </si>
  <si>
    <t>-329.092086442128 203.198291574883 -262.577999869109</t>
  </si>
  <si>
    <t>-657.865531122979 87.0582828313895 -94.5083729130475</t>
  </si>
  <si>
    <t>-637.263939113024 85.227644654856 308.513808482494</t>
  </si>
  <si>
    <t>-726.716467193673 83.5536072912153 747.595405633636</t>
  </si>
  <si>
    <t>-582.551562841334 105.059572920778 809.573330471747</t>
  </si>
  <si>
    <t>-542.322593959598 -116.648197404435 309.209847997891</t>
  </si>
  <si>
    <t>-615.477620576226 -125.349566594195 750.799028856378</t>
  </si>
  <si>
    <t>-502.281128657926 -205.792474955075 826.975224899955</t>
  </si>
  <si>
    <t>9763-20170724T105014.341627200.bin</t>
  </si>
  <si>
    <t>-639.998375138605 3.43425446270021 -551.503533006269</t>
  </si>
  <si>
    <t>-661.705911820401 138.943749167174 -543.258642603514</t>
  </si>
  <si>
    <t>-570.113956936621 188.845177776492 -268.100658160444</t>
  </si>
  <si>
    <t>-329.784639509532 205.654836227774 -264.922627383952</t>
  </si>
  <si>
    <t>-657.421416177521 87.9063541843816 -94.5370194516511</t>
  </si>
  <si>
    <t>-637.163404009069 85.6955882960742 308.500704717219</t>
  </si>
  <si>
    <t>-726.742211009875 83.629722060969 747.604618638402</t>
  </si>
  <si>
    <t>-582.559127561592 105.144255164384 809.537215615626</t>
  </si>
  <si>
    <t>-542.981523701389 -116.557898436034 309.141048359712</t>
  </si>
  <si>
    <t>-615.444722961968 -125.295245602133 750.78816091853</t>
  </si>
  <si>
    <t>-502.293007372809 -205.767396123375 826.999901153334</t>
  </si>
  <si>
    <t>9763-20170724T105014.422344800.bin</t>
  </si>
  <si>
    <t>-636.201442091816 4.21610328334987 -551.703555474064</t>
  </si>
  <si>
    <t>-657.169043987452 139.885243043494 -544.643396010971</t>
  </si>
  <si>
    <t>-571.128959787644 188.330811306959 -267.440629198473</t>
  </si>
  <si>
    <t>-331.311556547537 211.527155269051 -268.079865196552</t>
  </si>
  <si>
    <t>-656.195653984405 89.0073741623746 -94.4960939096907</t>
  </si>
  <si>
    <t>-635.86378323576 86.3091167168395 308.534883379473</t>
  </si>
  <si>
    <t>-726.736300588038 83.6160535630536 747.549542816928</t>
  </si>
  <si>
    <t>-582.497029613337 105.10107469025 809.361424741563</t>
  </si>
  <si>
    <t>-544.523912334761 -116.574684065404 309.139516227493</t>
  </si>
  <si>
    <t>-615.546651900147 -125.321396240019 750.917787559115</t>
  </si>
  <si>
    <t>-502.849758732434 -206.430149222153 827.128487826699</t>
  </si>
  <si>
    <t>9763-20170724T105014.441899900.bin</t>
  </si>
  <si>
    <t>-633.923124959591 4.29694534390774 -551.766445339465</t>
  </si>
  <si>
    <t>-654.445608760643 140.0761451124 -545.303542726157</t>
  </si>
  <si>
    <t>-570.576994697342 188.383789855551 -267.412092724691</t>
  </si>
  <si>
    <t>-331.033230044704 214.204602921407 -269.133868465408</t>
  </si>
  <si>
    <t>-655.299903917766 89.3786641064471 -94.4501366560444</t>
  </si>
  <si>
    <t>-635.089454301405 86.3666150204563 308.584740868991</t>
  </si>
  <si>
    <t>-726.757007023498 83.7028118855987 747.461376857211</t>
  </si>
  <si>
    <t>-582.475255803186 105.012394017587 809.235141854134</t>
  </si>
  <si>
    <t>-545.381100262083 -116.910195855722 309.107099462908</t>
  </si>
  <si>
    <t>-615.717554644629 -125.675880642347 750.991739660216</t>
  </si>
  <si>
    <t>-502.924766950434 -206.656605342862 827.196505861307</t>
  </si>
  <si>
    <t>9763-20170724T105014.510081300.bin</t>
  </si>
  <si>
    <t>-627.984008476444 0.512142491711984 -91.018094575127</t>
  </si>
  <si>
    <t>-628.289353503674 4.6027680412567 -551.860806046766</t>
  </si>
  <si>
    <t>-647.944482327048 140.56937123585 -546.567360140078</t>
  </si>
  <si>
    <t>-568.595645045534 189.239657705168 -267.414860088369</t>
  </si>
  <si>
    <t>-329.672162211783 219.899033503365 -272.55628697961</t>
  </si>
  <si>
    <t>-653.216686335014 89.6561527184845 -94.3832083434311</t>
  </si>
  <si>
    <t>-634.215242928156 86.349244529564 308.708199524829</t>
  </si>
  <si>
    <t>-726.734933024548 83.822182394513 747.341290976567</t>
  </si>
  <si>
    <t>-582.450240194783 105.311416311955 809.045515568122</t>
  </si>
  <si>
    <t>-547.23441156181 -117.525252979314 309.008305892745</t>
  </si>
  <si>
    <t>-615.986272627104 -126.174369659858 751.160656663703</t>
  </si>
  <si>
    <t>-503.472555432166 -207.534782253112 827.373889901668</t>
  </si>
  <si>
    <t>9763-20170724T105014.541170800.bin</t>
  </si>
  <si>
    <t>-628.003430831392 0.751888703604891 -91.0641993321934</t>
  </si>
  <si>
    <t>-625.388464606463 4.79731334178769 -551.910227519844</t>
  </si>
  <si>
    <t>-644.667094486867 140.834445944237 -547.188805283006</t>
  </si>
  <si>
    <t>-566.967640081568 189.854362874259 -267.633859043373</t>
  </si>
  <si>
    <t>-328.246559010246 221.803803219515 -274.144310491631</t>
  </si>
  <si>
    <t>-652.587164963593 89.9039059975328 -94.3965307556165</t>
  </si>
  <si>
    <t>-634.255995092727 86.5508079735528 308.725534785663</t>
  </si>
  <si>
    <t>-726.670963738499 83.8064378751644 747.341646986745</t>
  </si>
  <si>
    <t>-582.399487444075 105.481260843845 809.012149009459</t>
  </si>
  <si>
    <t>-548.280381200735 -118.059239071448 308.942184886676</t>
  </si>
  <si>
    <t>-616.23543191947 -126.771934838984 751.231799988151</t>
  </si>
  <si>
    <t>-503.260345566017 -207.500158639774 827.434633242568</t>
  </si>
  <si>
    <t>9763-20170724T105014.610354300.bin</t>
  </si>
  <si>
    <t>-628.220850213814 1.24695680904756 -91.1092520095318</t>
  </si>
  <si>
    <t>-619.7429298947 5.16918074270575 -551.908988815423</t>
  </si>
  <si>
    <t>-638.433787074386 141.326697150021 -548.308352636912</t>
  </si>
  <si>
    <t>-564.046564412991 191.203493337491 -268.00467355835</t>
  </si>
  <si>
    <t>-325.417291788398 223.12087165256 -277.395831449609</t>
  </si>
  <si>
    <t>-651.696836527539 90.46472807447 -94.3644799941601</t>
  </si>
  <si>
    <t>-634.464352317249 87.0262389317479 308.805391803436</t>
  </si>
  <si>
    <t>-726.639994633386 84.0140137991648 747.401612742714</t>
  </si>
  <si>
    <t>-582.370215582322 105.850145877036 809.019056334462</t>
  </si>
  <si>
    <t>-549.939420404721 -118.866842579012 308.690409718607</t>
  </si>
  <si>
    <t>-616.296849762759 -127.321335395779 751.206771106049</t>
  </si>
  <si>
    <t>-503.480057305337 -208.064375722397 827.628056189799</t>
  </si>
  <si>
    <t>9763-20170724T105014.642454500.bin</t>
  </si>
  <si>
    <t>-628.337545359264 1.29257549501995 -91.1480740009532</t>
  </si>
  <si>
    <t>-617.338371859592 5.23873246166818 -551.908814591412</t>
  </si>
  <si>
    <t>-635.859718432902 141.41284468859 -548.81813741153</t>
  </si>
  <si>
    <t>-562.196723148449 191.429513069146 -268.348270672877</t>
  </si>
  <si>
    <t>-323.600152483173 223.098886020459 -279.284298780481</t>
  </si>
  <si>
    <t>-651.388013219172 90.4782726096935 -94.3286230426529</t>
  </si>
  <si>
    <t>-634.535336079613 87.1833567387303 308.858407175459</t>
  </si>
  <si>
    <t>-726.553327489809 83.9991805816878 747.432760125136</t>
  </si>
  <si>
    <t>-582.287369963826 105.882483116595 809.042328297957</t>
  </si>
  <si>
    <t>-550.402619318379 -119.305289145771 308.51215631945</t>
  </si>
  <si>
    <t>-616.290982981425 -127.690112347278 751.132371032377</t>
  </si>
  <si>
    <t>-503.414802363022 -208.184234037396 827.728415215529</t>
  </si>
  <si>
    <t>9763-20170724T105014.709633000.bin</t>
  </si>
  <si>
    <t>-628.16180129985 0.737984965560827 -91.2177113762664</t>
  </si>
  <si>
    <t>-613.177883735046 4.69977646631287 -551.911401047564</t>
  </si>
  <si>
    <t>-631.994692212048 140.868145970626 -549.535649044297</t>
  </si>
  <si>
    <t>-559.342991575434 192.591211097279 -269.111566587434</t>
  </si>
  <si>
    <t>-320.865303953741 224.026129904129 -282.933654913007</t>
  </si>
  <si>
    <t>-651.012609085613 89.9670394453178 -94.1841701380034</t>
  </si>
  <si>
    <t>-633.742982593768 87.0395005320975 308.988058306591</t>
  </si>
  <si>
    <t>-726.435760316442 84.0503595049581 747.438192769744</t>
  </si>
  <si>
    <t>-582.237144817042 106.473790213983 809.011468820368</t>
  </si>
  <si>
    <t>-550.516522064731 -119.997147979907 308.237958665782</t>
  </si>
  <si>
    <t>-616.15200783134 -128.195986971261 750.938914587037</t>
  </si>
  <si>
    <t>-503.333385334292 -208.378298640935 827.945738049138</t>
  </si>
  <si>
    <t>9763-20170724T105014.742742000.bin</t>
  </si>
  <si>
    <t>-611.219623925357 3.97351813543628 -551.908826947048</t>
  </si>
  <si>
    <t>-630.404172244913 140.098207089024 -549.765720442</t>
  </si>
  <si>
    <t>-558.719976668012 192.306453898191 -269.182588054587</t>
  </si>
  <si>
    <t>-320.183972045609 223.125542289308 -283.382415687716</t>
  </si>
  <si>
    <t>-650.778789304423 89.158459048082 -94.1523801673837</t>
  </si>
  <si>
    <t>-633.376500641176 86.5500998773318 309.016401165372</t>
  </si>
  <si>
    <t>-726.37206697578 84.0238348206744 747.376745924685</t>
  </si>
  <si>
    <t>-582.220393285995 106.788332583462 808.93476044905</t>
  </si>
  <si>
    <t>-550.353446540772 -120.45314712977 308.207593268524</t>
  </si>
  <si>
    <t>-616.123803589892 -128.528873010191 750.880856622729</t>
  </si>
  <si>
    <t>-503.202594178957 -208.405453196991 828.054804447679</t>
  </si>
  <si>
    <t>9763-20170724T105014.811914300.bin</t>
  </si>
  <si>
    <t>-608.676216316551 2.64876859538617 -551.872868718418</t>
  </si>
  <si>
    <t>-628.73213723736 138.622052418534 -549.817310595116</t>
  </si>
  <si>
    <t>-560.229029219189 192.046647026995 -268.669001646496</t>
  </si>
  <si>
    <t>-321.625497139713 222.905415993994 -281.591576819931</t>
  </si>
  <si>
    <t>-650.660776753779 87.8109419318291 -94.2654602777914</t>
  </si>
  <si>
    <t>-633.701281697341 85.7610719306017 308.925319299711</t>
  </si>
  <si>
    <t>-726.391854865239 84.3140387738204 747.26392541798</t>
  </si>
  <si>
    <t>-582.225973965076 107.001006527221 808.81723285509</t>
  </si>
  <si>
    <t>-549.625027255724 -121.400176146951 308.199028321534</t>
  </si>
  <si>
    <t>-615.976063841163 -128.734601650635 750.817991767194</t>
  </si>
  <si>
    <t>-503.284962013159 -208.734299150513 828.200714892788</t>
  </si>
  <si>
    <t>9763-20170724T105014.844005200.bin</t>
  </si>
  <si>
    <t>-608.60700413246 2.22589112476021 -551.903084313146</t>
  </si>
  <si>
    <t>-629.018634561253 138.159580308336 -549.68836810252</t>
  </si>
  <si>
    <t>-561.700207838757 190.799356311871 -268.106363038686</t>
  </si>
  <si>
    <t>-323.187330529362 222.595269817517 -280.41587205361</t>
  </si>
  <si>
    <t>-651.053323892451 87.2205181912273 -94.3226126100533</t>
  </si>
  <si>
    <t>-634.099071155619 85.3546926549889 308.869355367742</t>
  </si>
  <si>
    <t>-726.41279447023 84.5050780934243 747.243766223184</t>
  </si>
  <si>
    <t>-582.231640120066 107.068412611022 808.806572090333</t>
  </si>
  <si>
    <t>-549.315835798241 -121.747786339664 308.11478787015</t>
  </si>
  <si>
    <t>-615.880522606391 -128.649055624655 750.77501715489</t>
  </si>
  <si>
    <t>-503.309877815224 -208.766610315897 828.210993798483</t>
  </si>
  <si>
    <t>9763-20170724T105014.908176300.bin</t>
  </si>
  <si>
    <t>-609.615561879948 1.65199101280245 -552.042113802579</t>
  </si>
  <si>
    <t>-630.547016488481 137.484345400629 -549.032620017178</t>
  </si>
  <si>
    <t>-563.108000868272 189.337400400737 -267.333479583869</t>
  </si>
  <si>
    <t>-324.719158656405 222.47596415421 -278.446809804104</t>
  </si>
  <si>
    <t>-651.373052051355 85.6216198695852 -94.3193865348568</t>
  </si>
  <si>
    <t>-634.22192242654 84.4911507394575 308.866932845755</t>
  </si>
  <si>
    <t>-726.36067418106 84.6171290992279 747.281728642057</t>
  </si>
  <si>
    <t>-582.191373137441 107.27523034202 808.837675436831</t>
  </si>
  <si>
    <t>-548.962656808771 -122.810076544569 307.937899341729</t>
  </si>
  <si>
    <t>-615.913129670829 -129.037597559288 750.658703104735</t>
  </si>
  <si>
    <t>-503.062950684766 -208.6720827453 828.186052910367</t>
  </si>
  <si>
    <t>9763-20170724T105014.945867900.bin</t>
  </si>
  <si>
    <t>-610.732940993415 1.30124885718715 -552.070504096731</t>
  </si>
  <si>
    <t>-631.718504945888 137.121184543391 -548.57522340168</t>
  </si>
  <si>
    <t>-564.24859349788 189.135909084981 -266.913242900252</t>
  </si>
  <si>
    <t>-325.847282497825 222.475154057625 -277.119703349569</t>
  </si>
  <si>
    <t>-651.747922615776 84.6657513809582 -94.2715288304532</t>
  </si>
  <si>
    <t>-634.129337337109 83.956621711116 308.895684805884</t>
  </si>
  <si>
    <t>-726.353640899904 84.6585330321684 747.308581423289</t>
  </si>
  <si>
    <t>-582.187289062815 107.395109334438 808.842492630399</t>
  </si>
  <si>
    <t>-548.782027192891 -123.498960229042 307.946511057957</t>
  </si>
  <si>
    <t>-615.880326167627 -129.183105457071 750.607188965155</t>
  </si>
  <si>
    <t>-502.870997948153 -208.538867270539 828.188454819053</t>
  </si>
  <si>
    <t>9763-20170724T105015.012044700.bin</t>
  </si>
  <si>
    <t>-634.284400778942 135.563185103664 -547.180633997877</t>
  </si>
  <si>
    <t>-568.140035656774 187.392624698265 -265.170301284725</t>
  </si>
  <si>
    <t>-329.53990812624 219.898672798508 -273.183412464499</t>
  </si>
  <si>
    <t>-652.485017233963 82.063176866021 -94.2306220690442</t>
  </si>
  <si>
    <t>-634.285025684814 82.4182931943867 308.911188175604</t>
  </si>
  <si>
    <t>-726.436543354041 84.9223831480372 747.277553952608</t>
  </si>
  <si>
    <t>-582.247358290628 107.616693253513 808.7732846013</t>
  </si>
  <si>
    <t>-547.830896655409 -124.885854467365 308.102181238066</t>
  </si>
  <si>
    <t>-615.618098156633 -128.858581564454 750.615189043142</t>
  </si>
  <si>
    <t>-502.881925148241 -208.565471868183 828.233664153814</t>
  </si>
  <si>
    <t>9763-20170724T105015.045156500.bin</t>
  </si>
  <si>
    <t>-635.970971583459 134.390878959635 -546.351442817562</t>
  </si>
  <si>
    <t>-570.439525273748 184.629429588225 -263.91040281733</t>
  </si>
  <si>
    <t>-331.851296695576 217.29410581411 -271.630192645708</t>
  </si>
  <si>
    <t>-652.950495954762 80.4130754288519 -94.321913673503</t>
  </si>
  <si>
    <t>-634.632783528283 81.4750231473006 308.813311718103</t>
  </si>
  <si>
    <t>-726.414807602436 85.0223418137887 747.203878620209</t>
  </si>
  <si>
    <t>-582.240524052138 107.725302495833 808.731630523043</t>
  </si>
  <si>
    <t>-547.280901258214 -125.469845936107 308.225082138417</t>
  </si>
  <si>
    <t>-615.513394930429 -128.486974438125 750.656936227106</t>
  </si>
  <si>
    <t>-502.909725102768 -208.464627391144 828.189297675559</t>
  </si>
  <si>
    <t>9763-20170724T105015.115845300.bin</t>
  </si>
  <si>
    <t>-639.634652401826 131.601367389326 -544.437215135881</t>
  </si>
  <si>
    <t>-574.409254713507 178.427824074647 -261.339784421035</t>
  </si>
  <si>
    <t>-335.771812282679 210.971343704814 -267.968968990455</t>
  </si>
  <si>
    <t>-653.537088561664 76.7204146976842 -94.5299191391833</t>
  </si>
  <si>
    <t>-635.046555121553 79.2192255003536 308.591131404762</t>
  </si>
  <si>
    <t>-726.290245416838 85.0294487028448 747.067053327582</t>
  </si>
  <si>
    <t>-582.187991235141 108.049487744339 808.645509958234</t>
  </si>
  <si>
    <t>-546.204898790668 -127.154335291591 308.47510653463</t>
  </si>
  <si>
    <t>-615.770092030525 -128.436353506864 750.895699390544</t>
  </si>
  <si>
    <t>-502.792124649403 -208.300843494518 827.999189807075</t>
  </si>
  <si>
    <t>9763-20170724T105015.145444300.bin</t>
  </si>
  <si>
    <t>-641.870988739625 130.366717592837 -543.361867600325</t>
  </si>
  <si>
    <t>-577.809353993668 176.465643784883 -259.879543441332</t>
  </si>
  <si>
    <t>-339.070454337584 208.610384232898 -264.496201286954</t>
  </si>
  <si>
    <t>-653.952854190318 74.943502984408 -94.588390475255</t>
  </si>
  <si>
    <t>-635.299341058627 78.184678457347 308.519777608176</t>
  </si>
  <si>
    <t>-726.284867359257 85.119781775539 747.007364848058</t>
  </si>
  <si>
    <t>-582.196379358573 108.159569139147 808.610598360306</t>
  </si>
  <si>
    <t>-546.119130726968 -128.02245985952 308.628434783934</t>
  </si>
  <si>
    <t>-615.87135028745 -128.319608428403 751.042195540687</t>
  </si>
  <si>
    <t>-502.948305747187 -208.485407711437 827.912843483138</t>
  </si>
  <si>
    <t>9763-20170724T105015.210606300.bin</t>
  </si>
  <si>
    <t>-646.024033200744 127.861011516522 -541.813297902871</t>
  </si>
  <si>
    <t>-592.586773076007 172.724726730801 -255.941079164305</t>
  </si>
  <si>
    <t>-353.247129898157 199.88486008737 -250.487549374701</t>
  </si>
  <si>
    <t>-653.892856418008 71.8207375853528 -94.6394890399772</t>
  </si>
  <si>
    <t>-635.364056498229 76.3392604654505 308.462136035867</t>
  </si>
  <si>
    <t>-726.32217560848 85.3710267331642 746.873565197387</t>
  </si>
  <si>
    <t>-582.221792723435 108.209045748159 808.524112179819</t>
  </si>
  <si>
    <t>-546.922469299888 -129.394909077291 309.019288162755</t>
  </si>
  <si>
    <t>-616.321006349818 -128.310088547237 751.54979040005</t>
  </si>
  <si>
    <t>-502.888396460633 -208.421336208414 827.724211339034</t>
  </si>
  <si>
    <t>9763-20170724T105015.243430700.bin</t>
  </si>
  <si>
    <t>-647.23652565388 126.828294030197 -541.061382826316</t>
  </si>
  <si>
    <t>-604.177185755203 170.261620850971 -253.223541892351</t>
  </si>
  <si>
    <t>-364.676232522232 193.466403748348 -240.906343840809</t>
  </si>
  <si>
    <t>-653.810817709235 70.5378424236264 -94.5763990155642</t>
  </si>
  <si>
    <t>-635.438149786077 75.4784784461081 308.527402402761</t>
  </si>
  <si>
    <t>-726.325817795882 85.3776565801279 746.8957064956</t>
  </si>
  <si>
    <t>-582.228135431401 108.312326108348 808.516719081207</t>
  </si>
  <si>
    <t>-547.72684655405 -130.324122678591 309.192810227031</t>
  </si>
  <si>
    <t>-616.807246406222 -128.825164824494 751.880409357381</t>
  </si>
  <si>
    <t>-502.66847974358 -208.34640637628 827.616683593597</t>
  </si>
  <si>
    <t>9763-20170724T105015.309615200.bin</t>
  </si>
  <si>
    <t>-648.730566931257 127.363862469573 -539.449535849112</t>
  </si>
  <si>
    <t>-622.858288462023 163.986570819955 -248.62215450511</t>
  </si>
  <si>
    <t>-383.684892847402 180.85498997143 -224.906345672062</t>
  </si>
  <si>
    <t>-654.864258821837 69.0464017840884 -94.4240064230688</t>
  </si>
  <si>
    <t>-636.287305792948 74.7344052233398 308.660643118455</t>
  </si>
  <si>
    <t>-726.457331188781 85.5599733623042 747.066377860951</t>
  </si>
  <si>
    <t>-582.277029443488 108.220147232109 808.595479445395</t>
  </si>
  <si>
    <t>-549.33964464152 -131.912639888142 309.548068288822</t>
  </si>
  <si>
    <t>-617.241094709301 -128.942099797409 752.403864279112</t>
  </si>
  <si>
    <t>-502.999483200024 -208.913002495856 827.509081617865</t>
  </si>
  <si>
    <t>9763-20170724T105015.348721900.bin</t>
  </si>
  <si>
    <t>-649.667723558024 127.501181373873 -538.453077657334</t>
  </si>
  <si>
    <t>-626.021442653762 160.159466326553 -246.964608741105</t>
  </si>
  <si>
    <t>-386.740634127481 175.424346378158 -223.246273985457</t>
  </si>
  <si>
    <t>-655.546239167391 68.0996058738447 -94.3958177693582</t>
  </si>
  <si>
    <t>-636.965144439548 74.4176458061145 308.679232256103</t>
  </si>
  <si>
    <t>-726.50528511011 85.6475094196833 747.123402776827</t>
  </si>
  <si>
    <t>-582.335629786932 108.455570990503 808.622825342117</t>
  </si>
  <si>
    <t>-549.961570351497 -132.564914948772 309.769056217723</t>
  </si>
  <si>
    <t>-617.435958409648 -129.089144211002 752.638557041099</t>
  </si>
  <si>
    <t>-502.901311631445 -208.892765306544 827.475022387992</t>
  </si>
  <si>
    <t>9763-20170724T105015.409904800.bin</t>
  </si>
  <si>
    <t>-651.258820125712 126.071618473519 -537.540058451271</t>
  </si>
  <si>
    <t>-623.145914924901 154.986008844359 -246.052733532138</t>
  </si>
  <si>
    <t>-383.559276104479 167.543808785678 -223.883604606712</t>
  </si>
  <si>
    <t>-656.047732750981 65.8383295877638 -94.5804051169391</t>
  </si>
  <si>
    <t>-638.335363583671 73.4508191332848 308.511421683128</t>
  </si>
  <si>
    <t>-726.559989085843 85.8058578818768 747.155995356692</t>
  </si>
  <si>
    <t>-582.374891232144 108.494888384293 808.663316648315</t>
  </si>
  <si>
    <t>-551.258000070964 -133.469958686712 309.98716126087</t>
  </si>
  <si>
    <t>-617.845321996819 -129.682618096919 753.018230606485</t>
  </si>
  <si>
    <t>-502.425206039401 -208.589346795431 827.443968818736</t>
  </si>
  <si>
    <t>9763-20170724T105015.448766100.bin</t>
  </si>
  <si>
    <t>-651.792473124992 125.079711182684 -537.710280587771</t>
  </si>
  <si>
    <t>-620.655971495953 153.932165936179 -246.524296030226</t>
  </si>
  <si>
    <t>-380.778200571985 166.76184549052 -227.952618207658</t>
  </si>
  <si>
    <t>-656.153743629266 65.0162735377858 -94.7419203594003</t>
  </si>
  <si>
    <t>-639.037347007418 73.0423559922185 308.36759880962</t>
  </si>
  <si>
    <t>-726.595483701476 85.8917211675914 747.167174358455</t>
  </si>
  <si>
    <t>-582.408498790737 108.551173384538 808.681291386079</t>
  </si>
  <si>
    <t>-551.833345110177 -133.684943306165 309.97121626032</t>
  </si>
  <si>
    <t>-617.800090209997 -129.615865945689 753.083770339268</t>
  </si>
  <si>
    <t>-502.742397579529 -209.062526508503 827.496564749607</t>
  </si>
  <si>
    <t>9763-20170724T105015.516449500.bin</t>
  </si>
  <si>
    <t>-652.268954224243 122.824203155249 -538.178487770132</t>
  </si>
  <si>
    <t>-615.176198407798 152.907405415096 -247.816044697204</t>
  </si>
  <si>
    <t>-374.859286380565 166.834701661116 -237.583951484141</t>
  </si>
  <si>
    <t>-655.797605798476 63.6333161318928 -94.858668365922</t>
  </si>
  <si>
    <t>-639.98235300612 71.9541813470073 308.2980389216</t>
  </si>
  <si>
    <t>-726.660674629772 85.9868478569485 747.266997863527</t>
  </si>
  <si>
    <t>-582.488027004091 108.767697127749 808.7696223502</t>
  </si>
  <si>
    <t>-552.447016000234 -134.674095457165 310.016134833108</t>
  </si>
  <si>
    <t>-617.915726880055 -130.034363407754 753.222216929493</t>
  </si>
  <si>
    <t>-502.335771981073 -208.822996696762 827.525159801951</t>
  </si>
  <si>
    <t>9763-20170724T105015.546645600.bin</t>
  </si>
  <si>
    <t>-652.244617896727 122.190531766652 -538.350439454602</t>
  </si>
  <si>
    <t>-612.07264072642 153.64600173148 -248.543530584516</t>
  </si>
  <si>
    <t>-371.65624826591 168.538617393375 -243.152172341561</t>
  </si>
  <si>
    <t>-655.284179902699 63.0710838428954 -94.7957448621052</t>
  </si>
  <si>
    <t>-640.027330582844 71.72914074951 308.375358453607</t>
  </si>
  <si>
    <t>-726.616333571196 85.853576294857 747.343583707695</t>
  </si>
  <si>
    <t>-582.474299928419 108.911665420761 808.81474111616</t>
  </si>
  <si>
    <t>-552.390094720403 -135.242030573859 310.03002640099</t>
  </si>
  <si>
    <t>-617.915374611941 -130.110901940158 753.260307444788</t>
  </si>
  <si>
    <t>-502.248936493307 -208.809033376684 827.524514664518</t>
  </si>
  <si>
    <t>9763-20170724T105015.611826900.bin</t>
  </si>
  <si>
    <t>-651.69761291896 121.587452055287 -538.623018302177</t>
  </si>
  <si>
    <t>-606.985921809043 155.448298496547 -249.753472410437</t>
  </si>
  <si>
    <t>-366.577088886475 171.393604722675 -250.186266321527</t>
  </si>
  <si>
    <t>-653.641723666978 62.6504762773116 -94.4904368436454</t>
  </si>
  <si>
    <t>-638.780324612965 71.5935983994193 308.689235950151</t>
  </si>
  <si>
    <t>-726.734138053025 85.9115661606688 747.436141033879</t>
  </si>
  <si>
    <t>-582.578228726516 109.134491900832 808.812436599026</t>
  </si>
  <si>
    <t>-551.878640214548 -135.993453961114 310.127632836759</t>
  </si>
  <si>
    <t>-617.84996559615 -130.305370014147 753.242953029682</t>
  </si>
  <si>
    <t>-502.029560232328 -208.742421076749 827.543521262652</t>
  </si>
  <si>
    <t>9763-20170724T105015.644523300.bin</t>
  </si>
  <si>
    <t>-651.324837410918 121.234728771602 -538.767086313711</t>
  </si>
  <si>
    <t>-605.776512919989 156.076060316768 -250.145100495534</t>
  </si>
  <si>
    <t>-365.380113602314 172.148317980355 -251.614333896188</t>
  </si>
  <si>
    <t>-652.948684808191 62.6237167751772 -94.4012879621243</t>
  </si>
  <si>
    <t>-638.213432460513 71.3682948572625 308.787334155599</t>
  </si>
  <si>
    <t>-726.751153186793 85.8465523678997 747.428891856777</t>
  </si>
  <si>
    <t>-582.616719700328 109.314554570655 808.762374732006</t>
  </si>
  <si>
    <t>-551.691992383612 -136.138456847798 310.17743299985</t>
  </si>
  <si>
    <t>-617.785540616308 -130.434948611755 753.211983514481</t>
  </si>
  <si>
    <t>-501.901734625059 -208.718411947505 827.575426494669</t>
  </si>
  <si>
    <t>9763-20170724T105015.709693700.bin</t>
  </si>
  <si>
    <t>-651.058940925725 121.002108105427 -538.827268489014</t>
  </si>
  <si>
    <t>-603.378498367756 156.260939444873 -250.60068294107</t>
  </si>
  <si>
    <t>-363.04368868971 172.93244806038 -254.077855972933</t>
  </si>
  <si>
    <t>-651.69699717857 62.7943122063355 -94.381073646235</t>
  </si>
  <si>
    <t>-637.580870056904 71.3032459769952 308.83481265845</t>
  </si>
  <si>
    <t>-726.727200006765 85.7495340186188 747.323927152598</t>
  </si>
  <si>
    <t>-582.635254570872 109.501258006535 808.648331592263</t>
  </si>
  <si>
    <t>-550.776542851926 -136.182673783507 310.221849040836</t>
  </si>
  <si>
    <t>-617.568160302681 -130.309015343793 753.124194178116</t>
  </si>
  <si>
    <t>-501.974482410927 -208.890126126979 827.62532662635</t>
  </si>
  <si>
    <t>9763-20170724T105015.746803100.bin</t>
  </si>
  <si>
    <t>-650.960131718986 120.893888567244 -538.769554474833</t>
  </si>
  <si>
    <t>-601.454826479407 156.337673871376 -250.873572236343</t>
  </si>
  <si>
    <t>-361.163520428688 173.271255634485 -255.798093689921</t>
  </si>
  <si>
    <t>-650.943681774896 62.7013167922014 -94.3988948918975</t>
  </si>
  <si>
    <t>-637.130887993007 71.3166798937787 308.82517572871</t>
  </si>
  <si>
    <t>-726.708426107416 85.7420411785172 747.237415617902</t>
  </si>
  <si>
    <t>-582.661643233574 109.724941724136 808.577714057336</t>
  </si>
  <si>
    <t>-550.239115173632 -136.087853096326 310.250482934701</t>
  </si>
  <si>
    <t>-617.453434739609 -130.205163494164 753.089380464021</t>
  </si>
  <si>
    <t>-502.123321628832 -209.116513541635 827.649929251871</t>
  </si>
  <si>
    <t>9763-20170724T105015.809971700.bin</t>
  </si>
  <si>
    <t>-650.206804941683 120.429303582383 -538.987967665291</t>
  </si>
  <si>
    <t>-596.938835117888 157.223676261111 -251.934049782354</t>
  </si>
  <si>
    <t>-356.744450031733 174.794407340099 -258.919839014513</t>
  </si>
  <si>
    <t>-649.390726944776 62.7459806524716 -94.5257253055449</t>
  </si>
  <si>
    <t>-636.28946590049 71.2413642450399 308.72460973322</t>
  </si>
  <si>
    <t>-726.707461563097 85.7935058776447 747.000567909342</t>
  </si>
  <si>
    <t>-582.718619012429 110.0091777186 808.38547956956</t>
  </si>
  <si>
    <t>-549.416214933523 -136.03899246029 310.284436710135</t>
  </si>
  <si>
    <t>-617.315015535597 -130.265097017748 753.010178181617</t>
  </si>
  <si>
    <t>-502.02067454945 -209.142955922695 827.661260311905</t>
  </si>
  <si>
    <t>9763-20170724T105015.842606100.bin</t>
  </si>
  <si>
    <t>-649.909278424653 120.27693154364 -539.247070516193</t>
  </si>
  <si>
    <t>-595.152916898309 158.004470518895 -252.594653797227</t>
  </si>
  <si>
    <t>-354.993487549396 175.92800509465 -259.879480727511</t>
  </si>
  <si>
    <t>-648.933689504169 62.9740011743831 -94.5872761405805</t>
  </si>
  <si>
    <t>-636.000097016353 71.1911259437768 308.674244391254</t>
  </si>
  <si>
    <t>-726.680414547384 85.7583459861021 746.911181995544</t>
  </si>
  <si>
    <t>-582.705484922726 110.004584826621 808.316600578844</t>
  </si>
  <si>
    <t>-549.177700614139 -136.070663784331 310.254516443244</t>
  </si>
  <si>
    <t>-617.300383733827 -130.424252125515 752.967146306127</t>
  </si>
  <si>
    <t>-501.911121406301 -209.126586542251 827.657101367653</t>
  </si>
  <si>
    <t>9763-20170724T105015.911790600.bin</t>
  </si>
  <si>
    <t>-650.117351192085 120.341180346694 -539.738645709744</t>
  </si>
  <si>
    <t>-592.344549108353 160.813928269028 -254.054535580421</t>
  </si>
  <si>
    <t>-352.232569063926 178.942661298634 -262.327982727134</t>
  </si>
  <si>
    <t>-648.472674034852 63.7025876509488 -94.614634875753</t>
  </si>
  <si>
    <t>-635.649613941726 71.4196449679159 308.660328787066</t>
  </si>
  <si>
    <t>-726.778241460274 85.9348061617209 746.821894459678</t>
  </si>
  <si>
    <t>-582.741884666872 109.740090964264 808.255743725031</t>
  </si>
  <si>
    <t>-549.088078427848 -135.906528952499 310.222452971988</t>
  </si>
  <si>
    <t>-617.282306141326 -130.569875942089 752.946404665697</t>
  </si>
  <si>
    <t>-501.740487940031 -209.054671921873 827.62908607166</t>
  </si>
  <si>
    <t>9763-20170724T105015.944928500.bin</t>
  </si>
  <si>
    <t>-650.152095078967 120.469684621993 -539.920663773393</t>
  </si>
  <si>
    <t>-590.496984468322 162.094571121016 -254.789242667956</t>
  </si>
  <si>
    <t>-350.429242372824 180.569031562435 -263.565028599574</t>
  </si>
  <si>
    <t>-648.008058278118 64.0399885170318 -94.5952433658903</t>
  </si>
  <si>
    <t>-635.411707753746 71.4602135286523 308.69238370919</t>
  </si>
  <si>
    <t>-726.688694048928 85.6939510235293 746.808082073132</t>
  </si>
  <si>
    <t>-582.730038787797 109.984986924816 808.234055796022</t>
  </si>
  <si>
    <t>-549.221649296488 -135.815738259746 310.237427436966</t>
  </si>
  <si>
    <t>-617.367040157323 -130.851420784877 752.962492761258</t>
  </si>
  <si>
    <t>-501.646902855987 -209.104556128923 827.612207840345</t>
  </si>
  <si>
    <t>9763-20170724T105016.016125100.bin</t>
  </si>
  <si>
    <t>-649.606099701811 120.860625783004 -540.473320932761</t>
  </si>
  <si>
    <t>-585.568013361978 165.721021819815 -256.787052340119</t>
  </si>
  <si>
    <t>-345.623855770104 185.353229008642 -266.393789630385</t>
  </si>
  <si>
    <t>-646.744233629309 65.1062927926414 -94.5969528334432</t>
  </si>
  <si>
    <t>-634.799122954977 72.1169954729778 308.717868277764</t>
  </si>
  <si>
    <t>-726.793968607073 85.8907817899362 746.735846119377</t>
  </si>
  <si>
    <t>-582.790373917349 109.904576631167 808.165669802335</t>
  </si>
  <si>
    <t>-549.107862793848 -135.316773128521 310.270937255667</t>
  </si>
  <si>
    <t>-617.225620920856 -130.669527294289 752.935241806521</t>
  </si>
  <si>
    <t>-501.728132173344 -209.239688522075 827.596699918062</t>
  </si>
  <si>
    <t>9763-20170724T105016.046255200.bin</t>
  </si>
  <si>
    <t>-649.245540499487 120.849011162777 -540.928176384476</t>
  </si>
  <si>
    <t>-582.843952485003 167.637834091558 -258.098060727399</t>
  </si>
  <si>
    <t>-342.94870002503 188.007888820016 -267.380338385387</t>
  </si>
  <si>
    <t>-646.057989794803 65.8104987847209 -94.6211399356296</t>
  </si>
  <si>
    <t>-634.285447819309 72.4753114732121 308.704611838132</t>
  </si>
  <si>
    <t>-726.844922526347 86.0047224171601 746.659619621225</t>
  </si>
  <si>
    <t>-582.824909011209 109.957657215172 808.074338131357</t>
  </si>
  <si>
    <t>-548.767748591589 -134.987015790561 310.271895696049</t>
  </si>
  <si>
    <t>-617.108472977416 -130.539163040035 752.896038423705</t>
  </si>
  <si>
    <t>-501.926512737305 -209.517754685199 827.614167560707</t>
  </si>
  <si>
    <t>9763-20170724T105016.112439000.bin</t>
  </si>
  <si>
    <t>-648.897394117486 120.35307389882 -541.973494374097</t>
  </si>
  <si>
    <t>-577.483027005261 171.710326957149 -261.164546840353</t>
  </si>
  <si>
    <t>-337.686656558335 193.366159551356 -270.084877912355</t>
  </si>
  <si>
    <t>-644.389864523436 67.0724524892746 -94.7368098453302</t>
  </si>
  <si>
    <t>-633.634735605443 73.1258738191802 308.626955797267</t>
  </si>
  <si>
    <t>-726.833431232098 86.0288527522307 746.488270295006</t>
  </si>
  <si>
    <t>-582.844501033296 110.235890868056 807.876371644773</t>
  </si>
  <si>
    <t>-548.144972067516 -134.358037750665 310.248158435177</t>
  </si>
  <si>
    <t>-616.874154308807 -130.290326688363 752.787406431367</t>
  </si>
  <si>
    <t>-502.070458746186 -209.69766505263 827.633022167516</t>
  </si>
  <si>
    <t>9763-20170724T105016.149035100.bin</t>
  </si>
  <si>
    <t>-648.689859757317 119.885874753281 -542.618611455777</t>
  </si>
  <si>
    <t>-574.710887414077 173.486147753685 -262.894951758975</t>
  </si>
  <si>
    <t>-334.983955914303 196.061029437799 -271.395929030697</t>
  </si>
  <si>
    <t>-643.342564620796 67.6329187546362 -94.8296063622662</t>
  </si>
  <si>
    <t>-633.404556982783 73.4846094512552 308.558106083389</t>
  </si>
  <si>
    <t>-726.832842158188 86.077956331176 746.398469644353</t>
  </si>
  <si>
    <t>-582.887900700453 110.551863181108 807.78389174818</t>
  </si>
  <si>
    <t>-547.81014336358 -134.115085638728 310.255269377594</t>
  </si>
  <si>
    <t>-616.841057720352 -130.413288523871 752.731238582707</t>
  </si>
  <si>
    <t>-502.197269022885 -209.985475868685 827.646924862373</t>
  </si>
  <si>
    <t>9763-20170724T105016.211199400.bin</t>
  </si>
  <si>
    <t>-648.713111116278 118.752220776696 -543.927763328662</t>
  </si>
  <si>
    <t>-569.079965950788 177.167813122226 -266.732294352373</t>
  </si>
  <si>
    <t>-329.435712394064 200.999093550724 -274.049872288888</t>
  </si>
  <si>
    <t>-641.998349447297 68.9328795708727 -94.8770331087228</t>
  </si>
  <si>
    <t>-632.331577922417 74.1213998400144 308.526388688289</t>
  </si>
  <si>
    <t>-726.866863905522 86.2432780789018 746.240948868998</t>
  </si>
  <si>
    <t>-582.877070898155 110.469112492872 807.619622895572</t>
  </si>
  <si>
    <t>-546.843024082742 -133.829871878974 310.28403421418</t>
  </si>
  <si>
    <t>-616.681598675834 -130.357596595032 752.613878266725</t>
  </si>
  <si>
    <t>-502.081671014238 -209.895485052174 827.633107747826</t>
  </si>
  <si>
    <t>9763-20170724T105016.245917300.bin</t>
  </si>
  <si>
    <t>-648.526112927929 118.215092223841 -544.544675469903</t>
  </si>
  <si>
    <t>-566.066152536144 179.227805178456 -268.738693613144</t>
  </si>
  <si>
    <t>-326.442266536013 203.498916525996 -275.23436558875</t>
  </si>
  <si>
    <t>-641.250643780025 69.466754336509 -94.8243737187934</t>
  </si>
  <si>
    <t>-631.635416363401 74.3097180116588 308.584642072093</t>
  </si>
  <si>
    <t>-726.856933803797 86.2658309235719 746.170117881067</t>
  </si>
  <si>
    <t>-582.884974304151 110.611855499761 807.543033147967</t>
  </si>
  <si>
    <t>-546.290383526356 -133.71457468131 310.305161054135</t>
  </si>
  <si>
    <t>-616.683248720896 -130.505726122682 752.564281106725</t>
  </si>
  <si>
    <t>-502.172993723217 -210.130060505004 827.628558639519</t>
  </si>
  <si>
    <t>9763-20170724T105016.312081400.bin</t>
  </si>
  <si>
    <t>-648.214704730957 116.709787524313 -545.955781645438</t>
  </si>
  <si>
    <t>-560.49240005192 182.320401231296 -272.841652213664</t>
  </si>
  <si>
    <t>-320.936247749186 207.675285585103 -277.407982327289</t>
  </si>
  <si>
    <t>-639.933635244468 70.238683871147 -94.7908208422781</t>
  </si>
  <si>
    <t>-630.852664658378 74.575677723743 308.636263843944</t>
  </si>
  <si>
    <t>-726.845714784682 86.3466760946483 746.08175198845</t>
  </si>
  <si>
    <t>-582.891169916951 110.856881629835 807.430325132</t>
  </si>
  <si>
    <t>-545.572102114785 -133.656374911747 310.301550703155</t>
  </si>
  <si>
    <t>-616.63898590464 -130.726199779246 752.422980758452</t>
  </si>
  <si>
    <t>-501.886172954474 -209.908380203819 827.584604950169</t>
  </si>
  <si>
    <t>9763-20170724T105016.344963300.bin</t>
  </si>
  <si>
    <t>-648.214895087194 116.00290359353 -546.688588532108</t>
  </si>
  <si>
    <t>-558.38812682148 183.724001522421 -274.776420587833</t>
  </si>
  <si>
    <t>-318.901670265941 209.875169069301 -278.415660573911</t>
  </si>
  <si>
    <t>-639.602349381085 70.7997077747996 -94.7894571305609</t>
  </si>
  <si>
    <t>-630.625299181756 74.7404620902296 308.643967547032</t>
  </si>
  <si>
    <t>-726.890540862212 86.4935853083025 746.061076408961</t>
  </si>
  <si>
    <t>-582.885595745331 110.75651416457 807.389828596775</t>
  </si>
  <si>
    <t>-545.347910091752 -133.553859078196 310.296284758378</t>
  </si>
  <si>
    <t>-616.582976098535 -130.723647701649 752.355479870235</t>
  </si>
  <si>
    <t>-501.917992359008 -209.974567315322 827.57876843689</t>
  </si>
  <si>
    <t>9763-20170724T105016.408130500.bin</t>
  </si>
  <si>
    <t>-649.027994215495 114.730144140295 -548.085505380379</t>
  </si>
  <si>
    <t>-556.130476230189 185.449049965068 -277.974186680815</t>
  </si>
  <si>
    <t>-316.976688491387 214.597091345437 -280.568734483726</t>
  </si>
  <si>
    <t>-639.365739246845 71.6119149271092 -94.8623931294673</t>
  </si>
  <si>
    <t>-630.5925787027 75.078912770846 308.579885815793</t>
  </si>
  <si>
    <t>-726.869499429452 86.6317789545201 746.009217633105</t>
  </si>
  <si>
    <t>-582.891247569559 111.119522476052 807.31115444755</t>
  </si>
  <si>
    <t>-545.082093300302 -133.315765812275 310.193152553578</t>
  </si>
  <si>
    <t>-616.495761259935 -130.844748977748 752.187053625164</t>
  </si>
  <si>
    <t>-502.138989548409 -210.377798153506 827.581584824398</t>
  </si>
  <si>
    <t>9763-20170724T105016.447839000.bin</t>
  </si>
  <si>
    <t>-649.845902220276 113.774579168253 -548.74176019442</t>
  </si>
  <si>
    <t>-556.166905079202 185.937645893652 -279.283260647364</t>
  </si>
  <si>
    <t>-317.128861469871 216.054119156301 -281.443258254811</t>
  </si>
  <si>
    <t>-639.665144484621 72.0455393981683 -94.9986267093343</t>
  </si>
  <si>
    <t>-630.982784983496 75.2269782800363 308.447992568836</t>
  </si>
  <si>
    <t>-726.885115777352 86.8701553710068 745.940936716287</t>
  </si>
  <si>
    <t>-582.888533846794 111.179965841015 807.27029137035</t>
  </si>
  <si>
    <t>-545.041413217866 -133.429001284411 310.090641433272</t>
  </si>
  <si>
    <t>-616.533186019038 -131.168888761712 752.091809415521</t>
  </si>
  <si>
    <t>-501.776649064258 -210.049430297928 827.564403092126</t>
  </si>
  <si>
    <t>9763-20170724T105016.511007600.bin</t>
  </si>
  <si>
    <t>-651.997650169442 110.734870164943 -550.189641072514</t>
  </si>
  <si>
    <t>-559.083689331778 183.593576920515 -280.65333646274</t>
  </si>
  <si>
    <t>-320.50174743533 217.134797040635 -282.783135265009</t>
  </si>
  <si>
    <t>-642.23761272338 72.4910494989595 -95.5210509302276</t>
  </si>
  <si>
    <t>-633.429811834603 75.2786839675489 307.925728231435</t>
  </si>
  <si>
    <t>-726.904312671721 87.1981764308819 745.962663628672</t>
  </si>
  <si>
    <t>-582.882182817947 111.333124013654 807.301518694476</t>
  </si>
  <si>
    <t>-544.660654692605 -133.129766916065 309.786449345182</t>
  </si>
  <si>
    <t>-616.2283152866 -130.881225243404 751.781471917683</t>
  </si>
  <si>
    <t>-501.956215297152 -210.166523077894 827.564217852221</t>
  </si>
  <si>
    <t>9763-20170724T105016.541114100.bin</t>
  </si>
  <si>
    <t>-652.920367726382 109.088043024776 -550.652838549629</t>
  </si>
  <si>
    <t>-562.714923822805 180.869484005361 -279.910135791737</t>
  </si>
  <si>
    <t>-324.267619289956 215.378826478902 -281.609726093331</t>
  </si>
  <si>
    <t>-645.014686793811 72.8760883851455 -95.8157786622747</t>
  </si>
  <si>
    <t>-635.134378331519 75.147038958969 307.609436710795</t>
  </si>
  <si>
    <t>-727.003723161144 87.5043782663417 746.039591960342</t>
  </si>
  <si>
    <t>-582.877005318325 111.028052565884 807.369956007874</t>
  </si>
  <si>
    <t>-544.991266623181 -132.589923855397 309.627820196203</t>
  </si>
  <si>
    <t>-616.193820887982 -130.881748119031 751.658296747854</t>
  </si>
  <si>
    <t>-502.028791050173 -210.208600644182 827.558722447736</t>
  </si>
  <si>
    <t>9763-20170724T105016.612304700.bin</t>
  </si>
  <si>
    <t>-654.430428523913 107.617186906466 -550.812805096196</t>
  </si>
  <si>
    <t>-572.612506640415 177.422212060209 -276.907243347241</t>
  </si>
  <si>
    <t>-334.098823082208 211.480225561305 -278.365135690335</t>
  </si>
  <si>
    <t>-650.255640072926 71.7509018957242 -96.3168837256727</t>
  </si>
  <si>
    <t>-637.970182657395 74.9220624644784 307.036157848096</t>
  </si>
  <si>
    <t>-726.8689091778 87.5330719179606 746.049033397278</t>
  </si>
  <si>
    <t>-582.833627483416 111.481563459193 807.429887413134</t>
  </si>
  <si>
    <t>-546.993007344201 -131.7419231844 309.05534558539</t>
  </si>
  <si>
    <t>-616.03864341631 -130.68555453806 751.427876313971</t>
  </si>
  <si>
    <t>-502.095244828894 -210.097099833364 827.572306542161</t>
  </si>
  <si>
    <t>9763-20170724T105016.645399200.bin</t>
  </si>
  <si>
    <t>-654.597082579195 107.481556596621 -550.678801610702</t>
  </si>
  <si>
    <t>-577.088253947299 175.965049744936 -275.190822771172</t>
  </si>
  <si>
    <t>-338.567986977079 210.007951713856 -275.381679812067</t>
  </si>
  <si>
    <t>-652.602363718574 71.0960974332918 -96.46295502601</t>
  </si>
  <si>
    <t>-639.095993860471 74.741837568492 306.847079971984</t>
  </si>
  <si>
    <t>-726.846504514733 87.6421345977569 746.062059609616</t>
  </si>
  <si>
    <t>-582.781744779584 111.280172591018 807.493944023973</t>
  </si>
  <si>
    <t>-548.320039982373 -131.505660264734 308.816824839297</t>
  </si>
  <si>
    <t>-616.136791700548 -130.75877185897 751.423899122533</t>
  </si>
  <si>
    <t>-502.176087498357 -210.136057776924 827.578463058366</t>
  </si>
  <si>
    <t>9763-20170724T105016.712577400.bin</t>
  </si>
  <si>
    <t>-654.951568355102 108.359355187063 -550.177859841874</t>
  </si>
  <si>
    <t>-585.804734621359 172.447150897749 -271.42584622173</t>
  </si>
  <si>
    <t>-347.37795577677 206.947068799651 -267.778819164167</t>
  </si>
  <si>
    <t>-657.131647271233 69.8561627430058 -96.7371822260824</t>
  </si>
  <si>
    <t>-642.215220632915 74.4573975263377 306.513329543048</t>
  </si>
  <si>
    <t>-726.67048732074 87.6773157658299 746.144410527606</t>
  </si>
  <si>
    <t>-582.665929966586 111.170887940336 807.772493536343</t>
  </si>
  <si>
    <t>-551.566288775162 -131.674327897988 308.330616173305</t>
  </si>
  <si>
    <t>-616.446754007635 -130.891755943888 751.589771226388</t>
  </si>
  <si>
    <t>-502.257478583887 -210.135943192424 827.540257125278</t>
  </si>
  <si>
    <t>9763-20170724T105016.743680300.bin</t>
  </si>
  <si>
    <t>-655.356524881985 109.012702429891 -549.857589769649</t>
  </si>
  <si>
    <t>-590.332053920976 171.207106149481 -269.688243317161</t>
  </si>
  <si>
    <t>-352.013335151038 205.876590593835 -262.401192235385</t>
  </si>
  <si>
    <t>-659.108292330515 69.3281029178183 -96.7925538637624</t>
  </si>
  <si>
    <t>-643.98417014887 74.5431852025099 306.442740552715</t>
  </si>
  <si>
    <t>-726.661590854836 87.822078820235 746.310496760559</t>
  </si>
  <si>
    <t>-582.646543397538 111.085369390549 808.001405136013</t>
  </si>
  <si>
    <t>-553.007524732947 -132.044387204731 308.229708814901</t>
  </si>
  <si>
    <t>-616.623391520086 -130.857222117198 751.747047875921</t>
  </si>
  <si>
    <t>-502.476018191032 -210.348999904871 827.50139099538</t>
  </si>
  <si>
    <t>9763-20170724T105016.810863800.bin</t>
  </si>
  <si>
    <t>-656.544634598252 109.828271974453 -549.217869639401</t>
  </si>
  <si>
    <t>-602.63515493629 169.260498128955 -266.105098586039</t>
  </si>
  <si>
    <t>-364.337252837387 201.514308736373 -251.115183610435</t>
  </si>
  <si>
    <t>-663.240372060458 68.6506694498023 -96.801707280065</t>
  </si>
  <si>
    <t>-647.913441969977 74.5725683263049 306.416148808024</t>
  </si>
  <si>
    <t>-726.700459593462 88.1227123077326 746.862960063449</t>
  </si>
  <si>
    <t>-582.587475762263 110.623726029912 808.607813313593</t>
  </si>
  <si>
    <t>-556.20418396815 -132.26994145661 308.280142288258</t>
  </si>
  <si>
    <t>-617.148511871269 -131.009668390524 752.21312476454</t>
  </si>
  <si>
    <t>-502.74941924541 -210.662384870311 827.416962909362</t>
  </si>
  <si>
    <t>9763-20170724T105016.840849000.bin</t>
  </si>
  <si>
    <t>-657.008940590151 109.736847836786 -548.77825531699</t>
  </si>
  <si>
    <t>-608.94616782487 167.350096441811 -264.240298192649</t>
  </si>
  <si>
    <t>-370.71489403181 198.513312724798 -246.197814104465</t>
  </si>
  <si>
    <t>-664.946350311078 68.045979350841 -96.7507320423601</t>
  </si>
  <si>
    <t>-649.577396966856 74.2827072203138 306.460841235859</t>
  </si>
  <si>
    <t>-726.725204363817 88.2474292326328 747.174663489068</t>
  </si>
  <si>
    <t>-582.587669878525 110.585387420601 808.92193115497</t>
  </si>
  <si>
    <t>-557.870590500595 -132.352966175947 308.405092404582</t>
  </si>
  <si>
    <t>-617.477056268232 -131.297100501832 752.481734241158</t>
  </si>
  <si>
    <t>-502.553538315221 -210.483222094914 827.377986553242</t>
  </si>
  <si>
    <t>9763-20170724T105016.911043800.bin</t>
  </si>
  <si>
    <t>-658.992225755558 109.850652944823 -547.359553763576</t>
  </si>
  <si>
    <t>-616.392144475584 163.074267523294 -261.101489492361</t>
  </si>
  <si>
    <t>-378.405425266293 193.982014149937 -239.704034959403</t>
  </si>
  <si>
    <t>-667.488451604731 66.7108637317451 -96.6198425619158</t>
  </si>
  <si>
    <t>-652.142432990438 73.5878357459051 306.582156130126</t>
  </si>
  <si>
    <t>-726.833914346083 88.557978711041 747.734258211253</t>
  </si>
  <si>
    <t>-582.586867799763 110.227208722348 809.463797911353</t>
  </si>
  <si>
    <t>-560.392159801522 -132.270423253447 308.723392525824</t>
  </si>
  <si>
    <t>-617.90512602304 -131.392415405155 752.987109727908</t>
  </si>
  <si>
    <t>-502.664499199795 -210.605203397989 827.36606009942</t>
  </si>
  <si>
    <t>9763-20170724T105016.941671100.bin</t>
  </si>
  <si>
    <t>-660.189805614259 110.229796276059 -546.586545256078</t>
  </si>
  <si>
    <t>-617.041740643789 162.271645059953 -260.193299332742</t>
  </si>
  <si>
    <t>-378.987734943393 191.953387367853 -237.829670822872</t>
  </si>
  <si>
    <t>-668.231264335613 66.1276731582298 -96.5266232515551</t>
  </si>
  <si>
    <t>-652.802950614545 73.3726531953805 306.665837399535</t>
  </si>
  <si>
    <t>-726.840260450449 88.5714726866076 747.961728223334</t>
  </si>
  <si>
    <t>-582.592308267743 110.301937937738 809.667863327152</t>
  </si>
  <si>
    <t>-561.096046735938 -132.284771038359 308.780105442999</t>
  </si>
  <si>
    <t>-617.946526956628 -131.136942013899 753.152647881859</t>
  </si>
  <si>
    <t>-502.87250168607 -210.733537203128 827.379643570769</t>
  </si>
  <si>
    <t>9763-20170724T105017.015870200.bin</t>
  </si>
  <si>
    <t>-661.706480416082 110.398684988604 -545.63475305949</t>
  </si>
  <si>
    <t>-615.972316573752 160.547952210064 -259.305096555048</t>
  </si>
  <si>
    <t>-377.754669073255 188.279520464372 -236.19300440132</t>
  </si>
  <si>
    <t>-669.133263472965 65.0227137688157 -96.2513812923304</t>
  </si>
  <si>
    <t>-653.209953938834 72.8504183294342 306.910901379004</t>
  </si>
  <si>
    <t>-726.915775201376 88.6385954919988 748.322544156943</t>
  </si>
  <si>
    <t>-582.623474763235 110.161465245376 809.997259402723</t>
  </si>
  <si>
    <t>-561.823260634505 -132.762413198267 308.850287492893</t>
  </si>
  <si>
    <t>-618.084395910813 -131.23998321977 753.326620656324</t>
  </si>
  <si>
    <t>-502.648862399537 -210.447516974565 827.408261076792</t>
  </si>
  <si>
    <t>9763-20170724T105017.043533400.bin</t>
  </si>
  <si>
    <t>-662.249495517509 110.134208954492 -545.271735779701</t>
  </si>
  <si>
    <t>-614.841710679683 159.306843858649 -259.045017260482</t>
  </si>
  <si>
    <t>-376.533470767644 186.434010397741 -236.15005898023</t>
  </si>
  <si>
    <t>-669.197349834239 64.2378672541358 -96.1074344182706</t>
  </si>
  <si>
    <t>-653.189375870689 72.3757833780899 307.045416549629</t>
  </si>
  <si>
    <t>-726.878181886959 88.5006654956374 748.462952618754</t>
  </si>
  <si>
    <t>-582.611306614295 110.222906989083 810.127263213417</t>
  </si>
  <si>
    <t>-562.1708877105 -133.102170450908 308.894920538582</t>
  </si>
  <si>
    <t>-618.088545373649 -131.208925385904 753.377858087913</t>
  </si>
  <si>
    <t>-502.699938231596 -210.492741785328 827.450923615827</t>
  </si>
  <si>
    <t>9763-20170724T105017.114721200.bin</t>
  </si>
  <si>
    <t>-662.967204134568 110.033120194322 -544.4548991746</t>
  </si>
  <si>
    <t>-612.66990119773 158.947580549179 -258.67753687623</t>
  </si>
  <si>
    <t>-374.261269317184 183.984406756518 -234.48392165262</t>
  </si>
  <si>
    <t>-669.074489894871 63.035348117606 -95.8320221088877</t>
  </si>
  <si>
    <t>-653.188863577585 71.5622527445439 307.317562819969</t>
  </si>
  <si>
    <t>-726.916053774254 88.4226934778401 748.738528865016</t>
  </si>
  <si>
    <t>-582.637540201862 110.177665093864 810.364187157979</t>
  </si>
  <si>
    <t>-562.792139478908 -133.858215842386 308.98426326853</t>
  </si>
  <si>
    <t>-618.122967195562 -131.115062160235 753.4991873482</t>
  </si>
  <si>
    <t>-502.790161806772 -210.528366660325 827.520717578185</t>
  </si>
  <si>
    <t>9763-20170724T105017.146427100.bin</t>
  </si>
  <si>
    <t>-663.312968834854 110.462230002781 -544.000978165548</t>
  </si>
  <si>
    <t>-611.541810397203 158.77297026665 -258.38414740718</t>
  </si>
  <si>
    <t>-373.227788935834 183.111678328975 -232.597589959774</t>
  </si>
  <si>
    <t>-668.990361644888 62.7371278421751 -95.7088603664831</t>
  </si>
  <si>
    <t>-653.226391751498 71.355129488587 307.44360692832</t>
  </si>
  <si>
    <t>-726.951659111925 88.4442352636179 748.841260752668</t>
  </si>
  <si>
    <t>-582.634807401922 109.93864881613 810.468687139968</t>
  </si>
  <si>
    <t>-563.144435870333 -134.170186880348 309.013841590949</t>
  </si>
  <si>
    <t>-618.18660624454 -131.191145709907 753.565076815479</t>
  </si>
  <si>
    <t>-502.82161024644 -210.593163275694 827.548432067024</t>
  </si>
  <si>
    <t>9763-20170724T105017.215611300.bin</t>
  </si>
  <si>
    <t>-663.124761687937 111.205663573377 -543.168358251534</t>
  </si>
  <si>
    <t>-609.511390327237 157.837689061661 -257.612427464273</t>
  </si>
  <si>
    <t>-371.245947604183 181.258729183972 -230.558943507166</t>
  </si>
  <si>
    <t>-668.251961136541 61.9703995724976 -95.5230203321843</t>
  </si>
  <si>
    <t>-652.982905202417 71.0023039451855 307.639446371268</t>
  </si>
  <si>
    <t>-726.899588266752 88.2602941278606 749.007868247253</t>
  </si>
  <si>
    <t>-582.606381783169 109.965706417905 810.616941988305</t>
  </si>
  <si>
    <t>-563.418673931315 -134.548036607355 309.101130833959</t>
  </si>
  <si>
    <t>-618.165119184578 -131.015913857136 753.645720109519</t>
  </si>
  <si>
    <t>-502.886747482516 -210.575000989131 827.59529804454</t>
  </si>
  <si>
    <t>9763-20170724T105017.281292600.bin</t>
  </si>
  <si>
    <t>-662.313128787108 110.863072631274 -542.561688152427</t>
  </si>
  <si>
    <t>-607.651247095853 155.535530887828 -256.891070114115</t>
  </si>
  <si>
    <t>-369.787800095717 179.779965665404 -227.157243168453</t>
  </si>
  <si>
    <t>-667.647212372305 60.8647302914017 -95.3856929995085</t>
  </si>
  <si>
    <t>-652.497211188955 70.221113467878 307.773867796643</t>
  </si>
  <si>
    <t>-726.899208756619 88.0669904933438 749.154265917255</t>
  </si>
  <si>
    <t>-582.603261873397 109.978676214854 810.683882076992</t>
  </si>
  <si>
    <t>-563.72535327693 -135.161227521275 309.192488686915</t>
  </si>
  <si>
    <t>-618.187369072359 -131.025136752011 753.692487207328</t>
  </si>
  <si>
    <t>-502.756927217096 -210.361215205847 827.64434250261</t>
  </si>
  <si>
    <t>9763-20170724T105017.311374000.bin</t>
  </si>
  <si>
    <t>-662.04379278492 110.426464048157 -542.359208472435</t>
  </si>
  <si>
    <t>-607.081821454856 154.978827323435 -256.727545084521</t>
  </si>
  <si>
    <t>-369.431102147592 179.853050714565 -225.836539903881</t>
  </si>
  <si>
    <t>-667.236915598758 60.2569803496265 -95.3284401206208</t>
  </si>
  <si>
    <t>-652.237932781607 69.8065285980952 307.832231861259</t>
  </si>
  <si>
    <t>-726.88456349544 87.8880598907961 749.20742236399</t>
  </si>
  <si>
    <t>-582.592920585324 109.993052000547 810.677713629716</t>
  </si>
  <si>
    <t>-563.837701421109 -135.465134668881 309.244580870224</t>
  </si>
  <si>
    <t>-618.164789998953 -130.955265868633 753.704700093086</t>
  </si>
  <si>
    <t>-502.920447316535 -210.525370572837 827.695485017027</t>
  </si>
  <si>
    <t>9763-20170724T105017.377151600.bin</t>
  </si>
  <si>
    <t>-662.267678107484 109.482682660651 -542.152771252515</t>
  </si>
  <si>
    <t>-606.913923350566 154.252327439046 -256.630638308678</t>
  </si>
  <si>
    <t>-369.328204206665 179.79807189588 -225.786988447397</t>
  </si>
  <si>
    <t>-666.614170855819 58.9949700330174 -95.3586120614455</t>
  </si>
  <si>
    <t>-651.902995277856 69.0506900216383 307.800309665097</t>
  </si>
  <si>
    <t>-726.94549460931 87.6959345878502 749.061141022297</t>
  </si>
  <si>
    <t>-582.628699085165 110.024971625031 810.391077958032</t>
  </si>
  <si>
    <t>-563.538088118846 -136.36243031276 309.254489340722</t>
  </si>
  <si>
    <t>-618.142267726216 -130.851962168507 753.705301034848</t>
  </si>
  <si>
    <t>-503.008686236282 -210.553422989858 827.727142883679</t>
  </si>
  <si>
    <t>9763-20170724T105017.410238400.bin</t>
  </si>
  <si>
    <t>-663.058037971852 109.01856953432 -542.058231666323</t>
  </si>
  <si>
    <t>-607.911443261855 154.077535802337 -256.541543346092</t>
  </si>
  <si>
    <t>-370.33732959887 179.770564683637 -225.730651338798</t>
  </si>
  <si>
    <t>-666.620453634076 58.5142308366528 -95.3063979291348</t>
  </si>
  <si>
    <t>-651.922373702194 68.7545136393671 307.848414715622</t>
  </si>
  <si>
    <t>-726.954829536196 87.6169628948658 749.122286399685</t>
  </si>
  <si>
    <t>-582.588723540867 109.776539416734 810.397855425866</t>
  </si>
  <si>
    <t>-563.440869401653 -136.678990695338 309.255826776762</t>
  </si>
  <si>
    <t>-618.211338137735 -131.017798157149 753.706432795645</t>
  </si>
  <si>
    <t>-502.899411361722 -210.465961004915 827.723081307453</t>
  </si>
  <si>
    <t>9763-20170724T105017.442945400.bin</t>
  </si>
  <si>
    <t>-663.812942477852 108.325802298338 -541.946153461731</t>
  </si>
  <si>
    <t>-609.049040472037 153.108239418692 -256.312452563808</t>
  </si>
  <si>
    <t>-371.451229455329 178.637275521319 -225.548968175017</t>
  </si>
  <si>
    <t>-666.686157728883 57.9320558118941 -95.2854913664396</t>
  </si>
  <si>
    <t>-651.868150896697 68.3934451134046 307.859244312897</t>
  </si>
  <si>
    <t>-726.899033031053 87.4707031344853 749.13097085319</t>
  </si>
  <si>
    <t>-582.55891278845 109.889575795539 810.373254863598</t>
  </si>
  <si>
    <t>-563.444484933963 -137.063518298948 309.312868750563</t>
  </si>
  <si>
    <t>-618.271694912341 -131.164937943326 753.70961383146</t>
  </si>
  <si>
    <t>-502.754223057575 -210.318093194891 827.721543977303</t>
  </si>
  <si>
    <t>9763-20170724T105017.511127800.bin</t>
  </si>
  <si>
    <t>-666.368079428106 107.326799487474 -541.481578489773</t>
  </si>
  <si>
    <t>-611.528331159123 151.029639300801 -255.695271373142</t>
  </si>
  <si>
    <t>-373.881214226292 176.350900734199 -225.140788471403</t>
  </si>
  <si>
    <t>-667.286795454143 57.0040587827107 -95.3023288135172</t>
  </si>
  <si>
    <t>-651.888410138181 67.8202451784318 307.811266361731</t>
  </si>
  <si>
    <t>-726.778217633 87.435759750121 748.991133590524</t>
  </si>
  <si>
    <t>-582.48368658573 109.772712058214 810.370592645374</t>
  </si>
  <si>
    <t>-563.360546407516 -137.157134737798 309.343377309703</t>
  </si>
  <si>
    <t>-618.192786553399 -130.786879362808 753.72696608436</t>
  </si>
  <si>
    <t>-502.965129541086 -210.374759307135 827.724395949454</t>
  </si>
  <si>
    <t>9763-20170724T105017.544319000.bin</t>
  </si>
  <si>
    <t>-667.979240748998 106.930777280849 -541.207293866453</t>
  </si>
  <si>
    <t>-612.587878385128 150.238413743876 -255.467145894694</t>
  </si>
  <si>
    <t>-374.937368457682 175.729291651399 -225.080645017997</t>
  </si>
  <si>
    <t>-667.750356650535 56.5881033973119 -95.3313245121178</t>
  </si>
  <si>
    <t>-651.964670109228 67.5458831022142 307.763448075509</t>
  </si>
  <si>
    <t>-726.680096795656 87.3252299938617 748.959239448572</t>
  </si>
  <si>
    <t>-582.436439972977 109.843185497341 810.392045094573</t>
  </si>
  <si>
    <t>-563.483436853203 -137.214887756784 309.364659382977</t>
  </si>
  <si>
    <t>-618.276432231708 -130.877600748228 753.759258343538</t>
  </si>
  <si>
    <t>-502.994919312895 -210.428677634217 827.712517129187</t>
  </si>
  <si>
    <t>9763-20170724T105017.613505000.bin</t>
  </si>
  <si>
    <t>-670.962251696419 106.033235082172 -541.193555748275</t>
  </si>
  <si>
    <t>-615.270211874323 149.604067719829 -255.551834224839</t>
  </si>
  <si>
    <t>-377.616897263887 174.714521066142 -224.872317515504</t>
  </si>
  <si>
    <t>-668.462739210022 56.1249441658583 -95.4582982980705</t>
  </si>
  <si>
    <t>-652.154808881339 67.4794269531178 307.604692692617</t>
  </si>
  <si>
    <t>-726.687797606888 87.422090614333 748.888470504882</t>
  </si>
  <si>
    <t>-582.442958605327 109.815803240954 810.36373049066</t>
  </si>
  <si>
    <t>-563.682252363628 -137.286258755187 309.328325056358</t>
  </si>
  <si>
    <t>-618.342521192902 -131.01234103059 753.755128288539</t>
  </si>
  <si>
    <t>-502.647820906659 -209.988770272788 827.67919159728</t>
  </si>
  <si>
    <t>9763-20170724T105017.644109300.bin</t>
  </si>
  <si>
    <t>-672.292781241768 105.395914146259 -541.281177256284</t>
  </si>
  <si>
    <t>-616.887047576756 149.445682833392 -255.657393465764</t>
  </si>
  <si>
    <t>-379.255380024746 174.215699929784 -224.5362882518</t>
  </si>
  <si>
    <t>-668.699695369275 55.841544053191 -95.489345608895</t>
  </si>
  <si>
    <t>-652.284869394274 67.3572322745181 307.564752990912</t>
  </si>
  <si>
    <t>-726.685505801188 87.4452039962275 748.871766988775</t>
  </si>
  <si>
    <t>-582.465746935078 109.985682316615 810.352699417023</t>
  </si>
  <si>
    <t>-563.643344447591 -137.288977292742 309.287445187303</t>
  </si>
  <si>
    <t>-618.339058895509 -131.004835996916 753.728684961159</t>
  </si>
  <si>
    <t>-502.836065795751 -210.228325661997 827.688202070902</t>
  </si>
  <si>
    <t>9763-20170724T105017.708279000.bin</t>
  </si>
  <si>
    <t>-674.882872249338 104.438050948883 -541.284339050396</t>
  </si>
  <si>
    <t>-620.088229227906 149.064872180107 -255.632029841881</t>
  </si>
  <si>
    <t>-382.578310234484 173.15590619681 -223.081957099348</t>
  </si>
  <si>
    <t>-669.356812153878 55.3404746369904 -95.5312484203134</t>
  </si>
  <si>
    <t>-652.751913770755 67.2404491187672 307.503894954871</t>
  </si>
  <si>
    <t>-726.683991450607 87.4679550795349 748.870059039034</t>
  </si>
  <si>
    <t>-582.449708716691 109.9129760319 810.351516117506</t>
  </si>
  <si>
    <t>-563.853940776684 -137.260367116955 309.264232214326</t>
  </si>
  <si>
    <t>-618.280456926003 -130.652252123268 753.740824335136</t>
  </si>
  <si>
    <t>-503.132750852064 -210.409707116317 827.680611024716</t>
  </si>
  <si>
    <t>9763-20170724T105017.775506900.bin</t>
  </si>
  <si>
    <t>-677.551695583615 103.852882191896 -541.269045260215</t>
  </si>
  <si>
    <t>-623.992862649893 148.241640162167 -255.345616786599</t>
  </si>
  <si>
    <t>-386.647499997541 171.922853681119 -221.326811072666</t>
  </si>
  <si>
    <t>-670.303470685334 54.9749453127943 -95.6507699387455</t>
  </si>
  <si>
    <t>-653.252345486949 67.0887246042446 307.359407558512</t>
  </si>
  <si>
    <t>-726.679081469043 87.4586676871133 748.770490735373</t>
  </si>
  <si>
    <t>-582.452798239733 109.955549937656 810.25198455485</t>
  </si>
  <si>
    <t>-564.775300245342 -137.323475164932 309.214090039741</t>
  </si>
  <si>
    <t>-618.386496893638 -130.686352518122 753.795120377394</t>
  </si>
  <si>
    <t>-502.914280767764 -210.070637225455 827.630145335034</t>
  </si>
  <si>
    <t>9763-20170724T105017.807590800.bin</t>
  </si>
  <si>
    <t>-678.868149912808 103.721534306959 -541.228757814733</t>
  </si>
  <si>
    <t>-626.203468692089 147.816361019309 -255.093657069254</t>
  </si>
  <si>
    <t>-388.994051930018 171.503814208744 -220.144975476281</t>
  </si>
  <si>
    <t>-670.833003454685 54.9018795196346 -95.6894354627717</t>
  </si>
  <si>
    <t>-653.554183014347 67.0711362572092 307.309354391587</t>
  </si>
  <si>
    <t>-726.701751134832 87.4944641192003 748.788537629267</t>
  </si>
  <si>
    <t>-582.441101245818 109.812085169123 810.254839489375</t>
  </si>
  <si>
    <t>-565.097029015989 -137.127494284075 309.211689580928</t>
  </si>
  <si>
    <t>-618.372956361242 -130.506057143059 753.830718338572</t>
  </si>
  <si>
    <t>-503.243668630441 -210.410624415062 827.639865310167</t>
  </si>
  <si>
    <t>9763-20170724T105017.877315600.bin</t>
  </si>
  <si>
    <t>-681.717576368774 103.125318030518 -541.138095616865</t>
  </si>
  <si>
    <t>-629.981965341359 146.905588212644 -254.785322612272</t>
  </si>
  <si>
    <t>-392.941218517027 170.723491266089 -218.795758534945</t>
  </si>
  <si>
    <t>-671.841575361258 54.6976175724535 -95.7768862858644</t>
  </si>
  <si>
    <t>-654.378182307802 67.0523000540554 307.208300597257</t>
  </si>
  <si>
    <t>-726.692466398573 87.5722584902824 748.75977020852</t>
  </si>
  <si>
    <t>-582.40338708492 109.508395671664 810.296438565916</t>
  </si>
  <si>
    <t>-565.532405285365 -136.968585975567 309.261632651052</t>
  </si>
  <si>
    <t>-618.501974735472 -130.556823041234 753.943924197352</t>
  </si>
  <si>
    <t>-503.379409610201 -210.572403913029 827.643088315153</t>
  </si>
  <si>
    <t>9763-20170724T105017.912393300.bin</t>
  </si>
  <si>
    <t>-683.093970891365 102.637767453413 -541.037779011634</t>
  </si>
  <si>
    <t>-631.203075449076 146.280979297412 -254.692095560569</t>
  </si>
  <si>
    <t>-394.201371332829 170.412818556012 -218.654460493989</t>
  </si>
  <si>
    <t>-672.164827642133 54.4439091171128 -95.8286741835644</t>
  </si>
  <si>
    <t>-654.609538753182 67.0134159881281 307.145858032971</t>
  </si>
  <si>
    <t>-726.694085205695 87.6622091379857 748.731537566101</t>
  </si>
  <si>
    <t>-582.41203557837 109.501797505675 810.319117812553</t>
  </si>
  <si>
    <t>-565.578279753068 -136.944648477441 309.29014201231</t>
  </si>
  <si>
    <t>-618.531297875384 -130.532609859848 753.9671368732</t>
  </si>
  <si>
    <t>-503.234219799556 -210.342636370483 827.616522339791</t>
  </si>
  <si>
    <t>9763-20170724T105017.944989900.bin</t>
  </si>
  <si>
    <t>-684.432889044228 101.988770194762 -540.927621965558</t>
  </si>
  <si>
    <t>-631.739046145348 145.644241059523 -254.730643200823</t>
  </si>
  <si>
    <t>-394.760035802645 170.151745076203 -218.79729817299</t>
  </si>
  <si>
    <t>-672.54630153273 54.0551800335311 -95.853138913778</t>
  </si>
  <si>
    <t>-654.573557854433 66.7903644777971 307.097813505261</t>
  </si>
  <si>
    <t>-726.650916192908 87.6501322263741 748.69609796067</t>
  </si>
  <si>
    <t>-582.412876543438 109.693695958373 810.314134171418</t>
  </si>
  <si>
    <t>-565.700155519369 -136.970157437609 309.313839282256</t>
  </si>
  <si>
    <t>-618.611119051833 -130.657530621342 753.997144574964</t>
  </si>
  <si>
    <t>-503.101498141113 -210.204544073525 827.598044180222</t>
  </si>
  <si>
    <t>9763-20170724T105018.011180000.bin</t>
  </si>
  <si>
    <t>-686.672124599359 101.116313414281 -540.864488913309</t>
  </si>
  <si>
    <t>-631.889412439696 145.32670300359 -255.145271281345</t>
  </si>
  <si>
    <t>-394.838398659435 170.078150964986 -219.860015809203</t>
  </si>
  <si>
    <t>-673.288406292412 53.7267658438579 -95.9513295417886</t>
  </si>
  <si>
    <t>-654.749093996616 66.6822270686873 306.966933981407</t>
  </si>
  <si>
    <t>-726.60977178465 87.6201880329947 748.620058956053</t>
  </si>
  <si>
    <t>-582.376924755768 109.624859800705 810.263872279162</t>
  </si>
  <si>
    <t>-565.989413637518 -136.895583743154 309.321881807359</t>
  </si>
  <si>
    <t>-618.66519373348 -130.65093039816 754.038956008861</t>
  </si>
  <si>
    <t>-503.110151518895 -210.178255807713 827.58973056642</t>
  </si>
  <si>
    <t>9763-20170724T105018.046786600.bin</t>
  </si>
  <si>
    <t>-687.57737742757 100.827652517817 -540.886412140329</t>
  </si>
  <si>
    <t>-631.68738814129 145.583031378185 -255.466606754185</t>
  </si>
  <si>
    <t>-394.567891562375 170.296525580053 -220.617293907016</t>
  </si>
  <si>
    <t>-673.589060030392 53.6505212149411 -96.0275439953199</t>
  </si>
  <si>
    <t>-655.013791925828 66.7275241507605 306.885152048657</t>
  </si>
  <si>
    <t>-726.574916281859 87.5824173077456 748.575151689451</t>
  </si>
  <si>
    <t>-582.405041336781 109.95394334105 810.234416116816</t>
  </si>
  <si>
    <t>-566.118911274309 -136.855176781672 309.33605011361</t>
  </si>
  <si>
    <t>-618.709161898236 -130.70442189397 754.061675558299</t>
  </si>
  <si>
    <t>-503.084826687633 -210.158661865737 827.582603808306</t>
  </si>
  <si>
    <t>9763-20170724T105018.110957300.bin</t>
  </si>
  <si>
    <t>-689.055623174738 100.660455382091 -540.786936062722</t>
  </si>
  <si>
    <t>-630.287874195058 146.346153087727 -256.09336189086</t>
  </si>
  <si>
    <t>-393.041049366565 171.580921032244 -222.507838015454</t>
  </si>
  <si>
    <t>-674.316064204144 53.6851396620548 -96.1816146339588</t>
  </si>
  <si>
    <t>-655.359999969519 66.9036764216262 306.708699962799</t>
  </si>
  <si>
    <t>-726.549991274627 87.6171954308327 748.481834049575</t>
  </si>
  <si>
    <t>-582.367090762307 109.758993732861 810.193323692729</t>
  </si>
  <si>
    <t>-566.555196720689 -136.452268548539 309.325881032068</t>
  </si>
  <si>
    <t>-618.661702950322 -130.364768619987 754.111273581425</t>
  </si>
  <si>
    <t>-503.338035611015 -210.30544353397 827.577219280088</t>
  </si>
  <si>
    <t>9763-20170724T105018.141047900.bin</t>
  </si>
  <si>
    <t>-689.515809418817 100.656507847774 -540.720421008824</t>
  </si>
  <si>
    <t>-628.721727967161 146.983453561222 -256.556457260125</t>
  </si>
  <si>
    <t>-391.247763738417 172.159711876881 -224.56995107508</t>
  </si>
  <si>
    <t>-674.57785246584 53.4540791206782 -96.229688611598</t>
  </si>
  <si>
    <t>-655.304865918169 66.7345579270711 306.643580179394</t>
  </si>
  <si>
    <t>-726.491036015822 87.5115700408419 748.4231252387</t>
  </si>
  <si>
    <t>-582.339330330064 109.823867271976 810.146303662621</t>
  </si>
  <si>
    <t>-567.015219217179 -136.472254660133 309.341649086263</t>
  </si>
  <si>
    <t>-618.785153313185 -130.565432231067 754.168296899489</t>
  </si>
  <si>
    <t>-503.104457735003 -210.059695721478 827.557500909925</t>
  </si>
  <si>
    <t>9763-20170724T105018.212241000.bin</t>
  </si>
  <si>
    <t>-689.665151519202 100.510075195146 -540.862643793831</t>
  </si>
  <si>
    <t>-624.141350111763 148.50488070525 -258.02995279945</t>
  </si>
  <si>
    <t>-386.189724746911 173.674987171646 -229.810826497063</t>
  </si>
  <si>
    <t>-674.948691322425 53.149604844994 -96.420304555033</t>
  </si>
  <si>
    <t>-655.635523913161 66.674666660271 306.442901420584</t>
  </si>
  <si>
    <t>-726.493241189149 87.5281865138613 748.280638869719</t>
  </si>
  <si>
    <t>-582.312551221123 109.648960227598 810.00481303702</t>
  </si>
  <si>
    <t>-568.300196834627 -136.298777133791 309.36184907695</t>
  </si>
  <si>
    <t>-618.935141265702 -130.719501038248 754.290912215168</t>
  </si>
  <si>
    <t>-503.11464024426 -210.106529957417 827.575379950711</t>
  </si>
  <si>
    <t>9763-20170724T105018.247866600.bin</t>
  </si>
  <si>
    <t>-689.363913494406 100.454486504324 -541.048731072876</t>
  </si>
  <si>
    <t>-620.807275712154 149.255043803841 -259.07416112831</t>
  </si>
  <si>
    <t>-382.714622693303 174.182159358339 -231.845775204632</t>
  </si>
  <si>
    <t>-675.204727150903 53.2388203617784 -96.5463468957521</t>
  </si>
  <si>
    <t>-656.020773734859 66.7538482395096 306.323329623953</t>
  </si>
  <si>
    <t>-726.523500895133 87.58789082352 748.21334452041</t>
  </si>
  <si>
    <t>-582.330513330769 109.634354833645 809.935779787165</t>
  </si>
  <si>
    <t>-568.834732550622 -136.211455879341 309.352676241773</t>
  </si>
  <si>
    <t>-619.016208279405 -130.871679329335 754.333625528562</t>
  </si>
  <si>
    <t>-503.134959877315 -210.196394006786 827.589314416568</t>
  </si>
  <si>
    <t>9763-20170724T105018.309038000.bin</t>
  </si>
  <si>
    <t>-687.962813120662 100.247618345304 -541.433768681463</t>
  </si>
  <si>
    <t>-613.988935430702 150.872182829446 -261.155038319373</t>
  </si>
  <si>
    <t>-375.713744551222 175.315635898589 -235.110657034943</t>
  </si>
  <si>
    <t>-675.233838777262 53.2453993419172 -96.7451342844828</t>
  </si>
  <si>
    <t>-656.599762206106 66.826394556731 306.148132764115</t>
  </si>
  <si>
    <t>-726.547936658007 87.6800236651543 748.137212512925</t>
  </si>
  <si>
    <t>-582.341466857213 109.635193265771 809.860464198158</t>
  </si>
  <si>
    <t>-569.386735779166 -136.525025807093 309.27454374043</t>
  </si>
  <si>
    <t>-619.078175068211 -130.96094373302 754.359840370325</t>
  </si>
  <si>
    <t>-502.958406742126 -209.969170559111 827.580087627627</t>
  </si>
  <si>
    <t>9763-20170724T105018.344705900.bin</t>
  </si>
  <si>
    <t>-687.070421900177 99.9204963644888 -541.613234976276</t>
  </si>
  <si>
    <t>-610.729203540699 151.041880219001 -262.060297328853</t>
  </si>
  <si>
    <t>-372.376856651376 175.132173417346 -236.39535003029</t>
  </si>
  <si>
    <t>-674.990807158297 53.1042233973828 -96.7817638251012</t>
  </si>
  <si>
    <t>-656.776646770512 66.654947579216 306.131802365186</t>
  </si>
  <si>
    <t>-726.527815146876 87.6495845443346 748.126042382209</t>
  </si>
  <si>
    <t>-582.332322319392 109.664754836464 809.853203217539</t>
  </si>
  <si>
    <t>-569.556023138009 -136.764505931742 309.235783389551</t>
  </si>
  <si>
    <t>-619.059203684739 -130.878873932146 754.347620918847</t>
  </si>
  <si>
    <t>-502.860350580164 -209.773369262753 827.565239669061</t>
  </si>
  <si>
    <t>9763-20170724T105018.413890800.bin</t>
  </si>
  <si>
    <t>-685.075356044519 99.3245819753065 -541.799011597712</t>
  </si>
  <si>
    <t>-604.333190976262 150.817589221243 -263.55376354666</t>
  </si>
  <si>
    <t>-365.952541095841 174.94454109258 -238.188333447069</t>
  </si>
  <si>
    <t>-674.014970774471 52.7856565553661 -96.7809608310631</t>
  </si>
  <si>
    <t>-656.872461881423 66.4219603495205 306.176759375851</t>
  </si>
  <si>
    <t>-726.545464875047 87.713186180539 748.151390673007</t>
  </si>
  <si>
    <t>-582.355864142686 109.728725253544 809.89253577015</t>
  </si>
  <si>
    <t>-569.558817342339 -137.162357324198 309.227388463689</t>
  </si>
  <si>
    <t>-619.012389408274 -130.669294283486 754.329773233771</t>
  </si>
  <si>
    <t>-503.098943701259 -209.965519223514 827.56561984981</t>
  </si>
  <si>
    <t>9763-20170724T105018.447554100.bin</t>
  </si>
  <si>
    <t>-684.370857396101 99.1268398352934 -541.809881980695</t>
  </si>
  <si>
    <t>-601.752835087499 150.567712476611 -264.10627010002</t>
  </si>
  <si>
    <t>-363.35339400665 175.033365148174 -239.246064913111</t>
  </si>
  <si>
    <t>-673.594357428316 52.6153987917735 -96.7586350048207</t>
  </si>
  <si>
    <t>-656.846476977365 66.3496471255064 306.2122550828</t>
  </si>
  <si>
    <t>-726.552319867784 87.7302272444012 748.17440570471</t>
  </si>
  <si>
    <t>-582.366021822239 109.758212308433 809.918645990462</t>
  </si>
  <si>
    <t>-569.507102454712 -137.334847839654 309.248974733346</t>
  </si>
  <si>
    <t>-619.011448883404 -130.643893641249 754.328585741203</t>
  </si>
  <si>
    <t>-503.1365531022 -209.992453904735 827.568935543282</t>
  </si>
  <si>
    <t>9763-20170724T105018.508717400.bin</t>
  </si>
  <si>
    <t>-683.458708828246 98.439420627926 -541.828760909515</t>
  </si>
  <si>
    <t>-598.858116815474 150.267966455971 -264.795001334944</t>
  </si>
  <si>
    <t>-360.577033730748 175.637863454007 -239.707395258351</t>
  </si>
  <si>
    <t>-673.134184841397 52.1295543022823 -96.7141648480967</t>
  </si>
  <si>
    <t>-656.597317639047 65.9492317434974 306.262562867826</t>
  </si>
  <si>
    <t>-726.54453783538 87.7153669659269 748.184477226813</t>
  </si>
  <si>
    <t>-582.370460941028 109.793727831287 809.939481884825</t>
  </si>
  <si>
    <t>-569.59252255751 -137.72664602907 309.274353203574</t>
  </si>
  <si>
    <t>-619.084229458682 -130.819329388636 754.328600049062</t>
  </si>
  <si>
    <t>-503.138925376107 -210.055388711598 827.578941405035</t>
  </si>
  <si>
    <t>9763-20170724T105018.552539600.bin</t>
  </si>
  <si>
    <t>-683.373755943432 98.2240199074777 -541.817796104772</t>
  </si>
  <si>
    <t>-598.879990487528 150.209929592109 -264.780846453119</t>
  </si>
  <si>
    <t>-360.683325807888 175.980618925689 -239.304330039622</t>
  </si>
  <si>
    <t>-673.072441104842 51.942749939175 -96.6944122960659</t>
  </si>
  <si>
    <t>-656.484402669906 65.8094643843801 306.27852382494</t>
  </si>
  <si>
    <t>-726.570389526315 87.7557549727119 748.188487657451</t>
  </si>
  <si>
    <t>-582.378881060044 109.723098496019 809.942260136669</t>
  </si>
  <si>
    <t>-569.573558091534 -137.809751307293 309.293679951698</t>
  </si>
  <si>
    <t>-619.045232124302 -130.674602071844 754.329194788176</t>
  </si>
  <si>
    <t>-503.267835109099 -210.144433385544 827.591932937285</t>
  </si>
  <si>
    <t>9763-20170724T105018.608690700.bin</t>
  </si>
  <si>
    <t>-683.782949734541 97.693413317975 -541.65186896603</t>
  </si>
  <si>
    <t>-600.417006485234 150.038138891656 -264.340885029072</t>
  </si>
  <si>
    <t>-362.397673547712 176.431894590846 -237.864532800263</t>
  </si>
  <si>
    <t>-673.003557549924 51.3057441895089 -96.6408876692648</t>
  </si>
  <si>
    <t>-656.268577397602 65.4021561466564 306.318068719965</t>
  </si>
  <si>
    <t>-726.503852042569 87.5735767217748 748.197765280013</t>
  </si>
  <si>
    <t>-582.31445697196 109.597538400066 809.93652605181</t>
  </si>
  <si>
    <t>-569.633937288871 -138.165018914379 309.337268257965</t>
  </si>
  <si>
    <t>-619.121071320986 -130.806398409632 754.355855943166</t>
  </si>
  <si>
    <t>-503.197064886067 -210.076107277663 827.603540065096</t>
  </si>
  <si>
    <t>9763-20170724T105018.645308600.bin</t>
  </si>
  <si>
    <t>-684.350044763461 97.6120628995441 -541.498233845897</t>
  </si>
  <si>
    <t>-600.883316690538 149.675927398757 -264.164854881195</t>
  </si>
  <si>
    <t>-362.978412468875 176.84607703849 -237.445655473248</t>
  </si>
  <si>
    <t>-673.234813059854 51.1208485143668 -96.6224286213027</t>
  </si>
  <si>
    <t>-656.225582760824 65.1952998012664 306.325831450578</t>
  </si>
  <si>
    <t>-726.477885877972 87.5241039655386 748.176493086111</t>
  </si>
  <si>
    <t>-582.32215601875 109.739623018566 809.925000975998</t>
  </si>
  <si>
    <t>-569.616464580221 -138.262211874068 309.369758974289</t>
  </si>
  <si>
    <t>-619.154271098917 -130.810307222317 754.377721882718</t>
  </si>
  <si>
    <t>-503.10839634418 -209.930007988843 827.594635808813</t>
  </si>
  <si>
    <t>9763-20170724T105018.712488200.bin</t>
  </si>
  <si>
    <t>-685.341575346558 96.8006566681604 -541.20308220916</t>
  </si>
  <si>
    <t>-598.566927250507 148.635452962018 -264.843641086514</t>
  </si>
  <si>
    <t>-360.775199558887 177.204764383601 -238.579467526139</t>
  </si>
  <si>
    <t>-673.721732735831 49.9901682203404 -96.5836156446176</t>
  </si>
  <si>
    <t>-656.028297996259 64.5745808923475 306.316985587741</t>
  </si>
  <si>
    <t>-726.289993864362 87.2192040133241 748.117311277967</t>
  </si>
  <si>
    <t>-582.22852761731 110.031161862145 809.868080330266</t>
  </si>
  <si>
    <t>-570.059590979537 -138.439674057262 309.410773583962</t>
  </si>
  <si>
    <t>-619.367079220822 -131.135945949602 754.481238283252</t>
  </si>
  <si>
    <t>-502.956757747205 -209.830080244282 827.578474859859</t>
  </si>
  <si>
    <t>9763-20170724T105018.744079500.bin</t>
  </si>
  <si>
    <t>-685.443083071141 96.422017787143 -541.203853975624</t>
  </si>
  <si>
    <t>-596.376573744922 149.02202626732 -265.719515768904</t>
  </si>
  <si>
    <t>-358.612079706329 177.761307184811 -239.395616630763</t>
  </si>
  <si>
    <t>-674.152067837176 49.6404274042377 -96.6051255717576</t>
  </si>
  <si>
    <t>-655.794735452747 64.3423950493507 306.261526969727</t>
  </si>
  <si>
    <t>-726.283746727765 87.2424673025646 748.036694964576</t>
  </si>
  <si>
    <t>-582.202685708329 109.978336990873 809.770265724142</t>
  </si>
  <si>
    <t>-570.723121461305 -138.290513210523 309.398367265731</t>
  </si>
  <si>
    <t>-619.314321303427 -130.92559688141 754.507935887827</t>
  </si>
  <si>
    <t>-503.063296015772 -209.863320967508 827.595834254053</t>
  </si>
  <si>
    <t>9763-20170724T105018.810257000.bin</t>
  </si>
  <si>
    <t>-685.588233930528 96.861592703731 -541.262050936731</t>
  </si>
  <si>
    <t>-591.86780776079 150.488353183312 -267.525162080832</t>
  </si>
  <si>
    <t>-354.296240851234 180.81162541723 -241.235756118071</t>
  </si>
  <si>
    <t>-675.35354755206 49.5320794776926 -96.7251980817663</t>
  </si>
  <si>
    <t>-656.174125457315 64.5426865266732 306.091754110508</t>
  </si>
  <si>
    <t>-726.225467867522 87.2160393692272 747.906486597728</t>
  </si>
  <si>
    <t>-582.149392659333 110.104816072145 809.595127090401</t>
  </si>
  <si>
    <t>-572.058127926268 -138.375187346574 309.390757269965</t>
  </si>
  <si>
    <t>-619.501211421412 -131.223159866491 754.637703289816</t>
  </si>
  <si>
    <t>-502.717890666091 -209.482146087884 827.606780349496</t>
  </si>
  <si>
    <t>9763-20170724T105018.842353600.bin</t>
  </si>
  <si>
    <t>-685.861809396745 97.195308667151 -541.349463977218</t>
  </si>
  <si>
    <t>-589.737130865732 151.235479211342 -268.529079292877</t>
  </si>
  <si>
    <t>-352.257191288692 182.543560254135 -242.569142607539</t>
  </si>
  <si>
    <t>-676.163789289729 49.7611790908873 -96.8552665928282</t>
  </si>
  <si>
    <t>-656.99114519094 64.9283050343836 305.956146569296</t>
  </si>
  <si>
    <t>-726.232653755171 87.3057750053636 747.854918586071</t>
  </si>
  <si>
    <t>-582.139370959808 110.059681899553 809.553187871551</t>
  </si>
  <si>
    <t>-572.730891571392 -138.164701897266 309.3524348278</t>
  </si>
  <si>
    <t>-619.524779434522 -131.20882837512 754.683758159911</t>
  </si>
  <si>
    <t>-502.863830207623 -209.675607357248 827.62544933495</t>
  </si>
  <si>
    <t>9763-20170724T105018.911537400.bin</t>
  </si>
  <si>
    <t>-685.99335179209 97.0555202987571 -541.686372428937</t>
  </si>
  <si>
    <t>-585.672453926178 152.550982331336 -270.674983060423</t>
  </si>
  <si>
    <t>-348.464400367842 185.262761029524 -243.969949878133</t>
  </si>
  <si>
    <t>-677.480907727991 49.9564205982351 -97.2085935376575</t>
  </si>
  <si>
    <t>-658.584888928779 65.3946700382173 305.605561422609</t>
  </si>
  <si>
    <t>-726.26953148481 87.6304771192115 747.720540088615</t>
  </si>
  <si>
    <t>-582.20851870573 110.370964663443 809.499006503199</t>
  </si>
  <si>
    <t>-574.221163085658 -137.869834595114 309.275984357267</t>
  </si>
  <si>
    <t>-619.676668341097 -131.47882199475 754.788392174577</t>
  </si>
  <si>
    <t>-502.749204607086 -209.641091269695 827.630118185228</t>
  </si>
  <si>
    <t>9763-20170724T105018.946647200.bin</t>
  </si>
  <si>
    <t>-685.891909841629 96.7336112273354 -541.821833797279</t>
  </si>
  <si>
    <t>-584.060214163185 153.308385845177 -271.59823457403</t>
  </si>
  <si>
    <t>-346.942604486104 186.761904277279 -245.009558923837</t>
  </si>
  <si>
    <t>-678.079031091808 49.9210075351386 -97.3411439170261</t>
  </si>
  <si>
    <t>-659.156788508209 65.4511180018137 305.468324924343</t>
  </si>
  <si>
    <t>-726.267205076033 87.7387398257615 747.681024065077</t>
  </si>
  <si>
    <t>-582.208332788863 110.379353732481 809.50122547073</t>
  </si>
  <si>
    <t>-574.899434072894 -137.773780481846 309.251399818697</t>
  </si>
  <si>
    <t>-619.793972636525 -131.697872881968 754.846359785775</t>
  </si>
  <si>
    <t>-502.658589173648 -209.609414476922 827.622530303852</t>
  </si>
  <si>
    <t>9763-20170724T105019.010820400.bin</t>
  </si>
  <si>
    <t>-686.181344795069 96.4197973916009 -541.869426254198</t>
  </si>
  <si>
    <t>-580.715278108001 153.827531621913 -273.219986921639</t>
  </si>
  <si>
    <t>-343.885988122949 189.974098372692 -247.605049146803</t>
  </si>
  <si>
    <t>-679.46129710057 49.9486429534736 -97.5140557488197</t>
  </si>
  <si>
    <t>-660.217850212361 65.5971362285961 305.275618008257</t>
  </si>
  <si>
    <t>-726.241595479413 87.9011176755776 747.641419933579</t>
  </si>
  <si>
    <t>-582.166822026499 110.218733685296 809.541999864875</t>
  </si>
  <si>
    <t>-576.064885742212 -137.611858864398 309.204293360138</t>
  </si>
  <si>
    <t>-619.942518457555 -131.95403915728 754.935167511697</t>
  </si>
  <si>
    <t>-502.744041528562 -209.86035937125 827.615476245025</t>
  </si>
  <si>
    <t>9763-20170724T105019.042913100.bin</t>
  </si>
  <si>
    <t>-686.496388973511 96.2304024550342 -541.812497049412</t>
  </si>
  <si>
    <t>-578.392158671144 154.186196089148 -274.331963660531</t>
  </si>
  <si>
    <t>-341.60201879277 191.263053426654 -249.702499855136</t>
  </si>
  <si>
    <t>-679.970171605986 49.9893713480355 -97.6006950328872</t>
  </si>
  <si>
    <t>-660.693565799262 65.620146476713 305.188008246094</t>
  </si>
  <si>
    <t>-726.205064414353 87.943932663419 747.627147394649</t>
  </si>
  <si>
    <t>-582.156508486311 110.304476633191 809.573035401684</t>
  </si>
  <si>
    <t>-576.642498470073 -137.565875943592 309.203560688714</t>
  </si>
  <si>
    <t>-620.05304187647 -132.161289114586 754.987432668908</t>
  </si>
  <si>
    <t>-502.498711963172 -209.597769483666 827.595081179607</t>
  </si>
  <si>
    <t>9763-20170724T105019.115108700.bin</t>
  </si>
  <si>
    <t>-687.346444823444 95.5522231833515 -542.109322832137</t>
  </si>
  <si>
    <t>-573.31795293853 156.547819529446 -277.783340438775</t>
  </si>
  <si>
    <t>-336.991152810417 196.475721669066 -253.160369123401</t>
  </si>
  <si>
    <t>-681.067059637017 49.9823060523115 -97.7609833115176</t>
  </si>
  <si>
    <t>-661.494662449024 65.4895778153032 305.018261102593</t>
  </si>
  <si>
    <t>-726.147573180683 87.9643791803671 747.621241200317</t>
  </si>
  <si>
    <t>-582.124880138729 110.246048975759 809.655811677404</t>
  </si>
  <si>
    <t>-578.251482610978 -137.085339772671 309.208953664885</t>
  </si>
  <si>
    <t>-620.197509041785 -132.382190649583 755.087974372179</t>
  </si>
  <si>
    <t>-502.377602812448 -209.50324736623 827.600742766302</t>
  </si>
  <si>
    <t>9763-20170724T105019.143190100.bin</t>
  </si>
  <si>
    <t>-687.855210560404 95.0671603740507 -542.41118132651</t>
  </si>
  <si>
    <t>-571.537841033916 158.562008053069 -279.675869683951</t>
  </si>
  <si>
    <t>-335.480108523384 199.27675379572 -253.792265376779</t>
  </si>
  <si>
    <t>-681.726225387815 50.0877506911747 -97.8200644965813</t>
  </si>
  <si>
    <t>-661.6659100442 65.3864952891215 304.943189477382</t>
  </si>
  <si>
    <t>-726.122567514926 87.9903499559941 747.62596467552</t>
  </si>
  <si>
    <t>-582.094716802621 110.143703236086 809.694475616537</t>
  </si>
  <si>
    <t>-579.014199415491 -136.965707132424 309.201894732389</t>
  </si>
  <si>
    <t>-620.298926987611 -132.676765709305 755.122412538726</t>
  </si>
  <si>
    <t>-502.076492116006 -209.212574802966 827.600014889444</t>
  </si>
  <si>
    <t>9763-20170724T105019.211370700.bin</t>
  </si>
  <si>
    <t>-688.919001013532 94.7949010416792 -542.969960875272</t>
  </si>
  <si>
    <t>-568.379888578155 162.64692583507 -283.243843020977</t>
  </si>
  <si>
    <t>-332.652947776207 203.808462065785 -255.146764203386</t>
  </si>
  <si>
    <t>-682.912071537223 50.5180943884909 -97.817235397653</t>
  </si>
  <si>
    <t>-661.816079600794 65.6103974450421 304.900940509664</t>
  </si>
  <si>
    <t>-726.083900233917 88.0012480124246 747.667492720994</t>
  </si>
  <si>
    <t>-582.062571054934 110.128447868684 809.760477694147</t>
  </si>
  <si>
    <t>-579.796414887522 -136.583084981854 309.172113796325</t>
  </si>
  <si>
    <t>-620.422887154973 -132.834969827012 755.186183280613</t>
  </si>
  <si>
    <t>-502.184240778771 -209.390666343698 827.616453002903</t>
  </si>
  <si>
    <t>9763-20170724T105019.242430000.bin</t>
  </si>
  <si>
    <t>-689.152175010221 94.4552657253112 -543.208025304243</t>
  </si>
  <si>
    <t>-565.932016132734 163.829827820638 -285.147598074074</t>
  </si>
  <si>
    <t>-330.389214276552 205.232030759244 -255.884962840015</t>
  </si>
  <si>
    <t>-683.266213664612 50.6118084457162 -97.8142961583605</t>
  </si>
  <si>
    <t>-661.95701185369 65.7001759638526 304.892738126542</t>
  </si>
  <si>
    <t>-726.025803529211 87.931763032127 747.673672742814</t>
  </si>
  <si>
    <t>-582.034015059341 110.257729270567 809.76371961084</t>
  </si>
  <si>
    <t>-580.118447618326 -136.464006415968 309.166042071103</t>
  </si>
  <si>
    <t>-620.506961104806 -133.05357678165 755.20379693336</t>
  </si>
  <si>
    <t>-502.032553345796 -209.266780293537 827.610172961368</t>
  </si>
  <si>
    <t>9763-20170724T105019.313626200.bin</t>
  </si>
  <si>
    <t>-689.00110219715 93.6941076960602 -543.551369418797</t>
  </si>
  <si>
    <t>-560.251742018588 165.148230234573 -288.778567701274</t>
  </si>
  <si>
    <t>-325.11322039541 206.774163478286 -256.716161268983</t>
  </si>
  <si>
    <t>-684.017231862118 50.9978823364884 -97.854353965485</t>
  </si>
  <si>
    <t>-662.600109811686 66.1728491908189 304.843618527643</t>
  </si>
  <si>
    <t>-726.00382945107 88.0315276692575 747.72137316445</t>
  </si>
  <si>
    <t>-581.989221147323 110.301264904106 809.778613141433</t>
  </si>
  <si>
    <t>-579.950360386748 -136.020731554345 309.189422789089</t>
  </si>
  <si>
    <t>-620.549804237759 -133.122193702436 755.198744749839</t>
  </si>
  <si>
    <t>-502.113801577281 -209.388292915294 827.612053297526</t>
  </si>
  <si>
    <t>9763-20170724T105019.347721100.bin</t>
  </si>
  <si>
    <t>-689.106543537498 93.427590487277 -543.713332016711</t>
  </si>
  <si>
    <t>-558.15480342241 165.391833955637 -290.209843544382</t>
  </si>
  <si>
    <t>-323.22751721296 207.277050608316 -256.957685207765</t>
  </si>
  <si>
    <t>-684.620613103165 51.3248958010124 -97.9003891300429</t>
  </si>
  <si>
    <t>-663.191721009679 66.5513845013952 304.795059058534</t>
  </si>
  <si>
    <t>-726.037960635366 88.1841438208621 747.758953697378</t>
  </si>
  <si>
    <t>-581.980675664214 110.202036208555 809.807171971668</t>
  </si>
  <si>
    <t>-579.85507005298 -135.621964766287 309.185399737099</t>
  </si>
  <si>
    <t>-620.50305058409 -133.01602967893 755.169197317988</t>
  </si>
  <si>
    <t>-502.161061297861 -209.401134839713 827.6106467327</t>
  </si>
  <si>
    <t>9763-20170724T105019.412887600.bin</t>
  </si>
  <si>
    <t>-689.493024904405 93.403718288703 -544.029255936744</t>
  </si>
  <si>
    <t>-556.149798945156 165.851343341377 -291.9140533445</t>
  </si>
  <si>
    <t>-321.509295323476 208.036073296431 -257.05482509572</t>
  </si>
  <si>
    <t>-685.95481376338 52.175033339003 -97.9548566960872</t>
  </si>
  <si>
    <t>-664.022069154613 67.0455265330884 304.72678902581</t>
  </si>
  <si>
    <t>-725.957542314591 88.1630136319086 747.836596539632</t>
  </si>
  <si>
    <t>-581.939957727038 110.476504856114 809.871578591129</t>
  </si>
  <si>
    <t>-579.634049010602 -135.135967654594 309.113946549986</t>
  </si>
  <si>
    <t>-620.534502600018 -133.131829581522 755.106503983642</t>
  </si>
  <si>
    <t>-501.911958862203 -209.06415106241 827.56491938646</t>
  </si>
  <si>
    <t>9763-20170724T105019.445493800.bin</t>
  </si>
  <si>
    <t>-689.847725046815 93.3431649119548 -544.181916512394</t>
  </si>
  <si>
    <t>-555.91687201319 166.306167611243 -292.527218266716</t>
  </si>
  <si>
    <t>-321.336269480599 208.663953034908 -257.474631736904</t>
  </si>
  <si>
    <t>-686.356226321462 52.4215537820296 -97.9679857945013</t>
  </si>
  <si>
    <t>-664.345556016522 67.2784663118891 304.70986346101</t>
  </si>
  <si>
    <t>-725.91377262572 88.1620093027736 747.883391375462</t>
  </si>
  <si>
    <t>-581.922728827731 110.685790921367 809.903793231371</t>
  </si>
  <si>
    <t>-579.522940600034 -134.887593329344 309.068507154612</t>
  </si>
  <si>
    <t>-620.58414965286 -133.268179291098 755.073126124916</t>
  </si>
  <si>
    <t>-501.81076302245 -208.961117395409 827.535636471814</t>
  </si>
  <si>
    <t>9763-20170724T105019.511679300.bin</t>
  </si>
  <si>
    <t>-690.375386737546 93.2563215938915 -544.535843919736</t>
  </si>
  <si>
    <t>-556.329758846186 167.098428831662 -293.198752224831</t>
  </si>
  <si>
    <t>-321.683648567208 209.41027407897 -258.531592941905</t>
  </si>
  <si>
    <t>-686.784796612262 52.9236710470598 -97.9708886096396</t>
  </si>
  <si>
    <t>-665.19443181305 67.9008895367497 304.725308011015</t>
  </si>
  <si>
    <t>-725.91512616048 88.3202677151353 748.016807584724</t>
  </si>
  <si>
    <t>-581.906014820371 110.793708600241 810.013573175056</t>
  </si>
  <si>
    <t>-579.145933467952 -134.36296023196 308.977220309612</t>
  </si>
  <si>
    <t>-620.579153395189 -133.233640281695 754.983053577626</t>
  </si>
  <si>
    <t>-501.779406498041 -208.850040603769 827.4815821659</t>
  </si>
  <si>
    <t>9763-20170724T105019.546909300.bin</t>
  </si>
  <si>
    <t>-690.300729917946 93.2025771006095 -544.662376280366</t>
  </si>
  <si>
    <t>-557.094849405699 167.295316802842 -292.952988650303</t>
  </si>
  <si>
    <t>-322.343177259683 209.38809244739 -258.736484638757</t>
  </si>
  <si>
    <t>-686.815020930299 53.270417500278 -98.0258869044936</t>
  </si>
  <si>
    <t>-665.670231044325 68.2722927846107 304.69297469467</t>
  </si>
  <si>
    <t>-725.91724532445 88.5463018405621 748.04736126575</t>
  </si>
  <si>
    <t>-581.910530999659 110.877249288699 810.101383994159</t>
  </si>
  <si>
    <t>-579.182360443309 -134.026870278255 308.927036330794</t>
  </si>
  <si>
    <t>-620.558691748864 -133.144133425814 754.92167457991</t>
  </si>
  <si>
    <t>-501.842503851535 -208.851226137806 827.462636545111</t>
  </si>
  <si>
    <t>9763-20170724T105019.612071200.bin</t>
  </si>
  <si>
    <t>-691.040820516624 94.3309628073355 -544.517078130612</t>
  </si>
  <si>
    <t>-562.655984771843 167.299421403343 -289.989777389107</t>
  </si>
  <si>
    <t>-327.436076671387 209.578917594726 -259.414176340555</t>
  </si>
  <si>
    <t>-688.181254670021 54.4037200787523 -98.0190092919486</t>
  </si>
  <si>
    <t>-668.036817682317 68.8598161288446 304.771100851145</t>
  </si>
  <si>
    <t>-726.014602899489 88.8151000843059 748.440419448366</t>
  </si>
  <si>
    <t>-581.968551911578 110.667122162206 810.573566364613</t>
  </si>
  <si>
    <t>-578.599990292882 -133.964791782476 308.823859839422</t>
  </si>
  <si>
    <t>-620.363464541173 -132.56977210242 754.770494678612</t>
  </si>
  <si>
    <t>-502.247506326572 -209.081349434727 827.447101525561</t>
  </si>
  <si>
    <t>9763-20170724T105019.644189400.bin</t>
  </si>
  <si>
    <t>-692.075869100135 95.1850051417914 -544.058608961158</t>
  </si>
  <si>
    <t>-567.101866301614 166.9963886178 -287.512551872146</t>
  </si>
  <si>
    <t>-331.619454215602 209.144848926539 -258.834777553772</t>
  </si>
  <si>
    <t>-689.013011721974 54.6495927842375 -97.9642419227715</t>
  </si>
  <si>
    <t>-669.539961794989 68.8816949189325 304.86695335997</t>
  </si>
  <si>
    <t>-726.039293764742 88.7597076882873 748.714960989676</t>
  </si>
  <si>
    <t>-581.985897600979 110.61490466437 810.830004018693</t>
  </si>
  <si>
    <t>-578.274474145112 -134.05309035718 308.78440122432</t>
  </si>
  <si>
    <t>-620.248451463997 -132.111129390555 754.718136283561</t>
  </si>
  <si>
    <t>-502.819158559715 -209.617139106387 827.453837694882</t>
  </si>
  <si>
    <t>9763-20170724T105019.708342100.bin</t>
  </si>
  <si>
    <t>-694.116473690988 96.8160507561881 -542.80567755369</t>
  </si>
  <si>
    <t>-576.672931481336 165.451130083598 -281.869985480708</t>
  </si>
  <si>
    <t>-340.619131257669 207.292646864658 -257.812623940213</t>
  </si>
  <si>
    <t>-690.061833039053 55.2281180841906 -97.8448269255347</t>
  </si>
  <si>
    <t>-670.656171731207 69.1824883115785 304.9992296567</t>
  </si>
  <si>
    <t>-726.084562772088 88.8936795064117 749.068888152761</t>
  </si>
  <si>
    <t>-581.982584041236 110.455166598933 811.173703413862</t>
  </si>
  <si>
    <t>-578.452540730628 -133.977227245866 308.878269025309</t>
  </si>
  <si>
    <t>-620.360755728772 -132.000819674483 754.805398377989</t>
  </si>
  <si>
    <t>-503.08573997657 -209.815895747331 827.459751843283</t>
  </si>
  <si>
    <t>9763-20170724T105019.745996700.bin</t>
  </si>
  <si>
    <t>-695.444556833159 97.178884402997 -542.27317273082</t>
  </si>
  <si>
    <t>-581.859827479922 163.706338003487 -279.092928570518</t>
  </si>
  <si>
    <t>-345.711532434698 205.387687537303 -255.693393143003</t>
  </si>
  <si>
    <t>-689.979785601596 55.0818603938392 -97.7460119228465</t>
  </si>
  <si>
    <t>-670.225150540243 69.1932348009063 305.07566441243</t>
  </si>
  <si>
    <t>-725.981035952595 88.7434445123492 749.115733620587</t>
  </si>
  <si>
    <t>-581.957828490684 110.775550962575 811.238314345147</t>
  </si>
  <si>
    <t>-578.450549188581 -133.802837379101 308.950916324568</t>
  </si>
  <si>
    <t>-620.34906155687 -131.872721577129 754.837455496273</t>
  </si>
  <si>
    <t>-503.05864182681 -209.681497955534 827.473956193355</t>
  </si>
  <si>
    <t>9763-20170724T105019.811153700.bin</t>
  </si>
  <si>
    <t>-697.619898993185 96.1655794533758 -541.828972634454</t>
  </si>
  <si>
    <t>-594.846916847091 158.20067723202 -273.164550224577</t>
  </si>
  <si>
    <t>-359.079398619945 200.913280609236 -247.862794656787</t>
  </si>
  <si>
    <t>-688.868785233972 54.5641501542486 -97.4900171944753</t>
  </si>
  <si>
    <t>-669.204093673242 68.5728517557184 305.339629901489</t>
  </si>
  <si>
    <t>-725.949006892484 88.7543757883495 749.240056729152</t>
  </si>
  <si>
    <t>-581.925367363434 110.721999789944 811.384448042168</t>
  </si>
  <si>
    <t>-577.032089216493 -134.195951905066 309.039299916606</t>
  </si>
  <si>
    <t>-620.363000835256 -131.845338759529 754.814158946214</t>
  </si>
  <si>
    <t>-502.882224109705 -209.34920538441 827.469009402927</t>
  </si>
  <si>
    <t>9763-20170724T105019.845752800.bin</t>
  </si>
  <si>
    <t>-698.39968640658 95.8097678724644 -541.663771116774</t>
  </si>
  <si>
    <t>-602.495396279063 155.793841700237 -270.01053211779</t>
  </si>
  <si>
    <t>-366.903016657872 197.656670608644 -241.821773153225</t>
  </si>
  <si>
    <t>-688.225954897483 54.343293251098 -97.3506347019357</t>
  </si>
  <si>
    <t>-668.690068600622 68.2590380264533 305.488531526639</t>
  </si>
  <si>
    <t>-725.931011914812 88.7230773273259 749.313531245167</t>
  </si>
  <si>
    <t>-581.930172340195 110.848280622234 811.454689115119</t>
  </si>
  <si>
    <t>-576.304876347301 -134.357910144251 309.064271894245</t>
  </si>
  <si>
    <t>-620.283847509697 -131.555725270398 754.790043105474</t>
  </si>
  <si>
    <t>-502.964336071342 -209.279302799089 827.470494756729</t>
  </si>
  <si>
    <t>9763-20170724T105019.915941600.bin</t>
  </si>
  <si>
    <t>-699.693866565955 96.4279937524852 -540.978994861409</t>
  </si>
  <si>
    <t>-615.80614920047 153.627687080055 -264.786489093817</t>
  </si>
  <si>
    <t>-380.738519813958 193.753085865013 -230.377460785945</t>
  </si>
  <si>
    <t>-686.994312251009 54.0710612973846 -97.1171884776043</t>
  </si>
  <si>
    <t>-667.571296812835 67.9379613763474 305.729130134577</t>
  </si>
  <si>
    <t>-725.927709690539 88.6790035897859 749.386487042358</t>
  </si>
  <si>
    <t>-581.875252912087 110.46423100733 811.528480416581</t>
  </si>
  <si>
    <t>-575.40573536492 -134.847897478695 309.207988288737</t>
  </si>
  <si>
    <t>-620.313471564439 -131.508315241271 754.803398969068</t>
  </si>
  <si>
    <t>-502.979434300206 -209.213442736174 827.480414659284</t>
  </si>
  <si>
    <t>9763-20170724T105019.947037500.bin</t>
  </si>
  <si>
    <t>-700.373781508225 96.8314823316109 -540.539530017449</t>
  </si>
  <si>
    <t>-618.578010345715 152.791536493609 -263.467080688909</t>
  </si>
  <si>
    <t>-383.703825142825 193.297558184835 -228.192609853511</t>
  </si>
  <si>
    <t>-686.4691123782 53.7663730388176 -97.0496007560391</t>
  </si>
  <si>
    <t>-666.887669969386 67.758897357287 305.784633097051</t>
  </si>
  <si>
    <t>-725.913831948971 88.6074207923589 749.360625396413</t>
  </si>
  <si>
    <t>-581.898514213528 110.647620206386 811.498509158327</t>
  </si>
  <si>
    <t>-575.262879845848 -135.028361976143 309.293906359824</t>
  </si>
  <si>
    <t>-620.37000905984 -131.619563061989 754.831052755685</t>
  </si>
  <si>
    <t>-502.812322322862 -209.002032214764 827.490662422289</t>
  </si>
  <si>
    <t>9763-20170724T105020.012212900.bin</t>
  </si>
  <si>
    <t>-700.806561503552 96.589576723414 -540.0088845477</t>
  </si>
  <si>
    <t>-615.34139103451 151.517324983076 -263.838883587118</t>
  </si>
  <si>
    <t>-380.303926652762 192.118006032159 -229.782266810743</t>
  </si>
  <si>
    <t>-685.466428637446 52.8869734019522 -97.0645740097702</t>
  </si>
  <si>
    <t>-666.210881649872 67.2923741851851 305.770846030666</t>
  </si>
  <si>
    <t>-725.882996392275 88.4591809033927 749.230562049337</t>
  </si>
  <si>
    <t>-581.867781146366 110.454431893057 811.384639874002</t>
  </si>
  <si>
    <t>-575.145329410463 -135.245835373902 309.317161560856</t>
  </si>
  <si>
    <t>-620.371568283967 -131.521579880199 754.866537958179</t>
  </si>
  <si>
    <t>-502.644896325254 -208.653039426678 827.51960377052</t>
  </si>
  <si>
    <t>9763-20170724T105020.042877900.bin</t>
  </si>
  <si>
    <t>-700.585620572759 96.2286424113256 -540.149401531856</t>
  </si>
  <si>
    <t>-611.772688996692 151.711195024611 -265.14907440038</t>
  </si>
  <si>
    <t>-376.442644367852 191.890687762868 -232.649597837962</t>
  </si>
  <si>
    <t>-684.916671567446 52.489456649595 -97.160706065507</t>
  </si>
  <si>
    <t>-666.321422570476 67.1693243308525 305.695790055912</t>
  </si>
  <si>
    <t>-725.827957808669 88.3345836291633 749.159608948029</t>
  </si>
  <si>
    <t>-581.846056540963 110.502375671055 811.329349636922</t>
  </si>
  <si>
    <t>-575.033693265473 -135.529020431488 309.295371114021</t>
  </si>
  <si>
    <t>-620.422754723524 -131.608681618268 754.881525552448</t>
  </si>
  <si>
    <t>-502.601347398901 -208.608790704094 827.520392381257</t>
  </si>
  <si>
    <t>9763-20170724T105020.111057800.bin</t>
  </si>
  <si>
    <t>-699.094717728883 95.5569195855637 -540.657695860268</t>
  </si>
  <si>
    <t>-603.766894715182 153.368636752816 -268.331372160943</t>
  </si>
  <si>
    <t>-367.748439346434 192.674210112526 -240.025185465711</t>
  </si>
  <si>
    <t>-683.44963780704 52.0434375453519 -97.2977859393505</t>
  </si>
  <si>
    <t>-666.447120904399 66.77355179191 305.62731057549</t>
  </si>
  <si>
    <t>-725.801116758113 88.2760196396307 749.084020050973</t>
  </si>
  <si>
    <t>-581.863307994994 110.592592928547 811.302767814327</t>
  </si>
  <si>
    <t>-575.199680153019 -136.037263075124 309.282422236327</t>
  </si>
  <si>
    <t>-620.486185210497 -131.635261020785 754.901358741251</t>
  </si>
  <si>
    <t>-502.593532819821 -208.559442372773 827.504913421645</t>
  </si>
  <si>
    <t>9763-20170724T105020.146878400.bin</t>
  </si>
  <si>
    <t>-698.448387097572 95.4088702398012 -540.997025042622</t>
  </si>
  <si>
    <t>-601.158589555268 153.502531758708 -269.425467725492</t>
  </si>
  <si>
    <t>-365.152961309565 193.293740287051 -241.69785318467</t>
  </si>
  <si>
    <t>-682.625807577399 51.8196217482312 -97.2988107112526</t>
  </si>
  <si>
    <t>-666.277452810526 66.5191637180249 305.654471980789</t>
  </si>
  <si>
    <t>-725.798498573905 88.2420456842799 749.085468122329</t>
  </si>
  <si>
    <t>-581.847154775341 110.413015220804 811.324988896871</t>
  </si>
  <si>
    <t>-575.375091534824 -136.332027364703 309.276809312038</t>
  </si>
  <si>
    <t>-620.550572633257 -131.761427344221 754.911522387906</t>
  </si>
  <si>
    <t>-502.701335991247 -208.759141271676 827.507736544836</t>
  </si>
  <si>
    <t>9763-20170724T105020.208025100.bin</t>
  </si>
  <si>
    <t>-698.276069004626 94.6082756400342 -541.56862755345</t>
  </si>
  <si>
    <t>-598.935114318652 154.67238494234 -271.171024770494</t>
  </si>
  <si>
    <t>-363.208917786854 194.667872208119 -241.431685370672</t>
  </si>
  <si>
    <t>-681.370345483786 51.3478709860526 -97.2022620699307</t>
  </si>
  <si>
    <t>-665.438923801283 65.9497064259797 305.771273421141</t>
  </si>
  <si>
    <t>-725.716538320674 87.965986111946 749.080225682193</t>
  </si>
  <si>
    <t>-581.821971845134 110.458274439122 811.335443634705</t>
  </si>
  <si>
    <t>-575.805078671965 -136.919203500012 309.341906382877</t>
  </si>
  <si>
    <t>-620.681288026678 -131.947223929725 754.978157665709</t>
  </si>
  <si>
    <t>-502.602728884011 -208.648565759067 827.515069684851</t>
  </si>
  <si>
    <t>9763-20170724T105020.242842900.bin</t>
  </si>
  <si>
    <t>-698.142756655635 94.2267230080056 -541.765081463404</t>
  </si>
  <si>
    <t>-597.898304203269 155.486287700561 -271.969861914189</t>
  </si>
  <si>
    <t>-362.269915761875 195.140182473112 -241.023101009226</t>
  </si>
  <si>
    <t>-680.864716010269 51.0932479548285 -97.152684618493</t>
  </si>
  <si>
    <t>-665.110973366567 65.6666422675426 305.82885335985</t>
  </si>
  <si>
    <t>-725.661822638809 87.7802900217446 749.088009185889</t>
  </si>
  <si>
    <t>-581.784767172163 110.406301493112 811.335395203754</t>
  </si>
  <si>
    <t>-576.008521422564 -136.964542074511 309.372908777806</t>
  </si>
  <si>
    <t>-620.709368942264 -131.909270989022 755.023197942954</t>
  </si>
  <si>
    <t>-502.693966334754 -208.732505780635 827.534346287545</t>
  </si>
  <si>
    <t>9763-20170724T105020.313026100.bin</t>
  </si>
  <si>
    <t>-697.525624514006 93.9861837127082 -541.860435611254</t>
  </si>
  <si>
    <t>-594.470363979778 156.012175304985 -273.302055340465</t>
  </si>
  <si>
    <t>-358.987114220786 195.457446109551 -241.01311096385</t>
  </si>
  <si>
    <t>-680.166678435332 50.6751885831316 -97.0905678966105</t>
  </si>
  <si>
    <t>-664.900826962827 65.315604882062 305.907237322506</t>
  </si>
  <si>
    <t>-725.576262688872 87.5020755878998 749.102059282043</t>
  </si>
  <si>
    <t>-581.764368542555 110.547054014919 811.346492263154</t>
  </si>
  <si>
    <t>-576.080279704767 -137.288461738172 309.45211177635</t>
  </si>
  <si>
    <t>-620.798065972697 -132.017975035617 755.092172056196</t>
  </si>
  <si>
    <t>-502.568010879645 -208.566179189302 827.544479137654</t>
  </si>
  <si>
    <t>9763-20170724T105020.346841300.bin</t>
  </si>
  <si>
    <t>-697.265469909417 93.9827046190997 -541.901696951795</t>
  </si>
  <si>
    <t>-592.184775450546 155.957743704717 -274.11758742602</t>
  </si>
  <si>
    <t>-356.685613573894 195.385301970069 -241.922235242675</t>
  </si>
  <si>
    <t>-680.169291606594 50.6698523943041 -97.0976771873198</t>
  </si>
  <si>
    <t>-664.979928723189 65.17322751439 305.908040018288</t>
  </si>
  <si>
    <t>-725.535019629229 87.3782248241118 749.118089539757</t>
  </si>
  <si>
    <t>-581.754002035965 110.628911951873 811.357260446185</t>
  </si>
  <si>
    <t>-576.198708673389 -137.215169102482 309.466312315608</t>
  </si>
  <si>
    <t>-620.760571250809 -131.910558269045 755.087361440267</t>
  </si>
  <si>
    <t>-502.581842551623 -208.52224775098 827.556008830922</t>
  </si>
  <si>
    <t>9763-20170724T105020.407000700.bin</t>
  </si>
  <si>
    <t>-697.169591760393 94.1083216713075 -542.218209542882</t>
  </si>
  <si>
    <t>-587.765450521347 156.816751763605 -276.343179725958</t>
  </si>
  <si>
    <t>-352.349436308997 196.51982525412 -243.880650281124</t>
  </si>
  <si>
    <t>-680.583379239321 50.8883638177956 -97.1793228858247</t>
  </si>
  <si>
    <t>-665.488033558407 65.2682438496981 305.834404837785</t>
  </si>
  <si>
    <t>-725.55559502021 87.3944589438597 749.133165559191</t>
  </si>
  <si>
    <t>-581.724167527616 110.375017725437 811.356104652311</t>
  </si>
  <si>
    <t>-576.729770806351 -136.829883465402 309.42023738687</t>
  </si>
  <si>
    <t>-620.739983147057 -131.794177790977 755.100990298397</t>
  </si>
  <si>
    <t>-502.730098180512 -208.648453301426 827.588267349414</t>
  </si>
  <si>
    <t>9763-20170724T105020.445081200.bin</t>
  </si>
  <si>
    <t>-697.050795738066 94.2015858535467 -542.419760665775</t>
  </si>
  <si>
    <t>-585.811823208569 157.572127494428 -277.464514750591</t>
  </si>
  <si>
    <t>-350.467025837598 197.346676312382 -244.57531816312</t>
  </si>
  <si>
    <t>-680.848649390163 51.0775491321663 -97.2175577067949</t>
  </si>
  <si>
    <t>-665.605183798044 65.3705552630443 305.793603848114</t>
  </si>
  <si>
    <t>-725.556480862493 87.3845672931745 749.140547405923</t>
  </si>
  <si>
    <t>-581.718607970326 110.375256617833 811.345104886701</t>
  </si>
  <si>
    <t>-577.061846539213 -136.626392593423 309.412211536066</t>
  </si>
  <si>
    <t>-620.757465928481 -131.80750635108 755.114572319642</t>
  </si>
  <si>
    <t>-502.618479520066 -208.468972638808 827.59594360245</t>
  </si>
  <si>
    <t>9763-20170724T105020.511258700.bin</t>
  </si>
  <si>
    <t>-696.565735710361 94.3810799627231 -542.865671240448</t>
  </si>
  <si>
    <t>-582.372873747248 159.062760404374 -279.488608824607</t>
  </si>
  <si>
    <t>-347.362591699984 199.505984369931 -245.059188704472</t>
  </si>
  <si>
    <t>-681.239327824236 51.5706250585156 -97.2804551569423</t>
  </si>
  <si>
    <t>-665.887495020801 65.7691406699125 305.729898497368</t>
  </si>
  <si>
    <t>-725.646428085859 87.5198822655739 749.131284551525</t>
  </si>
  <si>
    <t>-581.730286086238 110.12432475883 811.29628113901</t>
  </si>
  <si>
    <t>-577.602473514371 -136.035127632175 309.407687985472</t>
  </si>
  <si>
    <t>-620.7477269372 -131.737764264868 755.128718460481</t>
  </si>
  <si>
    <t>-502.677748224236 -208.479538275413 827.637244499975</t>
  </si>
  <si>
    <t>9763-20170724T105020.546927300.bin</t>
  </si>
  <si>
    <t>-696.311145881613 93.9982348233502 -543.190711753098</t>
  </si>
  <si>
    <t>-581.074144145035 159.268979410483 -280.414451921899</t>
  </si>
  <si>
    <t>-346.291786189274 200.269750561965 -245.100588783064</t>
  </si>
  <si>
    <t>-681.117756950679 51.6024710568681 -97.3068622786033</t>
  </si>
  <si>
    <t>-665.938273716898 65.8393137676385 305.708761319677</t>
  </si>
  <si>
    <t>-725.609312660327 87.4508588418146 749.113666212312</t>
  </si>
  <si>
    <t>-581.709327006837 110.17106121887 811.274116218901</t>
  </si>
  <si>
    <t>-577.798116351787 -135.984106389223 309.396967505459</t>
  </si>
  <si>
    <t>-620.831972017461 -131.969588450132 755.155862523247</t>
  </si>
  <si>
    <t>-502.572563188022 -208.429265549829 827.653580327611</t>
  </si>
  <si>
    <t>9763-20170724T105020.623144100.bin</t>
  </si>
  <si>
    <t>-696.615187827549 93.3858608739863 -543.829803878923</t>
  </si>
  <si>
    <t>-579.358224780143 159.535325688612 -282.169211753753</t>
  </si>
  <si>
    <t>-345.336463574441 202.052663277962 -243.738567448636</t>
  </si>
  <si>
    <t>-681.008404274488 52.3423412296088 -97.4701698872478</t>
  </si>
  <si>
    <t>-666.410814368243 66.3626784991827 305.574554045281</t>
  </si>
  <si>
    <t>-725.685456595264 87.6450240933209 749.024410611053</t>
  </si>
  <si>
    <t>-581.763835900993 110.168621864065 811.206005732035</t>
  </si>
  <si>
    <t>-577.86787203097 -135.891552174495 309.405820351519</t>
  </si>
  <si>
    <t>-620.740774655939 -131.634454865349 755.152619558069</t>
  </si>
  <si>
    <t>-502.886166388366 -208.678137315837 827.691050617889</t>
  </si>
  <si>
    <t>9763-20170724T105020.649766700.bin</t>
  </si>
  <si>
    <t>-696.956239177489 93.2554207548699 -544.005549338259</t>
  </si>
  <si>
    <t>-578.760364917539 159.774175581198 -282.861454085428</t>
  </si>
  <si>
    <t>-345.351381302961 203.298563619187 -241.913751369989</t>
  </si>
  <si>
    <t>-680.850722450458 52.6983972393582 -97.5705706016586</t>
  </si>
  <si>
    <t>-666.846337970482 66.6002119346124 305.499240970783</t>
  </si>
  <si>
    <t>-725.727031602717 87.7453827426243 749.018571940392</t>
  </si>
  <si>
    <t>-581.764355810696 109.991907422511 811.204847372597</t>
  </si>
  <si>
    <t>-577.767769709212 -135.869855618795 309.400204512329</t>
  </si>
  <si>
    <t>-620.65077142947 -131.345063933468 755.14198995322</t>
  </si>
  <si>
    <t>-503.114901135026 -208.849486401165 827.70704243849</t>
  </si>
  <si>
    <t>9763-20170724T105020.712930400.bin</t>
  </si>
  <si>
    <t>-698.194454278557 93.4337721636873 -544.06890261398</t>
  </si>
  <si>
    <t>-578.811188129283 158.876528440089 -283.19318964029</t>
  </si>
  <si>
    <t>-346.123522430674 203.27836384796 -239.195848603541</t>
  </si>
  <si>
    <t>-681.330756136653 53.7032905853591 -97.7035643863341</t>
  </si>
  <si>
    <t>-667.974709667473 66.9744534268577 305.409490026353</t>
  </si>
  <si>
    <t>-725.960913104694 88.0709922692529 749.082551148938</t>
  </si>
  <si>
    <t>-581.873371703826 109.535164027275 811.254500494237</t>
  </si>
  <si>
    <t>-578.103369458177 -135.826261020908 309.419908365101</t>
  </si>
  <si>
    <t>-620.675644465463 -131.270679931813 755.175864831452</t>
  </si>
  <si>
    <t>-503.077028456682 -208.714576018952 827.703649333749</t>
  </si>
  <si>
    <t>9763-20170724T105020.744605300.bin</t>
  </si>
  <si>
    <t>-699.067595623014 93.3452479851146 -544.108563066029</t>
  </si>
  <si>
    <t>-579.204506176731 157.722010609475 -283.187793971195</t>
  </si>
  <si>
    <t>-346.553215814775 202.101338621912 -238.975792855923</t>
  </si>
  <si>
    <t>-681.622462218746 53.9781992636965 -97.8217139237313</t>
  </si>
  <si>
    <t>-668.37653289896 67.1343418796603 305.298790330232</t>
  </si>
  <si>
    <t>-725.97235431249 88.0679454781662 749.042155714333</t>
  </si>
  <si>
    <t>-581.878676891439 109.437872981765 811.232290638856</t>
  </si>
  <si>
    <t>-578.626550965176 -135.613856514686 309.403925245652</t>
  </si>
  <si>
    <t>-620.779568724344 -131.4907943177 755.195537623042</t>
  </si>
  <si>
    <t>-502.896798343115 -208.534028002534 827.688738366644</t>
  </si>
  <si>
    <t>9763-20170724T105020.810782000.bin</t>
  </si>
  <si>
    <t>-700.101741351906 92.3866682591854 -544.261865982678</t>
  </si>
  <si>
    <t>-579.463959303333 155.754309439688 -283.450928925728</t>
  </si>
  <si>
    <t>-346.537240723234 199.788630624068 -240.357965000527</t>
  </si>
  <si>
    <t>-681.342404571699 53.4687922475302 -98.0296433104274</t>
  </si>
  <si>
    <t>-667.851795014876 66.9753620251672 305.071129614184</t>
  </si>
  <si>
    <t>-725.899407587747 87.998420371513 748.836604777003</t>
  </si>
  <si>
    <t>-581.883013561277 109.752587359308 811.07268003009</t>
  </si>
  <si>
    <t>-578.441126546848 -135.63576330126 309.356866889735</t>
  </si>
  <si>
    <t>-620.754917515133 -131.392544799487 755.167841529343</t>
  </si>
  <si>
    <t>-502.90646521322 -208.455918744849 827.695363105689</t>
  </si>
  <si>
    <t>9763-20170724T105020.842484100.bin</t>
  </si>
  <si>
    <t>-700.463966483061 91.7548355147271 -544.35230023114</t>
  </si>
  <si>
    <t>-579.596579044369 154.785747964709 -283.566213002064</t>
  </si>
  <si>
    <t>-346.40746914752 198.443845935113 -241.522036309609</t>
  </si>
  <si>
    <t>-681.290495956312 53.0863171888554 -98.0421577760657</t>
  </si>
  <si>
    <t>-667.675364401689 66.703624296232 305.050705430508</t>
  </si>
  <si>
    <t>-725.879753906089 88.0134003617993 748.771300317057</t>
  </si>
  <si>
    <t>-581.885064864393 109.845252318288 811.030213677985</t>
  </si>
  <si>
    <t>-577.93700097714 -135.96890627487 309.314150972232</t>
  </si>
  <si>
    <t>-620.777046846436 -131.416741532244 755.140301998275</t>
  </si>
  <si>
    <t>-502.821843295774 -208.315283128637 827.669626357469</t>
  </si>
  <si>
    <t>9763-20170724T105020.913673600.bin</t>
  </si>
  <si>
    <t>-700.805511640171 90.2867138921667 -544.332871736991</t>
  </si>
  <si>
    <t>-579.417599157292 152.87165855446 -283.681154291115</t>
  </si>
  <si>
    <t>-345.816316996078 196.110954893331 -243.53545273586</t>
  </si>
  <si>
    <t>-681.182577884926 52.0248574531727 -97.9641182464653</t>
  </si>
  <si>
    <t>-667.67504343816 66.0481298625532 305.118440001607</t>
  </si>
  <si>
    <t>-725.864238454134 88.0217783960948 748.757953710375</t>
  </si>
  <si>
    <t>-581.897164505904 109.979323247544 811.036725633539</t>
  </si>
  <si>
    <t>-577.174530778512 -136.597008848638 309.294289061643</t>
  </si>
  <si>
    <t>-620.739143702249 -131.191074198828 755.077555378006</t>
  </si>
  <si>
    <t>-502.790183191491 -208.095509357943 827.610702922508</t>
  </si>
  <si>
    <t>9763-20170724T105021.008934900.bin</t>
  </si>
  <si>
    <t>-701.337517821619 88.8562018817745 -543.963888414761</t>
  </si>
  <si>
    <t>-579.741425763103 150.056514785366 -283.080623378151</t>
  </si>
  <si>
    <t>-344.989212273652 192.523590793624 -249.333654387202</t>
  </si>
  <si>
    <t>-681.513041279592 50.6340000647958 -97.8673010513896</t>
  </si>
  <si>
    <t>-667.921160793839 65.2780878895035 305.190373408438</t>
  </si>
  <si>
    <t>-725.832186617103 87.9061613159054 748.76766671</t>
  </si>
  <si>
    <t>-581.885333576498 109.959135700869 811.059582294831</t>
  </si>
  <si>
    <t>-576.700918975683 -137.281420898855 309.348024337518</t>
  </si>
  <si>
    <t>-620.796856288167 -131.148909718396 755.043736313193</t>
  </si>
  <si>
    <t>-502.746739093889 -207.912621161856 827.56104995467</t>
  </si>
  <si>
    <t>9763-20170724T105021.046911800.bin</t>
  </si>
  <si>
    <t>-701.583258690748 88.412767359855 -543.894382129149</t>
  </si>
  <si>
    <t>-579.98625821132 149.327041021859 -282.944541580389</t>
  </si>
  <si>
    <t>-344.978763395947 191.829311098098 -251.071225496484</t>
  </si>
  <si>
    <t>-681.63587484402 50.2450674598001 -97.8651214490739</t>
  </si>
  <si>
    <t>-668.089071164904 65.0366819839558 305.188693936493</t>
  </si>
  <si>
    <t>-725.785504636033 87.8007764086649 748.787691373727</t>
  </si>
  <si>
    <t>-581.867439675754 109.99577497628 811.095528298952</t>
  </si>
  <si>
    <t>-576.883702988095 -137.434369000487 309.379587858173</t>
  </si>
  <si>
    <t>-620.85928648614 -131.241110130406 755.068626302413</t>
  </si>
  <si>
    <t>-502.689124711254 -207.846064680958 827.558645240797</t>
  </si>
  <si>
    <t>9763-20170724T105021.111081400.bin</t>
  </si>
  <si>
    <t>-701.845880891914 87.8700793968667 -543.879899022928</t>
  </si>
  <si>
    <t>-580.355312458619 148.051650749695 -282.710519116933</t>
  </si>
  <si>
    <t>-344.893569983107 191.139690755899 -255.287156752775</t>
  </si>
  <si>
    <t>-681.811113767206 49.623900796211 -97.8633831030958</t>
  </si>
  <si>
    <t>-668.374207475845 64.8086840828735 305.179481553368</t>
  </si>
  <si>
    <t>-725.822438479742 87.8284996966138 748.803738154808</t>
  </si>
  <si>
    <t>-581.916184909722 110.07756282354 811.11966164285</t>
  </si>
  <si>
    <t>-577.177934532267 -137.685452018435 309.438334299952</t>
  </si>
  <si>
    <t>-620.958583142232 -131.283952694514 755.146175643066</t>
  </si>
  <si>
    <t>-502.673463261399 -207.77847640353 827.56531569134</t>
  </si>
  <si>
    <t>9763-20170724T105021.144207000.bin</t>
  </si>
  <si>
    <t>-702.07157374279 87.5964723008069 -543.893312887557</t>
  </si>
  <si>
    <t>-580.570133322941 147.421088265546 -282.647055176876</t>
  </si>
  <si>
    <t>-344.932138929184 190.867225050703 -257.386293836229</t>
  </si>
  <si>
    <t>-681.910013945888 49.3755027356128 -97.8539855220134</t>
  </si>
  <si>
    <t>-668.464038270629 64.6644372418343 305.184614583271</t>
  </si>
  <si>
    <t>-725.815732856001 87.7630434123025 748.817640617462</t>
  </si>
  <si>
    <t>-581.92261040819 110.148893303929 811.114950939415</t>
  </si>
  <si>
    <t>-577.338149279859 -137.875960047225 309.454264745732</t>
  </si>
  <si>
    <t>-621.011799260616 -131.372869390893 755.17237404298</t>
  </si>
  <si>
    <t>-502.458820798271 -207.48638088852 827.554970741381</t>
  </si>
  <si>
    <t>9763-20170724T105021.208377400.bin</t>
  </si>
  <si>
    <t>-702.717876103177 87.309738841964 -543.938626734586</t>
  </si>
  <si>
    <t>-580.932050569812 146.134791015105 -282.597753746828</t>
  </si>
  <si>
    <t>-345.128226406696 190.981181266894 -261.711468981134</t>
  </si>
  <si>
    <t>-682.245300819778 49.1488459974437 -97.8769341774741</t>
  </si>
  <si>
    <t>-668.864902842246 64.617045954122 305.157015305615</t>
  </si>
  <si>
    <t>-725.90357741307 87.8725432144868 748.810064671678</t>
  </si>
  <si>
    <t>-581.936321457849 109.806356584191 811.096700351746</t>
  </si>
  <si>
    <t>-577.732640337914 -137.845688742265 309.475007665095</t>
  </si>
  <si>
    <t>-621.050678351417 -131.368518692446 755.201483668902</t>
  </si>
  <si>
    <t>-502.604025005958 -207.651518633089 827.579692192545</t>
  </si>
  <si>
    <t>9763-20170724T105021.258480800.bin</t>
  </si>
  <si>
    <t>-702.990422662756 87.1949551019943 -543.966498758938</t>
  </si>
  <si>
    <t>-581.105283903275 145.613264138742 -282.580679458995</t>
  </si>
  <si>
    <t>-345.275511354756 191.126755230208 -263.511193087843</t>
  </si>
  <si>
    <t>-682.424082697328 49.0422488810564 -97.9159798388636</t>
  </si>
  <si>
    <t>-669.02472308788 64.6387299715541 305.112403825443</t>
  </si>
  <si>
    <t>-725.955223509662 87.9437854572236 748.736187623871</t>
  </si>
  <si>
    <t>-581.966427719978 109.720207365899 811.028249636245</t>
  </si>
  <si>
    <t>-577.886442160479 -137.838800723924 309.454005871803</t>
  </si>
  <si>
    <t>-621.021930306108 -131.237183985902 755.204229660665</t>
  </si>
  <si>
    <t>-502.524048464629 -207.44457001736 827.578147416615</t>
  </si>
  <si>
    <t>9763-20170724T105021.311616300.bin</t>
  </si>
  <si>
    <t>-703.492512593776 86.8848502604321 -544.000275466975</t>
  </si>
  <si>
    <t>-581.199075679073 144.251877439771 -282.572391536135</t>
  </si>
  <si>
    <t>-345.529780743333 192.263682552204 -268.230372374222</t>
  </si>
  <si>
    <t>-682.75003640796 48.6952376677782 -98.0091975611869</t>
  </si>
  <si>
    <t>-669.18912342505 64.4332634041148 305.008313983739</t>
  </si>
  <si>
    <t>-725.916115877811 87.8292826694253 748.683726844544</t>
  </si>
  <si>
    <t>-581.963824215988 109.788882674743 810.996099129647</t>
  </si>
  <si>
    <t>-578.171340963686 -137.858504756386 309.406711363697</t>
  </si>
  <si>
    <t>-621.067386440119 -131.271660673132 755.212493813046</t>
  </si>
  <si>
    <t>-502.475800691622 -207.346865538128 827.571878986082</t>
  </si>
  <si>
    <t>9763-20170724T105021.344716800.bin</t>
  </si>
  <si>
    <t>-703.762821882599 86.7861632482316 -543.975469819618</t>
  </si>
  <si>
    <t>-581.161044472209 143.956512048369 -282.649104383286</t>
  </si>
  <si>
    <t>-345.62103291562 193.021501138843 -269.826463655396</t>
  </si>
  <si>
    <t>-682.897167011968 48.6333691284447 -98.0335190293033</t>
  </si>
  <si>
    <t>-669.335540543892 64.4141081357791 304.982252863111</t>
  </si>
  <si>
    <t>-725.923390816487 87.824928407118 748.677428472928</t>
  </si>
  <si>
    <t>-581.963533138274 109.692134139114 811.004662952211</t>
  </si>
  <si>
    <t>-578.282382160163 -137.767232220757 309.388142272623</t>
  </si>
  <si>
    <t>-621.044342680598 -131.164784377487 755.206658806529</t>
  </si>
  <si>
    <t>-502.564624120649 -207.405477662384 827.575082919031</t>
  </si>
  <si>
    <t>9763-20170724T105021.407884300.bin</t>
  </si>
  <si>
    <t>-704.303859335605 86.5668593321504 -543.987498741216</t>
  </si>
  <si>
    <t>-581.259038379841 143.918352391334 -282.909026518544</t>
  </si>
  <si>
    <t>-346.04967866867 195.131980577228 -272.67940506489</t>
  </si>
  <si>
    <t>-683.088881390141 48.446594249363 -98.1071152815271</t>
  </si>
  <si>
    <t>-669.605412731498 64.3323480514725 304.907174550027</t>
  </si>
  <si>
    <t>-725.882081023372 87.6695320615502 748.627645400768</t>
  </si>
  <si>
    <t>-581.945112384136 109.676720478042 810.958472632829</t>
  </si>
  <si>
    <t>-578.557940036469 -137.618890148638 309.353402174239</t>
  </si>
  <si>
    <t>-621.002917973496 -130.962536468894 755.196944570239</t>
  </si>
  <si>
    <t>-502.655751329044 -207.404312623986 827.570233913491</t>
  </si>
  <si>
    <t>9763-20170724T105021.446001900.bin</t>
  </si>
  <si>
    <t>-704.651870939701 86.541931342078 -543.996233689613</t>
  </si>
  <si>
    <t>-581.283937700598 144.030752282261 -283.100525562581</t>
  </si>
  <si>
    <t>-346.218641916675 196.062670652274 -273.726452800686</t>
  </si>
  <si>
    <t>-683.335008767099 48.534020272318 -98.1341268803955</t>
  </si>
  <si>
    <t>-669.768650776223 64.3706741042549 304.879259408517</t>
  </si>
  <si>
    <t>-725.911846041397 87.7015828193569 748.635462993787</t>
  </si>
  <si>
    <t>-581.96323289361 109.617295104973 810.971568089795</t>
  </si>
  <si>
    <t>-578.72614267925 -137.532575363295 309.325222084195</t>
  </si>
  <si>
    <t>-620.984562765507 -130.868183068456 755.191670740712</t>
  </si>
  <si>
    <t>-502.726632807038 -207.442468003924 827.570646797625</t>
  </si>
  <si>
    <t>9763-20170724T105021.513180100.bin</t>
  </si>
  <si>
    <t>-705.515486286231 86.4245020753033 -544.003876446496</t>
  </si>
  <si>
    <t>-581.510895706144 143.830025852897 -283.391803816676</t>
  </si>
  <si>
    <t>-346.804745650578 197.790999253046 -276.173216840612</t>
  </si>
  <si>
    <t>-683.670682084077 48.594950967195 -98.1443504192415</t>
  </si>
  <si>
    <t>-670.064629260148 64.4582326981422 304.866632244533</t>
  </si>
  <si>
    <t>-726.013437503033 87.8528810282246 748.660030467612</t>
  </si>
  <si>
    <t>-582.012737017306 109.407473723913 811.001848326755</t>
  </si>
  <si>
    <t>-579.016243850474 -137.450123904467 309.282702025986</t>
  </si>
  <si>
    <t>-621.012261623205 -130.893463231179 755.188803776055</t>
  </si>
  <si>
    <t>-502.634682549542 -207.28645406998 827.563804636827</t>
  </si>
  <si>
    <t>9763-20170724T105021.543846500.bin</t>
  </si>
  <si>
    <t>-705.81207771421 86.4083004306738 -543.945833180204</t>
  </si>
  <si>
    <t>-581.481540329582 143.657790250569 -283.454724922198</t>
  </si>
  <si>
    <t>-346.956289591745 198.489264125795 -276.954342463773</t>
  </si>
  <si>
    <t>-683.726223284813 48.5796528913643 -98.1360493353984</t>
  </si>
  <si>
    <t>-670.110395682549 64.4707576066737 304.873607100044</t>
  </si>
  <si>
    <t>-725.996089954006 87.7789737196424 748.668895409447</t>
  </si>
  <si>
    <t>-582.012555776626 109.457076522722 811.007576315237</t>
  </si>
  <si>
    <t>-579.018718959403 -137.364397341421 309.271532150939</t>
  </si>
  <si>
    <t>-620.985567753817 -130.78649854211 755.181685983083</t>
  </si>
  <si>
    <t>-502.800397037854 -207.459480378516 827.575058059242</t>
  </si>
  <si>
    <t>9763-20170724T105021.610019400.bin</t>
  </si>
  <si>
    <t>-705.962790316252 86.4596112702552 -543.885616185903</t>
  </si>
  <si>
    <t>-581.386252613618 143.531964984781 -283.473187831555</t>
  </si>
  <si>
    <t>-346.957136617752 198.841983000335 -277.586413966718</t>
  </si>
  <si>
    <t>-683.692759142885 48.6822107818225 -98.1931154863612</t>
  </si>
  <si>
    <t>-670.086338845104 64.5479099366098 304.817856412895</t>
  </si>
  <si>
    <t>-726.008377426364 87.7158887810754 748.589499791218</t>
  </si>
  <si>
    <t>-582.010818560398 109.2671018665 810.939633068078</t>
  </si>
  <si>
    <t>-578.888120559003 -137.155496343855 309.253927209368</t>
  </si>
  <si>
    <t>-620.918335324249 -130.522863191571 755.151312911124</t>
  </si>
  <si>
    <t>-503.046064461434 -207.647488139746 827.575257860645</t>
  </si>
  <si>
    <t>9763-20170724T105021.642163600.bin</t>
  </si>
  <si>
    <t>-706.108061578834 86.384379388604 -543.841193855757</t>
  </si>
  <si>
    <t>-581.500629693465 143.484831960224 -283.449713417814</t>
  </si>
  <si>
    <t>-347.034215728962 198.625689521999 -277.460779974311</t>
  </si>
  <si>
    <t>-683.776237641207 48.6493391272911 -98.1850586398822</t>
  </si>
  <si>
    <t>-670.053907645947 64.4527858454735 304.824421346344</t>
  </si>
  <si>
    <t>-726.004984203699 87.6605981189734 748.617099212036</t>
  </si>
  <si>
    <t>-582.032635476426 109.398750181968 810.960678543471</t>
  </si>
  <si>
    <t>-578.996980988529 -137.279144395057 309.251402725806</t>
  </si>
  <si>
    <t>-621.026377375851 -130.811807708156 755.156979787567</t>
  </si>
  <si>
    <t>-502.713292244774 -207.285514264764 827.551973681211</t>
  </si>
  <si>
    <t>9763-20170724T105021.713347200.bin</t>
  </si>
  <si>
    <t>-706.387061234929 86.5524700203935 -543.752465191151</t>
  </si>
  <si>
    <t>-581.494586636405 143.404266209008 -283.443070543089</t>
  </si>
  <si>
    <t>-347.057669430442 198.672455406756 -277.474664210912</t>
  </si>
  <si>
    <t>-683.927895257442 48.7183641105976 -98.1487609388757</t>
  </si>
  <si>
    <t>-670.084791203423 64.500869684583 304.857376665297</t>
  </si>
  <si>
    <t>-726.004167382671 87.5859646026163 748.6635498527</t>
  </si>
  <si>
    <t>-581.996533656873 109.079001188701 811.010322238687</t>
  </si>
  <si>
    <t>-579.125928459436 -137.052083308987 309.240407643561</t>
  </si>
  <si>
    <t>-620.969796139034 -130.540048272711 755.155065506149</t>
  </si>
  <si>
    <t>-502.853124977118 -207.311230946217 827.556366954215</t>
  </si>
  <si>
    <t>9763-20170724T105021.743296700.bin</t>
  </si>
  <si>
    <t>-706.49977297472 86.643260062403 -543.741579561839</t>
  </si>
  <si>
    <t>-581.504480865043 143.5167184916 -283.486400710811</t>
  </si>
  <si>
    <t>-347.064051898577 198.746252168579 -277.298591328343</t>
  </si>
  <si>
    <t>-683.964331512591 48.7543191327468 -98.1657763223569</t>
  </si>
  <si>
    <t>-670.144231713762 64.5704184832759 304.839856284681</t>
  </si>
  <si>
    <t>-726.024202514035 87.5813564945861 748.624225913238</t>
  </si>
  <si>
    <t>-582.01313747803 109.056697131839 810.969351681194</t>
  </si>
  <si>
    <t>-579.158476031157 -136.981657828336 309.227974122616</t>
  </si>
  <si>
    <t>-620.948423736601 -130.436303702354 755.145341011395</t>
  </si>
  <si>
    <t>-502.963183692106 -207.399319457121 827.55714750531</t>
  </si>
  <si>
    <t>9763-20170724T105021.811476700.bin</t>
  </si>
  <si>
    <t>-706.609663225763 86.5975562406466 -543.71670846395</t>
  </si>
  <si>
    <t>-581.438710888099 143.720108556611 -283.600572591247</t>
  </si>
  <si>
    <t>-346.95492080936 198.739817857325 -277.193506331992</t>
  </si>
  <si>
    <t>-684.013075997643 48.7530774978911 -98.1394843451939</t>
  </si>
  <si>
    <t>-670.077154857762 64.5526608295536 304.862809822373</t>
  </si>
  <si>
    <t>-726.019838705766 87.5057233155069 748.669614840719</t>
  </si>
  <si>
    <t>-582.034279540337 109.142535658121 811.018098750003</t>
  </si>
  <si>
    <t>-579.116743691258 -136.945675004624 309.225087655843</t>
  </si>
  <si>
    <t>-620.93727465521 -130.31805826088 755.134657569938</t>
  </si>
  <si>
    <t>-502.864647978125 -207.151417586963 827.541854713665</t>
  </si>
  <si>
    <t>9763-20170724T105021.846226400.bin</t>
  </si>
  <si>
    <t>-706.59633245546 86.5636048893225 -543.680302004826</t>
  </si>
  <si>
    <t>-581.35873135593 143.719233584891 -283.603468095577</t>
  </si>
  <si>
    <t>-346.851952324028 198.624466660058 -277.055368351197</t>
  </si>
  <si>
    <t>-684.025394949569 48.7396822221397 -98.1141073787026</t>
  </si>
  <si>
    <t>-670.014225301784 64.5450026124254 304.885295184002</t>
  </si>
  <si>
    <t>-726.02038944292 87.4786758633911 748.687949550298</t>
  </si>
  <si>
    <t>-582.023253610423 109.015253937997 811.044281395921</t>
  </si>
  <si>
    <t>-579.065682085461 -136.870127924605 309.230989296202</t>
  </si>
  <si>
    <t>-620.926999054887 -130.2582688904 755.128348766928</t>
  </si>
  <si>
    <t>-502.923081030101 -207.186780229935 827.54642068966</t>
  </si>
  <si>
    <t>9763-20170724T105021.912397500.bin</t>
  </si>
  <si>
    <t>-706.557045699393 86.5746917501042 -543.642969646526</t>
  </si>
  <si>
    <t>-581.360813495454 143.766474564484 -283.554209959529</t>
  </si>
  <si>
    <t>-346.726172352614 198.071525949044 -276.595172073563</t>
  </si>
  <si>
    <t>-684.150451885489 48.8102913313749 -98.1671148213482</t>
  </si>
  <si>
    <t>-670.047289063647 64.5655888605686 304.831088617714</t>
  </si>
  <si>
    <t>-726.068063361827 87.5116134083542 748.636716325433</t>
  </si>
  <si>
    <t>-582.060090344224 108.948797688871 811.001962877724</t>
  </si>
  <si>
    <t>-579.2322908627 -136.744309705585 309.207959295086</t>
  </si>
  <si>
    <t>-620.924444568823 -130.192594530632 755.111620331939</t>
  </si>
  <si>
    <t>-502.773431620042 -206.891800224558 827.532997733466</t>
  </si>
  <si>
    <t>9763-20170724T105021.946510400.bin</t>
  </si>
  <si>
    <t>-706.57266161624 86.6143468176797 -543.650356381435</t>
  </si>
  <si>
    <t>-581.442942700113 143.870871819124 -283.543747692638</t>
  </si>
  <si>
    <t>-346.736492305392 197.838985047353 -276.389246256255</t>
  </si>
  <si>
    <t>-684.217288876867 48.8775325085514 -98.1708193983808</t>
  </si>
  <si>
    <t>-670.083193673724 64.5975757217038 304.827713637445</t>
  </si>
  <si>
    <t>-726.060691126184 87.461720977356 748.656584239921</t>
  </si>
  <si>
    <t>-582.077012207936 109.081577752562 811.015221083962</t>
  </si>
  <si>
    <t>-579.251299262016 -136.658378883126 309.197362147776</t>
  </si>
  <si>
    <t>-620.901678051579 -130.082281239979 755.109200907674</t>
  </si>
  <si>
    <t>-502.984533573175 -207.123969662568 827.548464550713</t>
  </si>
  <si>
    <t>9763-20170724T105022.011684300.bin</t>
  </si>
  <si>
    <t>-706.84382071807 86.6503969507685 -543.63381969805</t>
  </si>
  <si>
    <t>-581.571599998546 144.159636428594 -283.651499446788</t>
  </si>
  <si>
    <t>-346.657057579701 197.133493512172 -275.919796661499</t>
  </si>
  <si>
    <t>-684.298027017685 48.9422466446474 -98.1524115695817</t>
  </si>
  <si>
    <t>-670.128634392285 64.700149794523 304.843352936399</t>
  </si>
  <si>
    <t>-726.078265410812 87.4511373849812 748.689025254787</t>
  </si>
  <si>
    <t>-582.077374325671 108.945402741725 811.051147984821</t>
  </si>
  <si>
    <t>-579.405344222786 -136.543543651788 309.191022254659</t>
  </si>
  <si>
    <t>-620.892691298707 -129.957618703297 755.113968647714</t>
  </si>
  <si>
    <t>-503.106523404047 -207.190985308883 827.562129317594</t>
  </si>
  <si>
    <t>9763-20170724T105022.047708400.bin</t>
  </si>
  <si>
    <t>-707.110458846153 86.637565761936 -543.650580593431</t>
  </si>
  <si>
    <t>-581.756093635515 144.34449538112 -283.751831226644</t>
  </si>
  <si>
    <t>-346.769104273894 196.954958003158 -275.741324672044</t>
  </si>
  <si>
    <t>-684.408584562872 48.990560718112 -98.1429468136503</t>
  </si>
  <si>
    <t>-670.132927942883 64.7063087924689 304.850683478508</t>
  </si>
  <si>
    <t>-726.089298648148 87.4438782211789 748.697033410036</t>
  </si>
  <si>
    <t>-582.078910264952 108.864869657178 811.062459139969</t>
  </si>
  <si>
    <t>-579.502155058078 -136.578290035384 309.202645261296</t>
  </si>
  <si>
    <t>-620.921275798165 -129.995919736864 755.120698084233</t>
  </si>
  <si>
    <t>-502.962046928088 -206.978037847303 827.554767054668</t>
  </si>
  <si>
    <t>9763-20170724T105022.120889500.bin</t>
  </si>
  <si>
    <t>-707.764752330507 86.5547720304776 -543.71293412659</t>
  </si>
  <si>
    <t>-582.118383783822 144.737625873933 -284.061308497967</t>
  </si>
  <si>
    <t>-347.103512436628 197.123672120221 -275.42525087923</t>
  </si>
  <si>
    <t>-684.651829147583 48.9667854370975 -98.1158451167245</t>
  </si>
  <si>
    <t>-670.219641938823 64.6378583409089 304.873956043258</t>
  </si>
  <si>
    <t>-726.076890350977 87.346918543818 748.724052152239</t>
  </si>
  <si>
    <t>-582.05686839157 108.712717199482 811.085895390746</t>
  </si>
  <si>
    <t>-579.702162155274 -136.44606548009 309.200969050449</t>
  </si>
  <si>
    <t>-620.924634189528 -129.891609260488 755.130166376206</t>
  </si>
  <si>
    <t>-503.113891593605 -207.096289709203 827.568860640822</t>
  </si>
  <si>
    <t>9763-20170724T105022.144551500.bin</t>
  </si>
  <si>
    <t>-707.960374990208 86.5424068800869 -543.751981203293</t>
  </si>
  <si>
    <t>-582.292348645174 144.832460289252 -284.134763344163</t>
  </si>
  <si>
    <t>-347.250162845427 197.053219516607 -275.24539812575</t>
  </si>
  <si>
    <t>-684.773404366197 49.0067041142406 -98.1170310924388</t>
  </si>
  <si>
    <t>-670.287696783965 64.65874428249 304.871608926383</t>
  </si>
  <si>
    <t>-726.110856079689 87.4009686333234 748.726630411529</t>
  </si>
  <si>
    <t>-582.090350273792 108.760135276294 811.090054273921</t>
  </si>
  <si>
    <t>-579.805258553516 -136.353955830065 309.201406535729</t>
  </si>
  <si>
    <t>-620.897942766657 -129.763481222348 755.124952738882</t>
  </si>
  <si>
    <t>-503.143265889456 -207.049174954279 827.568145061432</t>
  </si>
  <si>
    <t>9763-20170724T105022.210724700.bin</t>
  </si>
  <si>
    <t>-708.698737545188 86.335780174792 -543.83537615466</t>
  </si>
  <si>
    <t>-582.812724859695 144.830308937949 -284.369931313384</t>
  </si>
  <si>
    <t>-347.769487656008 196.957169262406 -274.971625288072</t>
  </si>
  <si>
    <t>-685.174219926776 49.0408779405579 -98.1331222490151</t>
  </si>
  <si>
    <t>-670.457345125617 64.6613941208188 304.84839305585</t>
  </si>
  <si>
    <t>-726.066373719904 87.2906153635731 748.732229666708</t>
  </si>
  <si>
    <t>-582.056059227674 108.697263055909 811.102355117554</t>
  </si>
  <si>
    <t>-580.042636432138 -136.285491968967 309.181699713706</t>
  </si>
  <si>
    <t>-620.967882184861 -129.8719923334 755.132069216675</t>
  </si>
  <si>
    <t>-503.065343744776 -206.940963117509 827.565846562231</t>
  </si>
  <si>
    <t>9763-20170724T105022.250424900.bin</t>
  </si>
  <si>
    <t>-709.166786040723 86.2571308754939 -543.8571767969</t>
  </si>
  <si>
    <t>-583.034201236816 144.750673366535 -284.511264212054</t>
  </si>
  <si>
    <t>-348.02102175073 196.995790582423 -275.016561155438</t>
  </si>
  <si>
    <t>-685.435026609628 49.092955219807 -98.1426911533025</t>
  </si>
  <si>
    <t>-670.590663263874 64.6751676728454 304.83560991711</t>
  </si>
  <si>
    <t>-726.08275440039 87.3136717615369 748.734209361937</t>
  </si>
  <si>
    <t>-582.051143252854 108.542643036694 811.116454082246</t>
  </si>
  <si>
    <t>-580.217095350031 -136.268782742586 309.17437553835</t>
  </si>
  <si>
    <t>-621.029732922182 -129.996538153081 755.143463930571</t>
  </si>
  <si>
    <t>-502.909499332103 -206.752706024766 827.554673116194</t>
  </si>
  <si>
    <t>9763-20170724T105022.311586000.bin</t>
  </si>
  <si>
    <t>-709.980193798302 86.2919173766304 -543.946897440864</t>
  </si>
  <si>
    <t>-583.475151111486 144.960452769722 -284.822069593947</t>
  </si>
  <si>
    <t>-348.488624008338 197.247439063884 -274.908375978398</t>
  </si>
  <si>
    <t>-685.958021730385 49.2821120009214 -98.1862149238374</t>
  </si>
  <si>
    <t>-670.87188096565 64.8838215328813 304.782306609242</t>
  </si>
  <si>
    <t>-726.117809504374 87.3731745730008 748.739143833227</t>
  </si>
  <si>
    <t>-582.055669493185 108.383902576885 811.124830603593</t>
  </si>
  <si>
    <t>-580.502232111789 -135.883243102707 309.147558470847</t>
  </si>
  <si>
    <t>-620.955450470127 -129.652480635673 755.139624348434</t>
  </si>
  <si>
    <t>-503.163476142413 -206.892293028672 827.571231663019</t>
  </si>
  <si>
    <t>9763-20170724T105022.343539100.bin</t>
  </si>
  <si>
    <t>-710.389829254195 86.2620373004142 -543.985491852536</t>
  </si>
  <si>
    <t>-583.777679388578 145.087707719968 -284.948637811333</t>
  </si>
  <si>
    <t>-348.798097120466 197.373231161881 -274.866177996393</t>
  </si>
  <si>
    <t>-686.174366086069 49.3183692313796 -98.2023883113526</t>
  </si>
  <si>
    <t>-670.99185049214 64.9054012345068 304.763062866523</t>
  </si>
  <si>
    <t>-726.083031364931 87.2962667816987 748.738431549656</t>
  </si>
  <si>
    <t>-582.037854523992 108.427210344426 811.122400597549</t>
  </si>
  <si>
    <t>-580.614641359736 -135.812618980393 309.136200129377</t>
  </si>
  <si>
    <t>-620.98123593997 -129.682913379488 755.143719546616</t>
  </si>
  <si>
    <t>-503.053614716476 -206.722892807307 827.567602466659</t>
  </si>
  <si>
    <t>9763-20170724T105022.416734300.bin</t>
  </si>
  <si>
    <t>-711.441273272182 86.4585858689986 -543.933878809192</t>
  </si>
  <si>
    <t>-584.439820528179 145.484990703944 -285.133377352248</t>
  </si>
  <si>
    <t>-349.460237002995 197.738798977809 -274.885687504058</t>
  </si>
  <si>
    <t>-686.553776071168 49.3376294013372 -98.2272327659382</t>
  </si>
  <si>
    <t>-671.200772040673 64.9473396193312 304.730913320441</t>
  </si>
  <si>
    <t>-726.032741724322 87.1661606453638 748.73880430663</t>
  </si>
  <si>
    <t>-582.024512251653 108.568292696923 811.115525451748</t>
  </si>
  <si>
    <t>-580.687350884781 -135.617379857377 309.115341935915</t>
  </si>
  <si>
    <t>-620.986315267693 -129.576510775755 755.142803864094</t>
  </si>
  <si>
    <t>-503.300761684173 -206.977553692938 827.575322903508</t>
  </si>
  <si>
    <t>9763-20170724T105022.448840500.bin</t>
  </si>
  <si>
    <t>-711.715320496807 86.7407383596189 -543.85213967473</t>
  </si>
  <si>
    <t>-584.529274777614 145.830715360348 -285.156774312239</t>
  </si>
  <si>
    <t>-349.550414757783 198.108208199817 -275.012880454796</t>
  </si>
  <si>
    <t>-686.700603813779 49.4077855140702 -98.2385377357273</t>
  </si>
  <si>
    <t>-671.357383287525 65.0582103176914 304.718406462457</t>
  </si>
  <si>
    <t>-726.090641962896 87.2781130013298 748.74219518563</t>
  </si>
  <si>
    <t>-582.032981277691 108.325310462081 811.125596092301</t>
  </si>
  <si>
    <t>-580.778684994012 -135.599888350211 309.109859141637</t>
  </si>
  <si>
    <t>-621.021299280411 -129.615023311076 755.149700988119</t>
  </si>
  <si>
    <t>-503.097471149191 -206.675308511708 827.557967790034</t>
  </si>
  <si>
    <t>9763-20170724T105022.511005500.bin</t>
  </si>
  <si>
    <t>-711.565688532124 87.2004187809048 -543.786728623512</t>
  </si>
  <si>
    <t>-584.501629899056 145.806406347037 -284.921337219423</t>
  </si>
  <si>
    <t>-349.498483846202 197.976119340072 -274.787512404728</t>
  </si>
  <si>
    <t>-687.111375289831 49.5660083260775 -98.2037328792032</t>
  </si>
  <si>
    <t>-671.506062987718 65.0909137724718 304.748094836236</t>
  </si>
  <si>
    <t>-726.113653083536 87.3034136644167 748.778715228367</t>
  </si>
  <si>
    <t>-582.042238661672 108.250730108396 811.164075770476</t>
  </si>
  <si>
    <t>-580.802709642799 -135.372311017909 309.10367678367</t>
  </si>
  <si>
    <t>-621.020215633737 -129.515237399503 755.136185006287</t>
  </si>
  <si>
    <t>-503.216020553078 -206.748916525022 827.554503003098</t>
  </si>
  <si>
    <t>9763-20170724T105022.545050000.bin</t>
  </si>
  <si>
    <t>-711.146541833465 87.505192363179 -543.723654576304</t>
  </si>
  <si>
    <t>-584.607876048637 145.99392036168 -284.574719130353</t>
  </si>
  <si>
    <t>-349.585635220257 198.138630060755 -274.757766894024</t>
  </si>
  <si>
    <t>-687.452698792861 49.5426090012313 -98.1776117613286</t>
  </si>
  <si>
    <t>-671.631828925455 65.001509075797 304.768295175084</t>
  </si>
  <si>
    <t>-726.084403573747 87.2370337741993 748.80549097087</t>
  </si>
  <si>
    <t>-582.032253417324 108.298754495802 811.19690074924</t>
  </si>
  <si>
    <t>-580.878442662742 -135.30030795263 309.102243887439</t>
  </si>
  <si>
    <t>-621.057637135718 -129.56840123296 755.132658485924</t>
  </si>
  <si>
    <t>-503.201725362911 -206.723964684067 827.550129836372</t>
  </si>
  <si>
    <t>9763-20170724T105022.611226400.bin</t>
  </si>
  <si>
    <t>-708.786416017263 89.7956610807455 -543.269582180052</t>
  </si>
  <si>
    <t>-584.51953981827 146.731772833165 -282.679406946213</t>
  </si>
  <si>
    <t>-349.341917757423 198.494890933153 -274.747855883206</t>
  </si>
  <si>
    <t>-688.153126761592 49.8461993526889 -98.1941482005011</t>
  </si>
  <si>
    <t>-672.968278147177 65.2052041525228 304.780025903766</t>
  </si>
  <si>
    <t>-726.091894237301 87.1812427226414 748.934244191787</t>
  </si>
  <si>
    <t>-582.039503144592 108.235017043407 811.327637894358</t>
  </si>
  <si>
    <t>-581.51679193106 -134.869698867077 308.979088185627</t>
  </si>
  <si>
    <t>-621.047022731045 -129.391342190881 755.103360959507</t>
  </si>
  <si>
    <t>-503.342834773897 -206.76557432644 827.534576266443</t>
  </si>
  <si>
    <t>9763-20170724T105022.643884400.bin</t>
  </si>
  <si>
    <t>-707.007991225391 91.4492264096521 -543.059674706879</t>
  </si>
  <si>
    <t>-584.182945850371 147.675280246963 -281.633020396458</t>
  </si>
  <si>
    <t>-348.896344705453 199.069270978528 -274.582201702779</t>
  </si>
  <si>
    <t>-688.459743643518 50.5150105667685 -98.2848605811444</t>
  </si>
  <si>
    <t>-674.659160907542 65.6774195822468 304.746575610902</t>
  </si>
  <si>
    <t>-726.119337017118 87.2457154377821 749.052251822004</t>
  </si>
  <si>
    <t>-582.035705815601 108.051930715841 811.456658711146</t>
  </si>
  <si>
    <t>-582.20032612105 -134.482735932917 308.844464932021</t>
  </si>
  <si>
    <t>-621.075230053383 -129.452242972122 755.071278956729</t>
  </si>
  <si>
    <t>-503.386492875101 -206.835921078654 827.517386218445</t>
  </si>
  <si>
    <t>9763-20170724T105022.712064300.bin</t>
  </si>
  <si>
    <t>-704.782542186444 94.3319501107237 -543.782062507883</t>
  </si>
  <si>
    <t>-583.64756959147 150.983971023134 -281.659924604828</t>
  </si>
  <si>
    <t>-348.237152215352 201.90560617259 -275.353315242709</t>
  </si>
  <si>
    <t>-688.977771163926 53.32753257889 -98.7249328183194</t>
  </si>
  <si>
    <t>-679.963433095737 67.2066900144889 304.488151541992</t>
  </si>
  <si>
    <t>-726.154635328079 87.3269356107562 749.363766965839</t>
  </si>
  <si>
    <t>-582.045049198944 107.916709575467 811.780133603692</t>
  </si>
  <si>
    <t>-584.979830838961 -132.748843312897 308.660639770281</t>
  </si>
  <si>
    <t>-620.973791186878 -129.218294658156 755.015044581027</t>
  </si>
  <si>
    <t>-503.468204536418 -206.813553215037 827.532159764878</t>
  </si>
  <si>
    <t>9763-20170724T105022.741839700.bin</t>
  </si>
  <si>
    <t>-705.554949763985 96.1069674795067 -544.216142145134</t>
  </si>
  <si>
    <t>-583.790970558179 153.111642920679 -282.462056728891</t>
  </si>
  <si>
    <t>-348.418288646026 204.222780822563 -276.277881606414</t>
  </si>
  <si>
    <t>-689.6335971031 55.4872445711451 -99.1552498082963</t>
  </si>
  <si>
    <t>-683.25624369805 68.3418054700978 304.142062174499</t>
  </si>
  <si>
    <t>-726.171528987097 87.4398485226618 749.417239064092</t>
  </si>
  <si>
    <t>-582.038716753857 107.767744062263 811.865576375752</t>
  </si>
  <si>
    <t>-587.584591497453 -131.09087971727 308.60598403843</t>
  </si>
  <si>
    <t>-620.894559516107 -129.0522252325 755.02367018915</t>
  </si>
  <si>
    <t>-503.538187124058 -206.834462700197 827.582031232637</t>
  </si>
  <si>
    <t>9763-20170724T105022.813032100.bin</t>
  </si>
  <si>
    <t>-707.244282508592 99.9965037600527 -545.28693924994</t>
  </si>
  <si>
    <t>-584.822516184938 157.023956463292 -283.844742124898</t>
  </si>
  <si>
    <t>-349.500873264674 208.419762422958 -278.092878280605</t>
  </si>
  <si>
    <t>-691.393827207879 59.6576318757343 -100.273128091826</t>
  </si>
  <si>
    <t>-690.398796322826 71.2755012067701 303.11097902821</t>
  </si>
  <si>
    <t>-726.116382788024 87.4854929788146 749.267992807947</t>
  </si>
  <si>
    <t>-581.957885630321 107.445979978326 811.775429693437</t>
  </si>
  <si>
    <t>-593.977890537517 -126.942209920235 308.369257510857</t>
  </si>
  <si>
    <t>-620.669072328091 -128.392225171856 755.068260861646</t>
  </si>
  <si>
    <t>-504.168453619971 -207.370708093203 827.713183449155</t>
  </si>
  <si>
    <t>9763-20170724T105022.844805300.bin</t>
  </si>
  <si>
    <t>-708.059218450379 101.192012769035 -546.162954203129</t>
  </si>
  <si>
    <t>-585.968604106084 158.823202049936 -284.698510667858</t>
  </si>
  <si>
    <t>-350.643911924406 210.206965196594 -278.962587293661</t>
  </si>
  <si>
    <t>-692.450837264352 61.2109747196023 -100.901208864346</t>
  </si>
  <si>
    <t>-693.762600394021 72.9207081244235 302.479277195806</t>
  </si>
  <si>
    <t>-726.155801599113 87.8056108965379 749.039414794591</t>
  </si>
  <si>
    <t>-581.953430520789 107.218140176549 811.618287424768</t>
  </si>
  <si>
    <t>-596.8146208819 -125.410156394514 308.210075560115</t>
  </si>
  <si>
    <t>-620.753006976916 -128.454333573106 755.130868181171</t>
  </si>
  <si>
    <t>-503.947215470205 -207.050372902075 827.700601371123</t>
  </si>
  <si>
    <t>9763-20170724T105022.909978200.bin</t>
  </si>
  <si>
    <t>-708.934958932705 102.575265244193 -547.993096774211</t>
  </si>
  <si>
    <t>-587.30910748467 161.333956253772 -286.562785952854</t>
  </si>
  <si>
    <t>-351.975993365602 212.642209585256 -280.507520306408</t>
  </si>
  <si>
    <t>-693.766625030142 63.8852130729276 -101.898392942165</t>
  </si>
  <si>
    <t>-697.611897758907 74.8903082351269 301.485739641226</t>
  </si>
  <si>
    <t>-726.012780691244 88.0204426365153 748.610801575438</t>
  </si>
  <si>
    <t>-581.857405862183 107.397449572327 811.308788284383</t>
  </si>
  <si>
    <t>-599.663288529099 -123.48293617422 307.738715653736</t>
  </si>
  <si>
    <t>-620.740290566256 -128.073440292351 755.081905240765</t>
  </si>
  <si>
    <t>-504.163579044855 -207.074213284239 827.580342703658</t>
  </si>
  <si>
    <t>9763-20170724T105022.943663300.bin</t>
  </si>
  <si>
    <t>-708.638040381526 102.335351394609 -548.681951689373</t>
  </si>
  <si>
    <t>-587.084505456911 161.261116304391 -287.255636215131</t>
  </si>
  <si>
    <t>-351.73966860791 212.455633503394 -280.712944438961</t>
  </si>
  <si>
    <t>-693.677367680905 63.9359578142846 -102.151022721344</t>
  </si>
  <si>
    <t>-698.121575947465 75.0041996304783 301.225311297755</t>
  </si>
  <si>
    <t>-725.934296042971 88.0474073550313 748.478721189611</t>
  </si>
  <si>
    <t>-581.814671244434 107.564224433156 811.215755342279</t>
  </si>
  <si>
    <t>-599.570759163555 -123.337977781799 307.500654760172</t>
  </si>
  <si>
    <t>-620.706876904847 -127.891247653987 754.971252345176</t>
  </si>
  <si>
    <t>-504.302247205647 -207.129778721407 827.486942125366</t>
  </si>
  <si>
    <t>9763-20170724T105023.006835800.bin</t>
  </si>
  <si>
    <t>-707.603488396348 100.73191862197 -549.300004999662</t>
  </si>
  <si>
    <t>-586.04159482306 161.119830073103 -288.211463283387</t>
  </si>
  <si>
    <t>-350.727418807272 212.31847331057 -280.67312405242</t>
  </si>
  <si>
    <t>-693.768887015251 63.6651845264605 -102.226313812639</t>
  </si>
  <si>
    <t>-697.920739343453 74.7294246300576 301.153158911464</t>
  </si>
  <si>
    <t>-725.814183077288 88.0772904201699 748.315234034192</t>
  </si>
  <si>
    <t>-581.729862993606 107.678832528684 811.106878924301</t>
  </si>
  <si>
    <t>-599.070119428954 -123.739372197799 307.374627637499</t>
  </si>
  <si>
    <t>-620.769783573392 -127.906800855076 754.798866728501</t>
  </si>
  <si>
    <t>-504.348643963251 -207.083876937921 827.355166402092</t>
  </si>
  <si>
    <t>9763-20170724T105023.041647200.bin</t>
  </si>
  <si>
    <t>-707.379021672441 100.317920246571 -549.359076751468</t>
  </si>
  <si>
    <t>-585.590020211629 161.273708425402 -288.50847234207</t>
  </si>
  <si>
    <t>-350.295699997441 212.523292952704 -280.702861789051</t>
  </si>
  <si>
    <t>-693.567879796113 63.6731980485308 -102.200666399269</t>
  </si>
  <si>
    <t>-697.919644089894 74.6947799812856 301.177852809486</t>
  </si>
  <si>
    <t>-725.784064284834 88.1189952276516 748.2732942631</t>
  </si>
  <si>
    <t>-581.708711701729 107.72662217729 811.083564764999</t>
  </si>
  <si>
    <t>-599.164493368931 -123.695872989328 307.432516903194</t>
  </si>
  <si>
    <t>-620.745185154332 -127.767502316933 754.751026121923</t>
  </si>
  <si>
    <t>-504.358939561495 -206.974170444068 827.330733188459</t>
  </si>
  <si>
    <t>9763-20170724T105023.110824400.bin</t>
  </si>
  <si>
    <t>-708.039504912376 100.546242301597 -549.426487580059</t>
  </si>
  <si>
    <t>-585.485982798683 161.818283512592 -289.008384068088</t>
  </si>
  <si>
    <t>-350.286097185374 213.528017752972 -281.396544548588</t>
  </si>
  <si>
    <t>-693.535590075649 64.3052320599354 -102.14733640412</t>
  </si>
  <si>
    <t>-698.436359350483 74.7545688756738 301.240144296477</t>
  </si>
  <si>
    <t>-725.708271197858 88.1560834639863 748.26112668732</t>
  </si>
  <si>
    <t>-581.617591042029 107.644276141708 811.073233171973</t>
  </si>
  <si>
    <t>-599.649429469524 -123.451602997461 307.451440378758</t>
  </si>
  <si>
    <t>-620.89385787046 -127.986099307148 754.729966084235</t>
  </si>
  <si>
    <t>-504.360553931548 -206.965422255321 827.321754174468</t>
  </si>
  <si>
    <t>9763-20170724T105023.144732100.bin</t>
  </si>
  <si>
    <t>-708.361431258949 100.628804262947 -549.474068433869</t>
  </si>
  <si>
    <t>-585.475398975633 161.832827550902 -289.196657024155</t>
  </si>
  <si>
    <t>-350.341933678031 213.894012524479 -281.935627170272</t>
  </si>
  <si>
    <t>-693.590015930212 64.4998777862891 -102.106078963123</t>
  </si>
  <si>
    <t>-698.983615005924 74.8027780332441 301.278921761671</t>
  </si>
  <si>
    <t>-725.676174223518 88.1923629179948 748.278149193432</t>
  </si>
  <si>
    <t>-581.561646004485 107.475891740783 811.098857276353</t>
  </si>
  <si>
    <t>-599.929509407736 -123.465820947344 307.433350310064</t>
  </si>
  <si>
    <t>-620.995007082268 -128.124415549885 754.73095130698</t>
  </si>
  <si>
    <t>-504.287758414633 -206.858569502353 827.309477318299</t>
  </si>
  <si>
    <t>9763-20170724T105023.210907000.bin</t>
  </si>
  <si>
    <t>-708.301316889026 100.799318951953 -549.572822756145</t>
  </si>
  <si>
    <t>-585.098782857499 162.003081831443 -289.44501777937</t>
  </si>
  <si>
    <t>-350.114173860589 214.985247916833 -284.354712624834</t>
  </si>
  <si>
    <t>-693.37379136984 64.7684952956251 -102.054886102068</t>
  </si>
  <si>
    <t>-700.308523084818 74.626087746439 301.317618071817</t>
  </si>
  <si>
    <t>-725.568262253156 88.2005488822551 748.366203965823</t>
  </si>
  <si>
    <t>-581.487792036031 107.712432286603 811.194442052629</t>
  </si>
  <si>
    <t>-600.178663812399 -123.506458586174 307.406699542385</t>
  </si>
  <si>
    <t>-621.099785265046 -128.138447950105 754.708518130068</t>
  </si>
  <si>
    <t>-504.511750170415 -207.04041271151 827.296364022012</t>
  </si>
  <si>
    <t>9763-20170724T105023.241693300.bin</t>
  </si>
  <si>
    <t>-708.089273981532 100.94744913401 -549.614515716593</t>
  </si>
  <si>
    <t>-584.837717711281 162.028741790914 -289.481157589448</t>
  </si>
  <si>
    <t>-350.000590644522 215.782945721154 -285.895400699413</t>
  </si>
  <si>
    <t>-693.06432333072 64.7789409064392 -102.004619741294</t>
  </si>
  <si>
    <t>-701.033551995551 74.5084270737818 301.351994884828</t>
  </si>
  <si>
    <t>-725.454152773014 88.0986876819672 748.425373936061</t>
  </si>
  <si>
    <t>-581.394660866887 107.763046592297 811.254362682424</t>
  </si>
  <si>
    <t>-600.195448196028 -123.528306135396 307.38142824692</t>
  </si>
  <si>
    <t>-621.127154516399 -128.073032867926 754.693513630571</t>
  </si>
  <si>
    <t>-504.600199723436 -207.059888188851 827.28719272226</t>
  </si>
  <si>
    <t>9763-20170724T105023.313888900.bin</t>
  </si>
  <si>
    <t>-707.657583522043 101.26922487748 -549.596280256983</t>
  </si>
  <si>
    <t>-584.360854129581 161.787190689474 -289.352637068773</t>
  </si>
  <si>
    <t>-350.056081404549 217.919575782573 -288.218557669021</t>
  </si>
  <si>
    <t>-692.532497733896 64.8253423591887 -101.936854098343</t>
  </si>
  <si>
    <t>-702.046260114694 74.3511934015764 301.391097657231</t>
  </si>
  <si>
    <t>-725.28563946452 88.1042724120425 748.524035671901</t>
  </si>
  <si>
    <t>-581.308925739453 108.222155513946 811.399059438009</t>
  </si>
  <si>
    <t>-600.351524124839 -123.53653792508 307.33381189771</t>
  </si>
  <si>
    <t>-621.178595554023 -127.937632655231 754.667615276151</t>
  </si>
  <si>
    <t>-504.803867946205 -207.135989617907 827.274966858606</t>
  </si>
  <si>
    <t>9763-20170724T105023.345589200.bin</t>
  </si>
  <si>
    <t>-707.382334973253 101.430334951564 -549.539088285137</t>
  </si>
  <si>
    <t>-584.342341713144 161.968636271536 -289.178840208849</t>
  </si>
  <si>
    <t>-350.223534113973 218.882023579262 -288.830491087729</t>
  </si>
  <si>
    <t>-692.435197661377 64.8711599488122 -101.915042472843</t>
  </si>
  <si>
    <t>-702.264927447858 74.2641710948615 301.408499164998</t>
  </si>
  <si>
    <t>-725.208766066307 88.105305961906 748.578314167853</t>
  </si>
  <si>
    <t>-581.252596822493 108.305730643299 811.474069668125</t>
  </si>
  <si>
    <t>-600.413521916138 -123.579868033588 307.321519030635</t>
  </si>
  <si>
    <t>-621.239426999432 -127.981069234048 754.668892179812</t>
  </si>
  <si>
    <t>-504.744080693273 -207.010024343361 827.267423939001</t>
  </si>
  <si>
    <t>9763-20170724T105023.412770900.bin</t>
  </si>
  <si>
    <t>-706.604244236906 101.465295422214 -549.38617987056</t>
  </si>
  <si>
    <t>-583.882637390902 162.5122983897 -288.994358381497</t>
  </si>
  <si>
    <t>-350.048366731492 220.582195379371 -289.524577327631</t>
  </si>
  <si>
    <t>-691.85034508606 64.6657118388243 -101.832412850191</t>
  </si>
  <si>
    <t>-702.161543627282 74.0637979935652 301.47893276348</t>
  </si>
  <si>
    <t>-725.125217991539 88.1585136425813 748.679049489604</t>
  </si>
  <si>
    <t>-581.180516828523 108.351684894555 811.603430997572</t>
  </si>
  <si>
    <t>-600.196970453253 -123.868522836407 307.349467096308</t>
  </si>
  <si>
    <t>-621.369609098251 -128.064143251673 754.684548672585</t>
  </si>
  <si>
    <t>-504.637842443576 -206.764891081949 827.25981027426</t>
  </si>
  <si>
    <t>9763-20170724T105023.445859100.bin</t>
  </si>
  <si>
    <t>-706.184487318088 101.551120878863 -549.289924834838</t>
  </si>
  <si>
    <t>-583.427493281675 162.502185635711 -288.892477095649</t>
  </si>
  <si>
    <t>-349.697462222577 220.987766709214 -289.679428430946</t>
  </si>
  <si>
    <t>-691.387332648143 64.5953347701636 -101.772648539201</t>
  </si>
  <si>
    <t>-701.981465444807 73.9655702274188 301.531974761874</t>
  </si>
  <si>
    <t>-725.07333486838 88.1221330812496 748.723217178391</t>
  </si>
  <si>
    <t>-581.132221214445 108.324277524227 811.652764504505</t>
  </si>
  <si>
    <t>-599.982953801134 -123.943195097968 307.383642796327</t>
  </si>
  <si>
    <t>-621.385419855358 -127.991278053457 754.692241563969</t>
  </si>
  <si>
    <t>-504.740867212138 -206.815641662109 827.273692463612</t>
  </si>
  <si>
    <t>9763-20170724T105023.511054900.bin</t>
  </si>
  <si>
    <t>-705.336520315568 101.815980364553 -549.056244709959</t>
  </si>
  <si>
    <t>-582.565332637678 162.24013413539 -288.542575886837</t>
  </si>
  <si>
    <t>-348.8735229897 220.8765383305 -289.410436081668</t>
  </si>
  <si>
    <t>-690.354843921134 64.5442969176054 -101.652493508632</t>
  </si>
  <si>
    <t>-701.654258290242 73.8130957923649 301.635326243483</t>
  </si>
  <si>
    <t>-725.02116511958 88.1413514198437 748.7992279262</t>
  </si>
  <si>
    <t>-581.068043904688 108.28948702764 811.718994756281</t>
  </si>
  <si>
    <t>-599.429355512995 -124.060942703304 307.466201007699</t>
  </si>
  <si>
    <t>-621.411541536346 -127.830378604679 754.712448466206</t>
  </si>
  <si>
    <t>-505.043523520524 -207.043552932241 827.314430346113</t>
  </si>
  <si>
    <t>9763-20170724T105023.545712500.bin</t>
  </si>
  <si>
    <t>-705.040529817018 101.777139165771 -548.964717515223</t>
  </si>
  <si>
    <t>-582.262893943909 162.195198400486 -288.452713582021</t>
  </si>
  <si>
    <t>-348.620724869983 221.028568245096 -289.394390469272</t>
  </si>
  <si>
    <t>-689.94116522623 64.4541470837753 -101.621251218985</t>
  </si>
  <si>
    <t>-701.516646037575 73.6610301105056 301.660132394709</t>
  </si>
  <si>
    <t>-724.953966308606 88.0654265037333 748.818503766648</t>
  </si>
  <si>
    <t>-581.019986584816 108.369573844908 811.73162005798</t>
  </si>
  <si>
    <t>-599.257775984377 -124.248181698218 307.505157383602</t>
  </si>
  <si>
    <t>-621.525666019551 -128.04499383219 754.729731810062</t>
  </si>
  <si>
    <t>-504.76684384611 -206.704487286303 827.306227170009</t>
  </si>
  <si>
    <t>9763-20170724T105023.613894300.bin</t>
  </si>
  <si>
    <t>-704.2484487723 101.597533483478 -548.894419452096</t>
  </si>
  <si>
    <t>-581.616655582128 162.265208703089 -288.371683699677</t>
  </si>
  <si>
    <t>-348.085248219771 221.535488603849 -289.360842562584</t>
  </si>
  <si>
    <t>-689.014305788599 64.2849936276605 -101.583958384969</t>
  </si>
  <si>
    <t>-700.933857132817 73.5392678123928 301.686359465487</t>
  </si>
  <si>
    <t>-724.882558478489 88.0618294969572 748.832331232377</t>
  </si>
  <si>
    <t>-580.930444058181 108.230670761874 811.74718343192</t>
  </si>
  <si>
    <t>-598.590594758888 -124.401493764144 307.544661693502</t>
  </si>
  <si>
    <t>-621.516642771762 -127.822064771592 754.719942346879</t>
  </si>
  <si>
    <t>-504.954508187007 -206.743813242924 827.32802458372</t>
  </si>
  <si>
    <t>9763-20170724T105023.641565600.bin</t>
  </si>
  <si>
    <t>-703.716945030619 101.441476709985 -548.896352798794</t>
  </si>
  <si>
    <t>-581.208562945215 162.224776541841 -288.342559567839</t>
  </si>
  <si>
    <t>-347.772622050761 221.86715449313 -289.482739728125</t>
  </si>
  <si>
    <t>-688.540457056642 64.2034086797664 -101.578914089946</t>
  </si>
  <si>
    <t>-700.504756295894 73.4525741253956 301.690281911854</t>
  </si>
  <si>
    <t>-724.839453443477 88.0351924119805 748.829039318741</t>
  </si>
  <si>
    <t>-580.902970063289 108.323111482814 811.741383754375</t>
  </si>
  <si>
    <t>-598.280321374662 -124.48386133014 307.561672061297</t>
  </si>
  <si>
    <t>-621.5830524564 -127.917844148526 754.716621094917</t>
  </si>
  <si>
    <t>-504.900844363925 -206.657098905174 827.330053788593</t>
  </si>
  <si>
    <t>9763-20170724T105023.714753700.bin</t>
  </si>
  <si>
    <t>-702.809344794348 101.093874927544 -548.853480867903</t>
  </si>
  <si>
    <t>-580.954818877244 162.040321855264 -288.031329135255</t>
  </si>
  <si>
    <t>-347.511007957696 221.636335572126 -289.814669329255</t>
  </si>
  <si>
    <t>-687.576303871669 64.0002782479462 -101.591333946034</t>
  </si>
  <si>
    <t>-699.354115059935 73.4430599464044 301.678776126218</t>
  </si>
  <si>
    <t>-724.732554956739 87.8686327546332 748.800061903829</t>
  </si>
  <si>
    <t>-580.799182002112 108.269694089329 811.683031571845</t>
  </si>
  <si>
    <t>-597.649484582296 -124.538869277644 307.588928029892</t>
  </si>
  <si>
    <t>-621.536784588926 -127.635634316423 754.678249359138</t>
  </si>
  <si>
    <t>-504.908666711424 -206.412226060364 827.337865525037</t>
  </si>
  <si>
    <t>9763-20170724T105023.740526500.bin</t>
  </si>
  <si>
    <t>-702.599936421132 100.819363907165 -548.832592811965</t>
  </si>
  <si>
    <t>-581.207763421026 161.518091197458 -287.737277838562</t>
  </si>
  <si>
    <t>-347.688986242513 220.804777563991 -289.964457573143</t>
  </si>
  <si>
    <t>-687.191670199394 63.8029073581411 -101.632150476675</t>
  </si>
  <si>
    <t>-698.574074245034 73.4128493523331 301.645292747257</t>
  </si>
  <si>
    <t>-724.678696163166 87.7683820590239 748.752869724231</t>
  </si>
  <si>
    <t>-580.764788810907 108.371832848342 811.614297797809</t>
  </si>
  <si>
    <t>-597.256940283315 -124.585011292551 307.599369135644</t>
  </si>
  <si>
    <t>-621.544783520156 -127.598873174052 754.664955145786</t>
  </si>
  <si>
    <t>-505.15422418839 -206.689847527628 827.364145114916</t>
  </si>
  <si>
    <t>9763-20170724T105023.808710700.bin</t>
  </si>
  <si>
    <t>-702.373894586898 100.419813665515 -548.597126995167</t>
  </si>
  <si>
    <t>-581.573377415315 160.516711712619 -287.088295433355</t>
  </si>
  <si>
    <t>-347.47733439088 217.502544119594 -288.671137355282</t>
  </si>
  <si>
    <t>-686.466909294686 63.4030628725841 -101.722611383952</t>
  </si>
  <si>
    <t>-697.086334958747 73.2762327312209 301.569335071936</t>
  </si>
  <si>
    <t>-724.636082593943 87.6794274367765 748.603849814084</t>
  </si>
  <si>
    <t>-580.682739645062 108.081494739125 811.440859548997</t>
  </si>
  <si>
    <t>-596.564614638294 -124.69822328979 307.622659619842</t>
  </si>
  <si>
    <t>-621.491931808612 -127.311563471222 754.639516056108</t>
  </si>
  <si>
    <t>-505.324738566844 -206.680762292856 827.392467852137</t>
  </si>
  <si>
    <t>9763-20170724T105023.841326800.bin</t>
  </si>
  <si>
    <t>-702.197918300496 100.295041142265 -548.458988650586</t>
  </si>
  <si>
    <t>-581.723983659595 160.118595457573 -286.736949250908</t>
  </si>
  <si>
    <t>-347.327430709676 215.855064720176 -288.339989624817</t>
  </si>
  <si>
    <t>-686.060631301228 63.1029139692976 -101.766501338519</t>
  </si>
  <si>
    <t>-696.379524780789 73.12629818402 301.529542797045</t>
  </si>
  <si>
    <t>-724.610212372215 87.623605875729 748.508701815001</t>
  </si>
  <si>
    <t>-580.650002441943 108.047421247606 811.3229461645</t>
  </si>
  <si>
    <t>-596.312292395528 -124.905745540173 307.652081115759</t>
  </si>
  <si>
    <t>-621.535115527637 -127.359090623635 754.641307067908</t>
  </si>
  <si>
    <t>-505.168154457309 -206.435786180063 827.393346759273</t>
  </si>
  <si>
    <t>9763-20170724T105023.912514200.bin</t>
  </si>
  <si>
    <t>-702.349584200065 100.120571100025 -548.207144631098</t>
  </si>
  <si>
    <t>-581.928378197293 159.982132999264 -286.469651053142</t>
  </si>
  <si>
    <t>-347.223154167552 214.389172402407 -288.517877051842</t>
  </si>
  <si>
    <t>-685.427177970452 62.615964467162 -101.867773220086</t>
  </si>
  <si>
    <t>-695.472196890304 72.87512301127 301.429317562951</t>
  </si>
  <si>
    <t>-724.58841974306 87.5911830821137 748.309431459235</t>
  </si>
  <si>
    <t>-580.610766489538 107.950979492659 811.104616247862</t>
  </si>
  <si>
    <t>-595.910515200454 -125.384262424323 307.652167300588</t>
  </si>
  <si>
    <t>-621.702653498346 -127.690800858239 754.641918383502</t>
  </si>
  <si>
    <t>-505.183951778661 -206.534537205123 827.404171081222</t>
  </si>
  <si>
    <t>9763-20170724T105023.945106300.bin</t>
  </si>
  <si>
    <t>-702.633193250376 99.9724981263182 -548.108826115343</t>
  </si>
  <si>
    <t>-582.17522078832 159.805285114137 -286.381689282268</t>
  </si>
  <si>
    <t>-347.36769637768 213.768809897303 -288.442822630616</t>
  </si>
  <si>
    <t>-685.147568107638 62.3464624216754 -101.915988099433</t>
  </si>
  <si>
    <t>-695.235504318905 72.716353903297 301.377150008753</t>
  </si>
  <si>
    <t>-724.557943025092 87.5529095667389 748.221971884753</t>
  </si>
  <si>
    <t>-580.59447884182 108.032867679902 811.010305267997</t>
  </si>
  <si>
    <t>-595.77802184195 -125.494225194409 307.641180682229</t>
  </si>
  <si>
    <t>-621.669024294271 -127.515643761719 754.631709895622</t>
  </si>
  <si>
    <t>-505.297782418737 -206.568418997816 827.403101494318</t>
  </si>
  <si>
    <t>9763-20170724T105024.012286500.bin</t>
  </si>
  <si>
    <t>-703.242307741782 99.6401078664367 -547.932443830818</t>
  </si>
  <si>
    <t>-582.936708616767 159.09564743563 -286.049165290397</t>
  </si>
  <si>
    <t>-347.750885063236 211.40913505105 -287.400610165504</t>
  </si>
  <si>
    <t>-684.771794285849 61.8709544544536 -102.011589862135</t>
  </si>
  <si>
    <t>-695.007279345314 72.3385860188516 301.275337602374</t>
  </si>
  <si>
    <t>-724.486169967741 87.4525199515517 748.080421269817</t>
  </si>
  <si>
    <t>-580.528902002971 107.995756891404 810.862216507528</t>
  </si>
  <si>
    <t>-595.831087458969 -125.768040423144 307.621678784423</t>
  </si>
  <si>
    <t>-621.70858011324 -127.426155156457 754.635038710131</t>
  </si>
  <si>
    <t>-505.381715261542 -206.552906348304 827.397333935578</t>
  </si>
  <si>
    <t>9763-20170724T105024.047415300.bin</t>
  </si>
  <si>
    <t>-703.419349955101 99.6088402636669 -547.869535254937</t>
  </si>
  <si>
    <t>-583.25802396841 158.770958801973 -285.853703956951</t>
  </si>
  <si>
    <t>-347.852289490268 210.100553502571 -286.368123223279</t>
  </si>
  <si>
    <t>-684.49522009929 61.6277179297542 -102.031138569759</t>
  </si>
  <si>
    <t>-694.957576828452 72.2399932951043 301.246195536359</t>
  </si>
  <si>
    <t>-724.498055232411 87.492687489668 748.038879486013</t>
  </si>
  <si>
    <t>-580.518052353085 107.909997517232 810.810039532923</t>
  </si>
  <si>
    <t>-595.821032390842 -125.868046183032 307.597072213454</t>
  </si>
  <si>
    <t>-621.67913376811 -127.268412792786 754.614649571783</t>
  </si>
  <si>
    <t>-505.516698217888 -206.621320600814 827.393278046699</t>
  </si>
  <si>
    <t>9763-20170724T105024.108554900.bin</t>
  </si>
  <si>
    <t>-703.640665936746 99.3825050513933 -547.615946244182</t>
  </si>
  <si>
    <t>-584.016316582315 157.756508315695 -285.178096635778</t>
  </si>
  <si>
    <t>-348.237135570626 207.329285215213 -283.910355069223</t>
  </si>
  <si>
    <t>-683.999241458785 60.9183586812737 -102.065118630876</t>
  </si>
  <si>
    <t>-694.598132224092 71.7794678008247 301.202053597955</t>
  </si>
  <si>
    <t>-724.386662519102 87.2732900276098 747.957886114946</t>
  </si>
  <si>
    <t>-580.463288503912 108.151381054996 810.707096120406</t>
  </si>
  <si>
    <t>-595.865205075642 -126.451951703719 307.571939450553</t>
  </si>
  <si>
    <t>-621.815060795931 -127.501527956814 754.611795217354</t>
  </si>
  <si>
    <t>-505.365278978669 -206.451889322184 827.368866517963</t>
  </si>
  <si>
    <t>9763-20170724T105024.146736000.bin</t>
  </si>
  <si>
    <t>-703.673623646867 99.2489151118832 -547.472857779466</t>
  </si>
  <si>
    <t>-584.348832363787 157.131250090765 -284.789924089937</t>
  </si>
  <si>
    <t>-348.461416749584 206.16505884766 -282.857671732845</t>
  </si>
  <si>
    <t>-683.82767007723 60.5887293357168 -102.088480461726</t>
  </si>
  <si>
    <t>-694.270018205609 71.6161109584946 301.178265196865</t>
  </si>
  <si>
    <t>-724.378866238559 87.2745987633718 747.914131069796</t>
  </si>
  <si>
    <t>-580.446209770185 108.096091239725 810.660895255931</t>
  </si>
  <si>
    <t>-595.882785769401 -126.621618805925 307.563988871408</t>
  </si>
  <si>
    <t>-621.820949483015 -127.456279973851 754.606749856491</t>
  </si>
  <si>
    <t>-505.429546653621 -206.48776435791 827.369252266149</t>
  </si>
  <si>
    <t>9763-20170724T105024.212869000.bin</t>
  </si>
  <si>
    <t>-703.707319578797 98.9661830146958 -547.22334827561</t>
  </si>
  <si>
    <t>-585.085849681497 156.113448085904 -284.061096471307</t>
  </si>
  <si>
    <t>-348.990661474735 204.052748366007 -280.637834958368</t>
  </si>
  <si>
    <t>-683.540834714363 59.7984578852399 -102.13327609341</t>
  </si>
  <si>
    <t>-693.407434796467 71.2721102352189 301.135384870028</t>
  </si>
  <si>
    <t>-724.368945718361 87.2408589224158 747.818375150878</t>
  </si>
  <si>
    <t>-580.420590739631 108.023670510911 810.541780387952</t>
  </si>
  <si>
    <t>-595.97389319018 -127.101860054012 307.561790776909</t>
  </si>
  <si>
    <t>-621.882483189047 -127.508996824105 754.61159201472</t>
  </si>
  <si>
    <t>-505.450585442104 -206.480226056279 827.37452072519</t>
  </si>
  <si>
    <t>9763-20170724T105024.245968500.bin</t>
  </si>
  <si>
    <t>-703.600155377765 98.8560282070544 -547.068622758928</t>
  </si>
  <si>
    <t>-585.310777013257 155.558718800439 -283.660933193976</t>
  </si>
  <si>
    <t>-349.123553203516 203.002884660764 -279.723092492579</t>
  </si>
  <si>
    <t>-683.3200933101 59.3638514840761 -102.148218093344</t>
  </si>
  <si>
    <t>-693.015877923858 71.0689293244582 301.117988134131</t>
  </si>
  <si>
    <t>-724.358522348402 87.207052818273 747.757218728366</t>
  </si>
  <si>
    <t>-580.398772755182 107.940704038939 810.470855343084</t>
  </si>
  <si>
    <t>-596.01280429874 -127.321345297544 307.574189970525</t>
  </si>
  <si>
    <t>-621.851126138825 -127.358729840169 754.620458808522</t>
  </si>
  <si>
    <t>-505.540773683299 -206.505668564469 827.387143731425</t>
  </si>
  <si>
    <t>9763-20170724T105024.313144500.bin</t>
  </si>
  <si>
    <t>-703.444463237433 98.580338053084 -546.777763476648</t>
  </si>
  <si>
    <t>-585.616043817156 154.52053935418 -283.000698622757</t>
  </si>
  <si>
    <t>-349.214533726392 200.680012140035 -277.129047545954</t>
  </si>
  <si>
    <t>-682.985583337825 58.5386085252196 -102.161875489337</t>
  </si>
  <si>
    <t>-692.505207925259 70.6775261666965 301.095770420822</t>
  </si>
  <si>
    <t>-724.335593299059 87.1242435137892 747.651965844683</t>
  </si>
  <si>
    <t>-580.387762696562 108.019996349468 810.339311166761</t>
  </si>
  <si>
    <t>-596.207597586622 -127.866232913154 307.608899088536</t>
  </si>
  <si>
    <t>-621.922402600355 -127.445246256519 754.650055124774</t>
  </si>
  <si>
    <t>-505.557655386573 -206.526531683599 827.401173137731</t>
  </si>
  <si>
    <t>9763-20170724T105024.343228100.bin</t>
  </si>
  <si>
    <t>-703.463757475486 98.3774700634931 -546.640303362354</t>
  </si>
  <si>
    <t>-586.031996041932 154.008607160645 -282.621052001487</t>
  </si>
  <si>
    <t>-349.528589965821 199.505483609509 -275.761780336007</t>
  </si>
  <si>
    <t>-682.951718752525 58.1616745037798 -102.17273399976</t>
  </si>
  <si>
    <t>-692.492109414852 70.4754443390166 301.079047558644</t>
  </si>
  <si>
    <t>-724.370830723365 87.1954068579846 747.603534313801</t>
  </si>
  <si>
    <t>-580.389043654929 107.869284223425 810.286459538349</t>
  </si>
  <si>
    <t>-596.34131554942 -128.118087304369 307.615382415999</t>
  </si>
  <si>
    <t>-621.967686751404 -127.510058819375 754.671371221394</t>
  </si>
  <si>
    <t>-505.674885874524 -206.702221289683 827.416770939153</t>
  </si>
  <si>
    <t>9763-20170724T105024.409407600.bin</t>
  </si>
  <si>
    <t>-703.64431693538 97.861485023235 -546.336837914539</t>
  </si>
  <si>
    <t>-586.963713070367 152.723113353709 -281.824026804263</t>
  </si>
  <si>
    <t>-350.322834360944 197.022208536716 -272.361684930196</t>
  </si>
  <si>
    <t>-682.961089171577 57.1855677141498 -102.185109819985</t>
  </si>
  <si>
    <t>-692.481332698814 69.8931655347305 301.054948454089</t>
  </si>
  <si>
    <t>-724.310690393634 87.0716183954717 747.535949362531</t>
  </si>
  <si>
    <t>-580.344515032822 107.888138603697 810.207662007865</t>
  </si>
  <si>
    <t>-596.470397769283 -128.793867888857 307.625027316288</t>
  </si>
  <si>
    <t>-622.046125316536 -127.623934856354 754.701916253305</t>
  </si>
  <si>
    <t>-505.608504516817 -206.632853690536 827.414722437707</t>
  </si>
  <si>
    <t>9763-20170724T105024.442500100.bin</t>
  </si>
  <si>
    <t>-703.506947645813 97.5203772873451 -546.16030222453</t>
  </si>
  <si>
    <t>-587.151964689832 151.996296813645 -281.424365110092</t>
  </si>
  <si>
    <t>-350.481145935664 195.802533388224 -270.525672249002</t>
  </si>
  <si>
    <t>-682.890996402537 56.5748859378327 -102.195437731574</t>
  </si>
  <si>
    <t>-692.309392201752 69.5455325897738 301.038672106179</t>
  </si>
  <si>
    <t>-724.258471565013 86.9587095932391 747.504235781787</t>
  </si>
  <si>
    <t>-580.328562747522 108.051328215732 810.166777609393</t>
  </si>
  <si>
    <t>-596.480781607001 -129.074012873186 307.620316447567</t>
  </si>
  <si>
    <t>-622.027321165132 -127.541947904241 754.703709683195</t>
  </si>
  <si>
    <t>-505.668087648764 -206.6664682713 827.416218033755</t>
  </si>
  <si>
    <t>9763-20170724T105024.514690700.bin</t>
  </si>
  <si>
    <t>-703.069191933145 96.9202710278335 -545.734902875301</t>
  </si>
  <si>
    <t>-587.199564123232 150.414239137667 -280.586115199944</t>
  </si>
  <si>
    <t>-350.607756695257 193.601232322258 -266.092690961539</t>
  </si>
  <si>
    <t>-682.700375549496 55.4286792558253 -102.239606163672</t>
  </si>
  <si>
    <t>-691.64083366768 68.9615653791955 300.986864626471</t>
  </si>
  <si>
    <t>-724.242800325347 86.9277942180518 747.402856905003</t>
  </si>
  <si>
    <t>-580.322681391793 108.096790147221 810.062299376254</t>
  </si>
  <si>
    <t>-596.392855129353 -129.638129114868 307.631992849943</t>
  </si>
  <si>
    <t>-622.061647560134 -127.587761279211 754.719627828378</t>
  </si>
  <si>
    <t>-505.715947953613 -206.741899418797 827.421591276745</t>
  </si>
  <si>
    <t>9763-20170724T105024.541297800.bin</t>
  </si>
  <si>
    <t>-702.771471466865 96.5708847531112 -545.497668148604</t>
  </si>
  <si>
    <t>-587.139204467911 149.613260067131 -280.154598701738</t>
  </si>
  <si>
    <t>-350.626973474748 192.617956072704 -263.922636566755</t>
  </si>
  <si>
    <t>-682.56281163 54.7968979641805 -102.257335841555</t>
  </si>
  <si>
    <t>-691.168669649349 68.6073563252833 300.966978225403</t>
  </si>
  <si>
    <t>-724.214507854442 86.838914235113 747.345635458451</t>
  </si>
  <si>
    <t>-580.301419439754 108.065704500478 810.001310629318</t>
  </si>
  <si>
    <t>-596.372563393768 -130.029266462518 307.648224292249</t>
  </si>
  <si>
    <t>-622.120402523798 -127.737559540298 754.738854069298</t>
  </si>
  <si>
    <t>-505.486467142385 -206.489968225615 827.415179046381</t>
  </si>
  <si>
    <t>9763-20170724T105024.615670800.bin</t>
  </si>
  <si>
    <t>-701.803373133636 96.120544093769 -545.096900017464</t>
  </si>
  <si>
    <t>-586.607153348277 147.932079672335 -279.321354393163</t>
  </si>
  <si>
    <t>-350.307415311997 190.953629664629 -260.283452681307</t>
  </si>
  <si>
    <t>-682.437722661682 53.7863694897949 -102.293424135212</t>
  </si>
  <si>
    <t>-690.543660375856 68.0727053507985 300.924713224195</t>
  </si>
  <si>
    <t>-724.258538802867 86.901465040097 747.212057181127</t>
  </si>
  <si>
    <t>-580.321478763783 107.975894875226 809.864291303327</t>
  </si>
  <si>
    <t>-596.27708542885 -130.532242133798 307.705367268631</t>
  </si>
  <si>
    <t>-622.134926646987 -127.735405351857 754.772534628592</t>
  </si>
  <si>
    <t>-505.598359374658 -206.641938265796 827.437953044301</t>
  </si>
  <si>
    <t>9763-20170724T105024.645288100.bin</t>
  </si>
  <si>
    <t>-701.313749004491 95.8094118619524 -544.944156695143</t>
  </si>
  <si>
    <t>-586.268179434535 147.253657096566 -279.032077270916</t>
  </si>
  <si>
    <t>-350.0740883563 190.338947255338 -258.860764679847</t>
  </si>
  <si>
    <t>-682.385620877972 53.2190621184943 -102.305159711374</t>
  </si>
  <si>
    <t>-690.498131154234 67.6995338174702 300.905963311703</t>
  </si>
  <si>
    <t>-724.217580975231 86.8006387935202 747.154974990516</t>
  </si>
  <si>
    <t>-580.321448729353 108.184364259485 809.796585121291</t>
  </si>
  <si>
    <t>-596.368359075318 -130.932260664515 307.727363336932</t>
  </si>
  <si>
    <t>-622.209976341323 -127.916241603487 754.795142124377</t>
  </si>
  <si>
    <t>-505.402176134608 -206.450060199784 827.42908264316</t>
  </si>
  <si>
    <t>9763-20170724T105024.710461700.bin</t>
  </si>
  <si>
    <t>-700.650314272808 95.2601916911062 -544.816110726064</t>
  </si>
  <si>
    <t>-585.741133363823 146.342248765151 -278.775206898757</t>
  </si>
  <si>
    <t>-349.92414011026 189.754937187845 -255.184724145533</t>
  </si>
  <si>
    <t>-682.296295368486 52.3894360868701 -102.325048855221</t>
  </si>
  <si>
    <t>-690.634750163287 67.2260706155098 300.868474599618</t>
  </si>
  <si>
    <t>-724.259736728394 86.859902753449 747.081852920426</t>
  </si>
  <si>
    <t>-580.338780006499 108.102798180695 809.714069386286</t>
  </si>
  <si>
    <t>-596.534067348174 -131.205914979269 307.712709883242</t>
  </si>
  <si>
    <t>-622.084213745826 -127.508137357324 754.804411723899</t>
  </si>
  <si>
    <t>-505.804326223152 -206.815718667349 827.444396335792</t>
  </si>
  <si>
    <t>9763-20170724T105024.746063300.bin</t>
  </si>
  <si>
    <t>-700.467350695666 94.8857629319964 -544.77218824431</t>
  </si>
  <si>
    <t>-585.496291208692 145.844182600047 -278.734460324289</t>
  </si>
  <si>
    <t>-349.880037796627 189.508872046196 -253.649816999709</t>
  </si>
  <si>
    <t>-682.268648459926 51.9943005753278 -102.342026820387</t>
  </si>
  <si>
    <t>-690.699580563077 66.9990595714057 300.843353952708</t>
  </si>
  <si>
    <t>-724.235244042166 86.8026769297369 747.05452915331</t>
  </si>
  <si>
    <t>-580.319229034593 108.100851808112 809.67954565222</t>
  </si>
  <si>
    <t>-596.762820305795 -131.540385875743 307.719460302161</t>
  </si>
  <si>
    <t>-622.178555859441 -127.737826759799 754.82772523685</t>
  </si>
  <si>
    <t>-505.531906073057 -206.545162172726 827.424381712962</t>
  </si>
  <si>
    <t>9763-20170724T105024.809233300.bin</t>
  </si>
  <si>
    <t>-700.091201180227 94.3329292118412 -544.796272181824</t>
  </si>
  <si>
    <t>-585.141829124766 145.217601111231 -278.734970944069</t>
  </si>
  <si>
    <t>-349.910179876115 189.202640818752 -250.765510042651</t>
  </si>
  <si>
    <t>-682.27781967327 51.5424194317575 -102.374354703934</t>
  </si>
  <si>
    <t>-690.704927516593 66.7532610490164 300.803356794754</t>
  </si>
  <si>
    <t>-724.272905729112 86.8691191859807 746.995324189013</t>
  </si>
  <si>
    <t>-580.360369184489 108.200685200191 809.61690182482</t>
  </si>
  <si>
    <t>-597.021908139106 -132.036638162153 307.739406275217</t>
  </si>
  <si>
    <t>-622.306522914859 -128.094501442605 754.854649319489</t>
  </si>
  <si>
    <t>-505.411546829956 -206.56153642622 827.420470794806</t>
  </si>
  <si>
    <t>9763-20170724T105024.841821500.bin</t>
  </si>
  <si>
    <t>-699.878776296352 94.1199737919324 -544.836861006167</t>
  </si>
  <si>
    <t>-585.030430459018 144.992392140796 -278.729578025816</t>
  </si>
  <si>
    <t>-349.887558585442 189.075254282577 -250.173910970607</t>
  </si>
  <si>
    <t>-682.207721846737 51.3735563254008 -102.402860521017</t>
  </si>
  <si>
    <t>-690.605845045837 66.6542090127289 300.772805936444</t>
  </si>
  <si>
    <t>-724.233623666363 86.7776306580304 746.9633411904</t>
  </si>
  <si>
    <t>-580.335654940765 108.215996093793 809.581656113208</t>
  </si>
  <si>
    <t>-597.047790104776 -132.010741864816 307.73857883908</t>
  </si>
  <si>
    <t>-622.202315191832 -127.804128013312 754.851196802395</t>
  </si>
  <si>
    <t>-505.590223829653 -206.675395700248 827.433796836014</t>
  </si>
  <si>
    <t>9763-20170724T105024.909183000.bin</t>
  </si>
  <si>
    <t>-699.606235367834 93.5990067688638 -544.918826575147</t>
  </si>
  <si>
    <t>-584.705358919453 144.26752870685 -278.795328199277</t>
  </si>
  <si>
    <t>-349.597498592488 188.472056078418 -250.140119689782</t>
  </si>
  <si>
    <t>-682.02546925824 50.989251267313 -102.455867205246</t>
  </si>
  <si>
    <t>-690.408787571016 66.4274425246958 300.714153166488</t>
  </si>
  <si>
    <t>-724.226451026056 86.7586277686141 746.884396344675</t>
  </si>
  <si>
    <t>-580.356750691457 108.37994925589 809.505143187789</t>
  </si>
  <si>
    <t>-597.141406430216 -132.284081190549 307.73526618596</t>
  </si>
  <si>
    <t>-622.274397293445 -128.02518103491 754.863915168598</t>
  </si>
  <si>
    <t>-505.523028724212 -206.702542574164 827.432993582758</t>
  </si>
  <si>
    <t>9763-20170724T105024.945003300.bin</t>
  </si>
  <si>
    <t>-699.564217733914 93.4136149330652 -544.959021081925</t>
  </si>
  <si>
    <t>-584.684320861616 144.282987906275 -278.864862163361</t>
  </si>
  <si>
    <t>-349.564713676201 188.517310855737 -250.353010363041</t>
  </si>
  <si>
    <t>-681.974802828735 50.8746509540094 -102.465836273698</t>
  </si>
  <si>
    <t>-690.327069143626 66.3947068583318 300.701711473356</t>
  </si>
  <si>
    <t>-724.247939283297 86.7890806944824 746.864770789566</t>
  </si>
  <si>
    <t>-580.3701550714 108.378812000508 809.477720938155</t>
  </si>
  <si>
    <t>-597.124041807962 -132.373673139343 307.740695266675</t>
  </si>
  <si>
    <t>-622.236623830662 -127.927038938139 754.866400098823</t>
  </si>
  <si>
    <t>-505.62710910671 -206.808295550079 827.442419328307</t>
  </si>
  <si>
    <t>9763-20170724T105025.015191100.bin</t>
  </si>
  <si>
    <t>-699.915313114517 93.0844084354319 -544.970972107717</t>
  </si>
  <si>
    <t>-585.312552622848 144.356155754605 -278.834555340376</t>
  </si>
  <si>
    <t>-350.062139715154 188.542420668941 -251.344603154598</t>
  </si>
  <si>
    <t>-682.052683912503 50.6630132038447 -102.479635526755</t>
  </si>
  <si>
    <t>-690.198957072961 66.2357029039604 300.689998071879</t>
  </si>
  <si>
    <t>-724.223906272247 86.6800097446214 746.833925491762</t>
  </si>
  <si>
    <t>-580.368956718586 108.521922218893 809.411867310213</t>
  </si>
  <si>
    <t>-597.13967419234 -132.542934387263 307.749894244381</t>
  </si>
  <si>
    <t>-622.202476513112 -127.847374421929 754.875388600276</t>
  </si>
  <si>
    <t>-505.616632198332 -206.769772156985 827.444432689298</t>
  </si>
  <si>
    <t>9763-20170724T105025.045851100.bin</t>
  </si>
  <si>
    <t>-700.361197599084 92.9333510928059 -544.961234285605</t>
  </si>
  <si>
    <t>-585.906840033729 144.329252855922 -278.784786676721</t>
  </si>
  <si>
    <t>-350.558931590581 188.35257446295 -251.874257382514</t>
  </si>
  <si>
    <t>-682.169570747179 50.6128242755908 -102.482328854358</t>
  </si>
  <si>
    <t>-690.324841181702 66.1778321402674 300.687501208997</t>
  </si>
  <si>
    <t>-724.23627035321 86.6825659867054 746.819450109085</t>
  </si>
  <si>
    <t>-580.373483527653 108.490006629845 809.390997190309</t>
  </si>
  <si>
    <t>-597.165881934107 -132.631090395369 307.751068282581</t>
  </si>
  <si>
    <t>-622.239177025681 -127.9557876463 754.873743097839</t>
  </si>
  <si>
    <t>-505.596731883615 -206.798186916989 827.439034019071</t>
  </si>
  <si>
    <t>9763-20170724T105025.108014400.bin</t>
  </si>
  <si>
    <t>-701.523361961568 92.674937021161 -544.872653148311</t>
  </si>
  <si>
    <t>-587.674723192616 144.17434286231 -278.456663450383</t>
  </si>
  <si>
    <t>-352.081965144129 187.819976021576 -253.119285108423</t>
  </si>
  <si>
    <t>-682.469714920421 50.4829147325979 -102.496282636062</t>
  </si>
  <si>
    <t>-690.687477391567 66.1573879657126 300.668049335293</t>
  </si>
  <si>
    <t>-724.25240135902 86.6938256211965 746.813018930159</t>
  </si>
  <si>
    <t>-580.371554399497 108.396461234774 809.379515777934</t>
  </si>
  <si>
    <t>-597.185594180113 -132.746491157309 307.727327866131</t>
  </si>
  <si>
    <t>-622.256813376775 -128.023089029546 754.865846022111</t>
  </si>
  <si>
    <t>-505.530539570944 -206.748197319443 827.42360907605</t>
  </si>
  <si>
    <t>9763-20170724T105025.145866100.bin</t>
  </si>
  <si>
    <t>-702.260898064185 92.5901412950636 -544.853486619682</t>
  </si>
  <si>
    <t>-588.93983411954 144.042921726254 -278.203495986194</t>
  </si>
  <si>
    <t>-353.236576641128 187.462402139241 -253.513117653564</t>
  </si>
  <si>
    <t>-682.741859199291 50.4495071354204 -102.504956857233</t>
  </si>
  <si>
    <t>-690.926552454361 66.0960370219614 300.661101013328</t>
  </si>
  <si>
    <t>-724.210646152595 86.5735093660908 746.830006455858</t>
  </si>
  <si>
    <t>-580.35946331201 108.52457444213 809.378378837159</t>
  </si>
  <si>
    <t>-597.228022921596 -132.731242317511 307.707606286132</t>
  </si>
  <si>
    <t>-622.216548825134 -127.913938642309 754.853970155509</t>
  </si>
  <si>
    <t>-505.611959455593 -206.810658498663 827.421094759236</t>
  </si>
  <si>
    <t>9763-20170724T105025.213049200.bin</t>
  </si>
  <si>
    <t>-703.835855316928 92.291927069961 -544.752564394697</t>
  </si>
  <si>
    <t>-592.267405054214 143.850616315976 -277.384995571281</t>
  </si>
  <si>
    <t>-356.207608155493 186.502400060818 -254.85802746088</t>
  </si>
  <si>
    <t>-683.28895294839 50.2879037366524 -102.494235246627</t>
  </si>
  <si>
    <t>-691.325716987875 66.0414116113498 300.670639824188</t>
  </si>
  <si>
    <t>-724.224616966085 86.5377051405508 746.882035690222</t>
  </si>
  <si>
    <t>-580.343902065233 108.404948973242 809.391789896193</t>
  </si>
  <si>
    <t>-597.512797708953 -132.893801542633 307.682916206459</t>
  </si>
  <si>
    <t>-622.296319908634 -128.13774762373 754.850209290864</t>
  </si>
  <si>
    <t>-505.402664945242 -206.622174188653 827.399394224985</t>
  </si>
  <si>
    <t>9763-20170724T105025.241621400.bin</t>
  </si>
  <si>
    <t>-704.715807846492 92.2823965490545 -544.677720974385</t>
  </si>
  <si>
    <t>-594.33602951698 143.691073502195 -276.788448355368</t>
  </si>
  <si>
    <t>-358.085730811099 186.005064048061 -255.665096082106</t>
  </si>
  <si>
    <t>-683.620324532929 50.2731554591278 -102.487305691354</t>
  </si>
  <si>
    <t>-691.574518468053 66.0232040331671 300.679350417907</t>
  </si>
  <si>
    <t>-724.189439596654 86.4331535858303 746.908092888232</t>
  </si>
  <si>
    <t>-580.327558256099 108.480674717597 809.397850306523</t>
  </si>
  <si>
    <t>-597.675837893478 -132.908297244914 307.667218860548</t>
  </si>
  <si>
    <t>-622.31261963792 -128.167563096569 754.853400513267</t>
  </si>
  <si>
    <t>-505.362795916926 -206.577777329025 827.392247665803</t>
  </si>
  <si>
    <t>9763-20170724T105025.314052500.bin</t>
  </si>
  <si>
    <t>-706.191676702812 92.4325454181792 -544.478800009923</t>
  </si>
  <si>
    <t>-597.994989683024 143.291153653464 -275.595797981401</t>
  </si>
  <si>
    <t>-361.435521937556 185.098324282849 -257.085064325212</t>
  </si>
  <si>
    <t>-684.088321673864 50.210949933045 -102.487028223594</t>
  </si>
  <si>
    <t>-691.954621593051 66.029094699946 300.678681888416</t>
  </si>
  <si>
    <t>-724.186010487423 86.4405589537614 746.926310367184</t>
  </si>
  <si>
    <t>-580.324850742685 108.491836635546 809.416142566112</t>
  </si>
  <si>
    <t>-598.070698653089 -132.944265409172 307.652754130386</t>
  </si>
  <si>
    <t>-622.406463383404 -128.422621390994 754.857843300426</t>
  </si>
  <si>
    <t>-505.263550913499 -206.558984873615 827.380636984554</t>
  </si>
  <si>
    <t>9763-20170724T105025.344134700.bin</t>
  </si>
  <si>
    <t>-706.617849707726 92.6740733552369 -544.346646090132</t>
  </si>
  <si>
    <t>-599.29554710466 143.118602620852 -275.0355458657</t>
  </si>
  <si>
    <t>-362.570571333776 184.710015219455 -258.232321312276</t>
  </si>
  <si>
    <t>-684.286144109567 50.2819096574462 -102.494799303496</t>
  </si>
  <si>
    <t>-692.026590465885 66.0958289010862 300.673519562804</t>
  </si>
  <si>
    <t>-724.214184747312 86.5266604364501 746.924009288519</t>
  </si>
  <si>
    <t>-580.353204099295 108.541518242582 809.427514311573</t>
  </si>
  <si>
    <t>-598.184318943354 -132.714037875517 307.638885827032</t>
  </si>
  <si>
    <t>-622.316013273439 -128.157632665794 754.853986849565</t>
  </si>
  <si>
    <t>-505.619532757026 -206.935225731022 827.40284873919</t>
  </si>
  <si>
    <t>9763-20170724T105025.413324500.bin</t>
  </si>
  <si>
    <t>-707.095994822211 93.0558403926766 -544.086587653381</t>
  </si>
  <si>
    <t>-600.529049381367 142.912655019838 -274.366369771411</t>
  </si>
  <si>
    <t>-363.655437921873 184.41309574292 -259.552295013061</t>
  </si>
  <si>
    <t>-684.670849892617 50.3688346573692 -102.519705474252</t>
  </si>
  <si>
    <t>-692.207112006257 66.1879919511773 300.652224939122</t>
  </si>
  <si>
    <t>-724.22783148989 86.626986435276 746.916393718251</t>
  </si>
  <si>
    <t>-580.361369704543 108.520382665246 809.449960760087</t>
  </si>
  <si>
    <t>-598.500500704418 -132.639894973239 307.635722622248</t>
  </si>
  <si>
    <t>-622.354895807581 -128.23781593539 754.870918515161</t>
  </si>
  <si>
    <t>-505.444422736829 -206.72654244704 827.38815719659</t>
  </si>
  <si>
    <t>9763-20170724T105025.443401400.bin</t>
  </si>
  <si>
    <t>-707.312901996894 93.0124932340696 -543.98875793306</t>
  </si>
  <si>
    <t>-600.700274485749 142.766193504418 -274.267496865752</t>
  </si>
  <si>
    <t>-363.767489018582 184.131737486857 -260.032190628355</t>
  </si>
  <si>
    <t>-684.915660526085 50.3454012816685 -102.534343358721</t>
  </si>
  <si>
    <t>-692.361840829493 66.1944289732276 300.638108692247</t>
  </si>
  <si>
    <t>-724.226752526799 86.6586611879427 746.907442446284</t>
  </si>
  <si>
    <t>-580.341987444647 108.383396632567 809.457556873332</t>
  </si>
  <si>
    <t>-598.656927959895 -132.721636632532 307.644222612538</t>
  </si>
  <si>
    <t>-622.41691737179 -128.428798528047 754.880313813244</t>
  </si>
  <si>
    <t>-505.164326612736 -206.428897319557 827.372524125145</t>
  </si>
  <si>
    <t>9763-20170724T105025.512587700.bin</t>
  </si>
  <si>
    <t>-707.485302917437 92.9244544347443 -543.832501031433</t>
  </si>
  <si>
    <t>-600.130915142329 142.342589541617 -274.343883679405</t>
  </si>
  <si>
    <t>-363.172458564727 183.472868256142 -259.857536074656</t>
  </si>
  <si>
    <t>-685.098258487481 50.2607177616342 -102.562733241037</t>
  </si>
  <si>
    <t>-692.438465041263 66.1585007733072 300.60971284577</t>
  </si>
  <si>
    <t>-724.262193665345 86.779194797014 746.898980210818</t>
  </si>
  <si>
    <t>-580.378255449507 108.507710354792 809.449634519194</t>
  </si>
  <si>
    <t>-598.951898493186 -132.476607229685 307.639811953071</t>
  </si>
  <si>
    <t>-622.336073028602 -128.204194807068 754.8768396311</t>
  </si>
  <si>
    <t>-505.344530605682 -206.578776838713 827.387008128462</t>
  </si>
  <si>
    <t>9763-20170724T105025.546682600.bin</t>
  </si>
  <si>
    <t>-707.507644113018 93.045883470548 -543.788133703818</t>
  </si>
  <si>
    <t>-599.851334355143 142.199461520711 -274.371662738479</t>
  </si>
  <si>
    <t>-362.88806878548 183.240458546904 -259.711761261657</t>
  </si>
  <si>
    <t>-685.215054476037 50.3958958153123 -102.585594148435</t>
  </si>
  <si>
    <t>-692.518019821789 66.2301328660928 300.590034283166</t>
  </si>
  <si>
    <t>-724.329956393899 86.9372908268538 746.893128195515</t>
  </si>
  <si>
    <t>-580.399649334359 108.349956571869 809.445842783245</t>
  </si>
  <si>
    <t>-599.200245425521 -132.443427248811 307.626847926509</t>
  </si>
  <si>
    <t>-622.371953609198 -128.293469032181 754.88228112118</t>
  </si>
  <si>
    <t>-505.245699228362 -206.474660238242 827.383605530593</t>
  </si>
  <si>
    <t>9763-20170724T105025.610853700.bin</t>
  </si>
  <si>
    <t>-707.483861522185 93.620781439316 -543.697434733176</t>
  </si>
  <si>
    <t>-599.570477994068 142.288737818733 -274.295563371946</t>
  </si>
  <si>
    <t>-362.561723977454 183.006979649546 -259.470903244582</t>
  </si>
  <si>
    <t>-685.202441316933 50.6288917157401 -102.569180403724</t>
  </si>
  <si>
    <t>-692.640348447732 66.3581729792486 300.608105097484</t>
  </si>
  <si>
    <t>-724.299280825534 86.8461901661458 746.927582285384</t>
  </si>
  <si>
    <t>-580.379551377322 108.443054876147 809.441449328862</t>
  </si>
  <si>
    <t>-599.604472300266 -132.496754577852 307.616310957283</t>
  </si>
  <si>
    <t>-622.456683918246 -128.552654203124 754.881603689432</t>
  </si>
  <si>
    <t>-505.174488768989 -206.501529092452 827.380833920938</t>
  </si>
  <si>
    <t>9763-20170724T105025.644669600.bin</t>
  </si>
  <si>
    <t>-707.60193768816 93.9355106931898 -543.62841648633</t>
  </si>
  <si>
    <t>-599.727174803121 142.571732718223 -274.20536065766</t>
  </si>
  <si>
    <t>-362.695559715902 183.112799932133 -259.261468571913</t>
  </si>
  <si>
    <t>-685.296311679084 50.8438803825984 -102.543474655775</t>
  </si>
  <si>
    <t>-692.698776305073 66.4744871710207 300.63834123998</t>
  </si>
  <si>
    <t>-724.348816768312 86.9111038757981 746.968705013336</t>
  </si>
  <si>
    <t>-580.384437733989 108.279192771214 809.458506599948</t>
  </si>
  <si>
    <t>-599.787256150738 -132.328975934715 307.591722176357</t>
  </si>
  <si>
    <t>-622.383048050283 -128.344473958182 754.866190026882</t>
  </si>
  <si>
    <t>-505.414400502414 -206.735489546221 827.395526064927</t>
  </si>
  <si>
    <t>9763-20170724T105025.712850700.bin</t>
  </si>
  <si>
    <t>-708.391210868103 94.4601544604327 -543.419132631443</t>
  </si>
  <si>
    <t>-600.831609904486 142.819363379778 -273.820443705275</t>
  </si>
  <si>
    <t>-363.745817618251 182.990034364037 -258.734025791796</t>
  </si>
  <si>
    <t>-685.958498317042 51.0525105288748 -102.469531454788</t>
  </si>
  <si>
    <t>-693.156319997506 66.4502156909716 300.724931275524</t>
  </si>
  <si>
    <t>-724.301303593902 86.6671378266828 747.087827915252</t>
  </si>
  <si>
    <t>-580.347506355639 108.324324304355 809.502264480337</t>
  </si>
  <si>
    <t>-600.126262461125 -132.2849026337 307.55038170658</t>
  </si>
  <si>
    <t>-622.344466073916 -128.217266513861 754.844417283271</t>
  </si>
  <si>
    <t>-505.295730184893 -206.477299555829 827.38598134661</t>
  </si>
  <si>
    <t>9763-20170724T105025.747961500.bin</t>
  </si>
  <si>
    <t>-708.881895651708 94.6317783087204 -543.271044243514</t>
  </si>
  <si>
    <t>-601.640242357463 142.701323962053 -273.493872437402</t>
  </si>
  <si>
    <t>-364.515812914802 182.684808249415 -258.51969615685</t>
  </si>
  <si>
    <t>-686.315923503421 50.9526199363308 -102.432061158939</t>
  </si>
  <si>
    <t>-693.524326593953 66.5058582646266 300.756225328212</t>
  </si>
  <si>
    <t>-724.268140707535 86.5926581883077 747.124309322634</t>
  </si>
  <si>
    <t>-580.310506543613 108.236947698804 809.534608319113</t>
  </si>
  <si>
    <t>-600.235553746827 -132.305932411448 307.520442183284</t>
  </si>
  <si>
    <t>-622.349256403819 -128.213213484421 754.831679613161</t>
  </si>
  <si>
    <t>-505.42915668066 -206.650228339118 827.389433838056</t>
  </si>
  <si>
    <t>9763-20170724T105025.812119100.bin</t>
  </si>
  <si>
    <t>-709.843315914687 94.4819695007784 -542.983687839775</t>
  </si>
  <si>
    <t>-603.576081093109 141.829520063995 -272.693730249012</t>
  </si>
  <si>
    <t>-366.367290860129 181.357041344341 -257.847236129256</t>
  </si>
  <si>
    <t>-687.278942871202 50.603221155746 -102.40637573568</t>
  </si>
  <si>
    <t>-694.130247286202 66.4903104906848 300.775211450698</t>
  </si>
  <si>
    <t>-724.292474448086 86.7189113804575 747.171644853771</t>
  </si>
  <si>
    <t>-580.322575238718 108.185418695164 809.614919178031</t>
  </si>
  <si>
    <t>-600.642445127432 -132.352374119045 307.474397689192</t>
  </si>
  <si>
    <t>-622.408030592835 -128.341830981937 754.818209993949</t>
  </si>
  <si>
    <t>-505.316477525965 -206.527941197936 827.370146134948</t>
  </si>
  <si>
    <t>9763-20170724T105025.842703000.bin</t>
  </si>
  <si>
    <t>-710.186171299899 94.3034390316964 -542.853109916203</t>
  </si>
  <si>
    <t>-604.584314456098 141.328911849357 -272.246258009867</t>
  </si>
  <si>
    <t>-367.339231156474 180.688487338183 -257.534630298616</t>
  </si>
  <si>
    <t>-687.736736924988 50.3348072931108 -102.400809882772</t>
  </si>
  <si>
    <t>-694.338881973071 66.3170284156888 300.781111528467</t>
  </si>
  <si>
    <t>-724.246031637677 86.6505281142815 747.197326547655</t>
  </si>
  <si>
    <t>-580.305280427674 108.292346205588 809.647373780063</t>
  </si>
  <si>
    <t>-600.846425528176 -132.356955073792 307.45988885508</t>
  </si>
  <si>
    <t>-622.450123475466 -128.443737342818 754.819213325992</t>
  </si>
  <si>
    <t>-505.31942304261 -206.572692127384 827.36999753479</t>
  </si>
  <si>
    <t>9763-20170724T105025.907947500.bin</t>
  </si>
  <si>
    <t>-711.311212492802 94.1122239121007 -542.60227750231</t>
  </si>
  <si>
    <t>-607.157381791906 140.576433089268 -271.337936761564</t>
  </si>
  <si>
    <t>-369.894785654045 179.841612502132 -256.656139314801</t>
  </si>
  <si>
    <t>-688.640762074296 49.9758299780372 -102.396012291414</t>
  </si>
  <si>
    <t>-694.844503567059 66.2030346042727 300.78244068974</t>
  </si>
  <si>
    <t>-724.205752184969 86.6287996015894 747.227796628238</t>
  </si>
  <si>
    <t>-580.298638471493 108.413090909886 809.705584354105</t>
  </si>
  <si>
    <t>-601.181813982617 -132.362562787843 307.45445642195</t>
  </si>
  <si>
    <t>-622.487881094743 -128.520831983214 754.823338716133</t>
  </si>
  <si>
    <t>-505.21967910445 -206.450776261194 827.365593987859</t>
  </si>
  <si>
    <t>9763-20170724T105025.947130600.bin</t>
  </si>
  <si>
    <t>-711.877625522081 93.9851876690325 -542.530756290386</t>
  </si>
  <si>
    <t>-608.594578441148 140.151774789179 -270.883072101069</t>
  </si>
  <si>
    <t>-371.328427462113 179.496190875668 -256.471520855201</t>
  </si>
  <si>
    <t>-688.994251637893 49.7672204061607 -102.400743749971</t>
  </si>
  <si>
    <t>-694.999735467069 66.1750516450545 300.773336448714</t>
  </si>
  <si>
    <t>-724.184122468547 86.6187863463756 747.237113224944</t>
  </si>
  <si>
    <t>-580.301342008765 108.533941474137 809.72516983601</t>
  </si>
  <si>
    <t>-601.350859482676 -132.324276162486 307.448187963234</t>
  </si>
  <si>
    <t>-622.461417619497 -128.423335008893 754.823561881376</t>
  </si>
  <si>
    <t>-505.188615677982 -206.347512791358 827.364717650826</t>
  </si>
  <si>
    <t>9763-20170724T105026.013306000.bin</t>
  </si>
  <si>
    <t>-712.873306904289 93.5903614416222 -542.46934295359</t>
  </si>
  <si>
    <t>-611.530850705864 139.397149357772 -270.031039521811</t>
  </si>
  <si>
    <t>-374.205296708451 178.47186803213 -255.864840525787</t>
  </si>
  <si>
    <t>-689.623697327267 49.4636540087286 -102.403655547814</t>
  </si>
  <si>
    <t>-695.278012496609 66.0178234752609 300.769548700104</t>
  </si>
  <si>
    <t>-724.200029090265 86.686294517523 747.25479873519</t>
  </si>
  <si>
    <t>-580.315016959442 108.546268802955 809.757022200851</t>
  </si>
  <si>
    <t>-601.630532651649 -132.292829354178 307.462629812793</t>
  </si>
  <si>
    <t>-622.485381823916 -128.454015106705 754.842933213932</t>
  </si>
  <si>
    <t>-505.234623503376 -206.41323273518 827.381701754678</t>
  </si>
  <si>
    <t>9763-20170724T105026.043929000.bin</t>
  </si>
  <si>
    <t>-713.28959864275 93.3899530653225 -542.467864907738</t>
  </si>
  <si>
    <t>-612.986400662907 139.249904048731 -269.65402615479</t>
  </si>
  <si>
    <t>-375.596057314866 178.024473049275 -255.753883735165</t>
  </si>
  <si>
    <t>-689.866675166724 49.2946506015021 -102.398859147723</t>
  </si>
  <si>
    <t>-695.401107388953 65.9765904335429 300.770763461562</t>
  </si>
  <si>
    <t>-724.187793731533 86.6795660972152 747.255650360081</t>
  </si>
  <si>
    <t>-580.30718664803 108.560559383885 809.760744793206</t>
  </si>
  <si>
    <t>-601.730855243952 -132.181947837321 307.459640854489</t>
  </si>
  <si>
    <t>-622.428173314922 -128.286062264586 754.844164976835</t>
  </si>
  <si>
    <t>-505.528793702844 -206.747935323368 827.408505756315</t>
  </si>
  <si>
    <t>9763-20170724T105026.124127600.bin</t>
  </si>
  <si>
    <t>-714.05105554846 92.6862182461507 -542.561165255967</t>
  </si>
  <si>
    <t>-615.739336452607 138.555190758766 -269.025145596183</t>
  </si>
  <si>
    <t>-378.197973656463 176.565310073467 -255.599609815672</t>
  </si>
  <si>
    <t>-690.351747216171 48.8981662386602 -102.410106628679</t>
  </si>
  <si>
    <t>-695.688012651422 65.7894160913836 300.753529789616</t>
  </si>
  <si>
    <t>-724.203026780691 86.7242300340811 747.244416716571</t>
  </si>
  <si>
    <t>-580.334960514771 108.660135378553 809.758952231193</t>
  </si>
  <si>
    <t>-602.114368964781 -132.344264480347 307.470773043128</t>
  </si>
  <si>
    <t>-622.502865618374 -128.467278826798 754.867624536829</t>
  </si>
  <si>
    <t>-505.335295154764 -206.551036897384 827.407139838985</t>
  </si>
  <si>
    <t>9763-20170724T105026.154853200.bin</t>
  </si>
  <si>
    <t>-714.359049417141 92.2929594813884 -542.610934857549</t>
  </si>
  <si>
    <t>-616.771631549986 138.173771710386 -268.817506786236</t>
  </si>
  <si>
    <t>-379.193096696966 175.999005542524 -255.528165129315</t>
  </si>
  <si>
    <t>-690.567494694541 48.6612278319824 -102.428306426513</t>
  </si>
  <si>
    <t>-695.810072318162 65.6259775672627 300.733377632581</t>
  </si>
  <si>
    <t>-724.164939208952 86.6520766650324 747.232484059309</t>
  </si>
  <si>
    <t>-580.325837785215 108.776954198586 809.747026611562</t>
  </si>
  <si>
    <t>-602.325002150255 -132.422792053756 307.478461765169</t>
  </si>
  <si>
    <t>-622.530426012878 -128.521159384676 754.882701385059</t>
  </si>
  <si>
    <t>-505.194409702401 -206.369674137307 827.40291536822</t>
  </si>
  <si>
    <t>9763-20170724T105026.215021000.bin</t>
  </si>
  <si>
    <t>-714.591992747445 91.5395030272527 -542.763519284391</t>
  </si>
  <si>
    <t>-618.188951027378 137.460250075718 -268.557517260785</t>
  </si>
  <si>
    <t>-380.543940650991 174.926828636491 -255.443304059079</t>
  </si>
  <si>
    <t>-690.76905515071 48.249662322042 -102.473834026106</t>
  </si>
  <si>
    <t>-696.056823499501 65.4476798641481 300.677442197393</t>
  </si>
  <si>
    <t>-724.210544300258 86.7621128908906 747.189513794968</t>
  </si>
  <si>
    <t>-580.345309176 108.673690479148 809.719275961583</t>
  </si>
  <si>
    <t>-602.619673945411 -132.597526678467 307.500782489678</t>
  </si>
  <si>
    <t>-622.585065923222 -128.635231697146 754.917123599101</t>
  </si>
  <si>
    <t>-505.150332289008 -206.354464650299 827.416125724468</t>
  </si>
  <si>
    <t>9763-20170724T105026.279149800.bin</t>
  </si>
  <si>
    <t>-715.001424663412 90.8230660687459 -542.818715896182</t>
  </si>
  <si>
    <t>-619.16546945721 137.003574956578 -268.457631860181</t>
  </si>
  <si>
    <t>-381.484990667965 174.135855571949 -255.03910812138</t>
  </si>
  <si>
    <t>-690.913401433543 47.9046990049571 -102.503987567053</t>
  </si>
  <si>
    <t>-696.199335949921 65.2696171171976 300.640156728199</t>
  </si>
  <si>
    <t>-724.230203383754 86.7795285750294 747.153503045248</t>
  </si>
  <si>
    <t>-580.361486583822 108.643989601813 809.691848004684</t>
  </si>
  <si>
    <t>-602.729749905728 -132.844457434872 307.53570407889</t>
  </si>
  <si>
    <t>-622.608074491353 -128.659954097182 754.951107655362</t>
  </si>
  <si>
    <t>-505.137791208521 -206.34871938188 827.425256837315</t>
  </si>
  <si>
    <t>9763-20170724T105026.313241500.bin</t>
  </si>
  <si>
    <t>-715.165671227171 90.4844809179956 -542.85028467563</t>
  </si>
  <si>
    <t>-619.513834692563 136.762511691817 -268.441406946252</t>
  </si>
  <si>
    <t>-381.82176388245 173.776043864047 -254.900040908314</t>
  </si>
  <si>
    <t>-690.935839577544 47.7174214206914 -102.527160964199</t>
  </si>
  <si>
    <t>-696.178386195908 65.1256855242632 300.61563089061</t>
  </si>
  <si>
    <t>-724.219001044798 86.7379601671989 747.129231973175</t>
  </si>
  <si>
    <t>-580.368389518183 108.712324507262 809.670442475928</t>
  </si>
  <si>
    <t>-602.731725428698 -132.899002751906 307.535516325044</t>
  </si>
  <si>
    <t>-622.605385235315 -128.644643782964 754.959666060651</t>
  </si>
  <si>
    <t>-505.304188991361 -206.581940678304 827.440829067517</t>
  </si>
  <si>
    <t>9763-20170724T105026.347350500.bin</t>
  </si>
  <si>
    <t>-715.337859626861 90.1814889941768 -542.870837646747</t>
  </si>
  <si>
    <t>-619.895838536373 136.538237855838 -268.402057330856</t>
  </si>
  <si>
    <t>-382.177321265658 173.342986898209 -254.757307439858</t>
  </si>
  <si>
    <t>-690.9163344856 47.5322528309996 -102.539266787847</t>
  </si>
  <si>
    <t>-696.088436023418 65.0529938035047 300.599600634786</t>
  </si>
  <si>
    <t>-724.251856539544 86.7850050026541 747.104696053402</t>
  </si>
  <si>
    <t>-580.36708568878 108.522133247637 809.650323038583</t>
  </si>
  <si>
    <t>-602.654482495909 -133.001619615598 307.558048065092</t>
  </si>
  <si>
    <t>-622.584598135737 -128.592911011099 754.961976046266</t>
  </si>
  <si>
    <t>-505.273881867276 -206.516967913796 827.441689004902</t>
  </si>
  <si>
    <t>9763-20170724T105026.413523400.bin</t>
  </si>
  <si>
    <t>-715.49292951672 89.4906501065525 -542.896204870631</t>
  </si>
  <si>
    <t>-620.499923359076 135.980787169452 -268.294398356114</t>
  </si>
  <si>
    <t>-382.72627283628 172.310641741931 -254.338560816612</t>
  </si>
  <si>
    <t>-690.692762970047 47.1431700860367 -102.575151268957</t>
  </si>
  <si>
    <t>-695.723750228997 64.8125887593631 300.558943336059</t>
  </si>
  <si>
    <t>-724.282491004972 86.7803405229092 747.034007301076</t>
  </si>
  <si>
    <t>-580.41262925334 108.635370955643 809.572784927908</t>
  </si>
  <si>
    <t>-602.576623826177 -133.235474910399 307.585839189162</t>
  </si>
  <si>
    <t>-622.501207109003 -128.349983003237 754.964601504601</t>
  </si>
  <si>
    <t>-505.17228702318 -206.250577959778 827.440205725402</t>
  </si>
  <si>
    <t>9763-20170724T105026.445307300.bin</t>
  </si>
  <si>
    <t>-715.457907428409 89.2440096254304 -542.926595764625</t>
  </si>
  <si>
    <t>-620.702314769158 135.797302885831 -268.253401382874</t>
  </si>
  <si>
    <t>-382.900230223363 171.824759272112 -254.001361482621</t>
  </si>
  <si>
    <t>-690.574940870168 46.9710497835285 -102.605733899772</t>
  </si>
  <si>
    <t>-695.580220308042 64.6924477899436 300.526437842333</t>
  </si>
  <si>
    <t>-724.262026701973 86.7042905514122 746.990537379546</t>
  </si>
  <si>
    <t>-580.399600544051 108.613655616375 809.527654672122</t>
  </si>
  <si>
    <t>-602.554348049135 -133.351912090273 307.588147669091</t>
  </si>
  <si>
    <t>-622.519446234164 -128.399570276407 754.973574048447</t>
  </si>
  <si>
    <t>-505.124590957001 -206.209734285715 827.43946064839</t>
  </si>
  <si>
    <t>9763-20170724T105026.511481900.bin</t>
  </si>
  <si>
    <t>-715.526091877212 88.9437215134667 -542.898066637012</t>
  </si>
  <si>
    <t>-621.177875006858 135.518070595666 -268.088237308292</t>
  </si>
  <si>
    <t>-383.355394920079 171.180468070735 -253.272440455526</t>
  </si>
  <si>
    <t>-690.37655417384 46.6944417833092 -102.664438186319</t>
  </si>
  <si>
    <t>-695.424884949964 64.5220108165345 300.462552938422</t>
  </si>
  <si>
    <t>-724.275805420185 86.6976442091366 746.900728854774</t>
  </si>
  <si>
    <t>-580.436059178266 108.729086581404 809.447070947278</t>
  </si>
  <si>
    <t>-602.407416318819 -133.579394590347 307.587222867164</t>
  </si>
  <si>
    <t>-622.563212016329 -128.558005207748 754.974778738654</t>
  </si>
  <si>
    <t>-505.006592849771 -206.132849181149 827.430837490135</t>
  </si>
  <si>
    <t>9763-20170724T105026.543070400.bin</t>
  </si>
  <si>
    <t>-715.48255830835 88.8693618571722 -542.863928343528</t>
  </si>
  <si>
    <t>-621.129438433487 135.240639897746 -268.021455621478</t>
  </si>
  <si>
    <t>-383.318643743626 170.910906242194 -253.036221643298</t>
  </si>
  <si>
    <t>-690.310023033936 46.6143699511413 -102.690588443736</t>
  </si>
  <si>
    <t>-695.353440419522 64.4345828033852 300.436777119043</t>
  </si>
  <si>
    <t>-724.284395792136 86.6962431811905 746.863599427992</t>
  </si>
  <si>
    <t>-580.426972370982 108.603143693813 809.413129718957</t>
  </si>
  <si>
    <t>-602.487637112383 -133.63853688009 307.584810901231</t>
  </si>
  <si>
    <t>-622.613392086278 -128.694851125765 754.983248120059</t>
  </si>
  <si>
    <t>-504.968416242725 -206.148236780959 827.425894898863</t>
  </si>
  <si>
    <t>9763-20170724T105026.608349700.bin</t>
  </si>
  <si>
    <t>-715.209337923122 88.9676937803715 -542.820649956615</t>
  </si>
  <si>
    <t>-620.869619547834 135.168200496071 -267.944705294564</t>
  </si>
  <si>
    <t>-383.088199581555 170.943771830491 -252.748664763635</t>
  </si>
  <si>
    <t>-689.972487524727 46.496089656986 -102.753988085249</t>
  </si>
  <si>
    <t>-695.19032792155 64.3688011088836 300.3688437847</t>
  </si>
  <si>
    <t>-724.283645608598 86.6676720223227 746.77930134003</t>
  </si>
  <si>
    <t>-580.45787328443 108.791566853008 809.324972468701</t>
  </si>
  <si>
    <t>-602.417843934008 -133.697025521436 307.591741766656</t>
  </si>
  <si>
    <t>-622.588908846002 -128.624478981659 754.980705220906</t>
  </si>
  <si>
    <t>-505.038812572763 -206.222641721346 827.422097608065</t>
  </si>
  <si>
    <t>9763-20170724T105026.648460600.bin</t>
  </si>
  <si>
    <t>-715.239407990847 88.9887886567933 -542.810706257133</t>
  </si>
  <si>
    <t>-620.86704687627 135.182783580891 -267.945029014208</t>
  </si>
  <si>
    <t>-383.088038112416 170.949616532673 -252.688211233008</t>
  </si>
  <si>
    <t>-689.869290252642 46.5152762905927 -102.781215771495</t>
  </si>
  <si>
    <t>-695.126711797363 64.350759630006 300.342808351845</t>
  </si>
  <si>
    <t>-724.304770885572 86.6911171656604 746.747364062391</t>
  </si>
  <si>
    <t>-580.453293628884 108.628030264254 809.299838253102</t>
  </si>
  <si>
    <t>-602.35181000886 -133.811899251934 307.583319474222</t>
  </si>
  <si>
    <t>-622.622067898551 -128.733234170675 754.979555224982</t>
  </si>
  <si>
    <t>-504.984936122668 -206.205808276438 827.414443391429</t>
  </si>
  <si>
    <t>9763-20170724T105026.710628500.bin</t>
  </si>
  <si>
    <t>-715.487712902909 88.8520026125548 -542.809686922971</t>
  </si>
  <si>
    <t>-621.184834583524 134.856198088468 -267.888320254296</t>
  </si>
  <si>
    <t>-383.363173587941 170.327342297055 -252.606469810023</t>
  </si>
  <si>
    <t>-689.591913018815 46.3029597271429 -102.78939033875</t>
  </si>
  <si>
    <t>-694.896851598322 64.1729784179645 300.332396534496</t>
  </si>
  <si>
    <t>-724.273769249047 86.5662632079154 746.708199516326</t>
  </si>
  <si>
    <t>-580.471872274136 108.849973351623 809.252124548239</t>
  </si>
  <si>
    <t>-602.147197618927 -133.992185126964 307.585763685272</t>
  </si>
  <si>
    <t>-622.561220065367 -128.576187217536 754.968127581289</t>
  </si>
  <si>
    <t>-504.840057834383 -205.927296882285 827.396234214093</t>
  </si>
  <si>
    <t>9763-20170724T105026.741227200.bin</t>
  </si>
  <si>
    <t>-715.723921828732 88.7134077066405 -542.812344985546</t>
  </si>
  <si>
    <t>-621.517463114562 134.707151423979 -267.856197830775</t>
  </si>
  <si>
    <t>-383.656189187363 169.836110423823 -252.401333869531</t>
  </si>
  <si>
    <t>-689.520447755641 46.1705249260065 -102.787432674924</t>
  </si>
  <si>
    <t>-694.741403733093 64.0575222204877 300.33473167814</t>
  </si>
  <si>
    <t>-724.279030641961 86.5337239439743 746.693118531596</t>
  </si>
  <si>
    <t>-580.475549470885 108.818520240039 809.233292439461</t>
  </si>
  <si>
    <t>-602.013677725921 -134.158249599569 307.573606049847</t>
  </si>
  <si>
    <t>-622.592617222228 -128.691056604304 754.960933314505</t>
  </si>
  <si>
    <t>-504.723966019666 -205.821975831556 827.383789590375</t>
  </si>
  <si>
    <t>9763-20170724T105026.775530100.bin</t>
  </si>
  <si>
    <t>-716.081178277747 88.8189928770635 -542.76468514829</t>
  </si>
  <si>
    <t>-621.903516851327 134.783031625057 -267.793611015867</t>
  </si>
  <si>
    <t>-384.023693154288 169.759733917132 -252.278864068459</t>
  </si>
  <si>
    <t>-689.473368490457 46.094692514723 -102.802071515501</t>
  </si>
  <si>
    <t>-694.584262063889 64.0052539311514 300.320497887834</t>
  </si>
  <si>
    <t>-724.267830622662 86.4719733062705 746.671295131885</t>
  </si>
  <si>
    <t>-580.489959898728 108.923523846339 809.210236537276</t>
  </si>
  <si>
    <t>-601.890127950673 -134.067821018232 307.568914070533</t>
  </si>
  <si>
    <t>-622.500253943381 -128.427915239786 754.946150442495</t>
  </si>
  <si>
    <t>-505.066202839547 -206.192086707556 827.398078725507</t>
  </si>
  <si>
    <t>9763-20170724T105026.846367800.bin</t>
  </si>
  <si>
    <t>-717.075989909087 89.2678369641612 -542.497618550412</t>
  </si>
  <si>
    <t>-622.72452814119 134.846226057415 -267.521858881055</t>
  </si>
  <si>
    <t>-384.859525621657 169.883116537536 -251.918015857295</t>
  </si>
  <si>
    <t>-689.461339000942 45.9335032466424 -102.81303533731</t>
  </si>
  <si>
    <t>-694.40788617818 63.9217688139672 300.30800352361</t>
  </si>
  <si>
    <t>-724.312426399216 86.5180566178067 746.636013343546</t>
  </si>
  <si>
    <t>-580.498634765415 108.715852557152 809.183116821089</t>
  </si>
  <si>
    <t>-602.10574210933 -134.322103543969 307.567383116535</t>
  </si>
  <si>
    <t>-622.612703516746 -128.764982161991 754.966318758985</t>
  </si>
  <si>
    <t>-504.642699140529 -205.753911497121 827.375439617017</t>
  </si>
  <si>
    <t>9763-20170724T105026.911540600.bin</t>
  </si>
  <si>
    <t>-717.35304595059 90.1043465440489 -542.216589962506</t>
  </si>
  <si>
    <t>-622.889605402979 135.394242564065 -267.231713480062</t>
  </si>
  <si>
    <t>-385.032536132139 170.496814431524 -251.655709988013</t>
  </si>
  <si>
    <t>-689.484177028915 45.8839913568836 -102.787142208931</t>
  </si>
  <si>
    <t>-694.3902341102 63.9283948982463 300.331905553355</t>
  </si>
  <si>
    <t>-724.314168179511 86.4739500232065 746.636898946328</t>
  </si>
  <si>
    <t>-580.498723217192 108.665411463851 809.182864116411</t>
  </si>
  <si>
    <t>-602.365217590403 -134.255985205994 307.551193684424</t>
  </si>
  <si>
    <t>-622.58465674659 -128.648912636463 754.964880118332</t>
  </si>
  <si>
    <t>-504.841371163877 -205.982221986717 827.37603688272</t>
  </si>
  <si>
    <t>9763-20170724T105026.944163700.bin</t>
  </si>
  <si>
    <t>-717.37977730125 90.3989528060256 -542.069266174978</t>
  </si>
  <si>
    <t>-622.910989578075 135.47287511315 -267.050713750012</t>
  </si>
  <si>
    <t>-385.047884324094 170.558801179981 -251.526075258529</t>
  </si>
  <si>
    <t>-689.586147135749 45.9198772046209 -102.765517093658</t>
  </si>
  <si>
    <t>-694.521623482382 63.9463855569118 300.354018062484</t>
  </si>
  <si>
    <t>-724.390407500455 86.6093227461795 746.652653374618</t>
  </si>
  <si>
    <t>-580.537276267946 108.560549748599 809.196253564837</t>
  </si>
  <si>
    <t>-602.505409139123 -134.417506784769 307.556431078703</t>
  </si>
  <si>
    <t>-622.654863027346 -128.849366714795 754.974838448506</t>
  </si>
  <si>
    <t>-504.610478068475 -205.748925123915 827.357875092534</t>
  </si>
  <si>
    <t>9763-20170724T105027.011342900.bin</t>
  </si>
  <si>
    <t>-717.40485654841 90.5665855360405 -541.799773781976</t>
  </si>
  <si>
    <t>-622.703365849847 134.882676029088 -266.738107678532</t>
  </si>
  <si>
    <t>-384.832486149731 169.92798667174 -251.242317173811</t>
  </si>
  <si>
    <t>-689.632233534765 45.6792527112423 -102.722844371982</t>
  </si>
  <si>
    <t>-694.549338019384 63.8268725375606 300.391564962935</t>
  </si>
  <si>
    <t>-724.36885238959 86.5161484593689 746.68112335741</t>
  </si>
  <si>
    <t>-580.547584904128 108.695352412758 809.217833629588</t>
  </si>
  <si>
    <t>-602.570077596469 -134.198604414386 307.524084477486</t>
  </si>
  <si>
    <t>-622.482317082241 -128.352903397056 754.954352785607</t>
  </si>
  <si>
    <t>-504.986068861709 -206.054558640386 827.372370387529</t>
  </si>
  <si>
    <t>9763-20170724T105027.043439900.bin</t>
  </si>
  <si>
    <t>-717.214335148098 90.5069255978683 -541.708084982316</t>
  </si>
  <si>
    <t>-622.499573885265 134.534915731443 -266.604783427174</t>
  </si>
  <si>
    <t>-384.632921502861 169.568984664377 -251.016934905343</t>
  </si>
  <si>
    <t>-689.687328846629 45.5406649278859 -102.697742623828</t>
  </si>
  <si>
    <t>-694.643717438561 63.7634270819708 300.412661751563</t>
  </si>
  <si>
    <t>-724.385371213328 86.5289798007395 746.703211934229</t>
  </si>
  <si>
    <t>-580.553427964425 108.626954443391 809.243865051983</t>
  </si>
  <si>
    <t>-602.582445936757 -134.261465454039 307.509556778193</t>
  </si>
  <si>
    <t>-622.527028546402 -128.499526496092 754.957608336773</t>
  </si>
  <si>
    <t>-504.918944760312 -206.040732342403 827.366222393246</t>
  </si>
  <si>
    <t>9763-20170724T105027.123660000.bin</t>
  </si>
  <si>
    <t>-717.062943853223 90.6256412079993 -541.491826290552</t>
  </si>
  <si>
    <t>-622.413477142512 134.111546481881 -266.279785469992</t>
  </si>
  <si>
    <t>-384.553191152406 169.119839843728 -250.539091890336</t>
  </si>
  <si>
    <t>-689.971791803571 45.4830405809087 -102.651024599814</t>
  </si>
  <si>
    <t>-694.696700244153 63.7142783614963 300.461775227801</t>
  </si>
  <si>
    <t>-724.403874155259 86.5163611691121 746.720966430895</t>
  </si>
  <si>
    <t>-580.539118052607 108.345852290072 809.28053782485</t>
  </si>
  <si>
    <t>-602.566276206676 -134.390492097198 307.518128469591</t>
  </si>
  <si>
    <t>-622.565828034859 -128.670911795261 754.948035698339</t>
  </si>
  <si>
    <t>-504.735269070327 -205.878321868129 827.351482989215</t>
  </si>
  <si>
    <t>9763-20170724T105027.144731700.bin</t>
  </si>
  <si>
    <t>-717.145886599835 90.6962172879669 -541.385697367644</t>
  </si>
  <si>
    <t>-622.483383413008 133.870194238594 -266.129109780571</t>
  </si>
  <si>
    <t>-384.619104861711 168.881808659375 -250.457302596605</t>
  </si>
  <si>
    <t>-690.108642786872 45.4773699442549 -102.647631518872</t>
  </si>
  <si>
    <t>-694.686305780856 63.6606647392728 300.469135357148</t>
  </si>
  <si>
    <t>-724.420077490769 86.5260080157473 746.740029013731</t>
  </si>
  <si>
    <t>-580.581020479954 108.508222218928 809.305418225394</t>
  </si>
  <si>
    <t>-602.625146206878 -134.391847512198 307.512704480761</t>
  </si>
  <si>
    <t>-622.595430241462 -128.778756408999 754.943944294235</t>
  </si>
  <si>
    <t>-504.777380869373 -205.999970493783 827.353049115877</t>
  </si>
  <si>
    <t>9763-20170724T105027.213912400.bin</t>
  </si>
  <si>
    <t>-717.191769837692 90.9168734660109 -541.204131979637</t>
  </si>
  <si>
    <t>-622.300672120319 133.480214311994 -265.930972765948</t>
  </si>
  <si>
    <t>-384.409115055182 168.493950796332 -250.682795193934</t>
  </si>
  <si>
    <t>-690.141247363877 45.3603727220684 -102.621093649923</t>
  </si>
  <si>
    <t>-694.649852264721 63.6510008737357 300.491556279708</t>
  </si>
  <si>
    <t>-724.391759702615 86.4130054521995 746.781591038132</t>
  </si>
  <si>
    <t>-580.593429650064 108.654034739232 809.348917702895</t>
  </si>
  <si>
    <t>-602.692947376202 -134.378770400277 307.508523141464</t>
  </si>
  <si>
    <t>-622.533764945374 -128.64096692673 754.927078235445</t>
  </si>
  <si>
    <t>-504.713437871371 -205.84278464975 827.353336683187</t>
  </si>
  <si>
    <t>9763-20170724T105027.243994500.bin</t>
  </si>
  <si>
    <t>-717.223831313762 91.1040196609199 -541.131217099404</t>
  </si>
  <si>
    <t>-622.154028351581 133.534969324996 -265.899435213087</t>
  </si>
  <si>
    <t>-384.242390257862 168.482525118035 -250.812966827846</t>
  </si>
  <si>
    <t>-690.187827701871 45.4119995188394 -102.610035490041</t>
  </si>
  <si>
    <t>-694.639973368779 63.7207593743856 300.502398239927</t>
  </si>
  <si>
    <t>-724.413651036924 86.436180013098 746.798742869267</t>
  </si>
  <si>
    <t>-580.591499604779 108.519582521494 809.366882094427</t>
  </si>
  <si>
    <t>-602.738137033497 -134.333984487847 307.508153589076</t>
  </si>
  <si>
    <t>-622.480165998647 -128.483979568442 754.926993280834</t>
  </si>
  <si>
    <t>-504.821642375143 -205.921822306716 827.36406225521</t>
  </si>
  <si>
    <t>9763-20170724T105027.309171200.bin</t>
  </si>
  <si>
    <t>-717.279745645669 91.2337479070018 -540.910427100954</t>
  </si>
  <si>
    <t>-621.981652305587 133.189080297795 -265.684663690894</t>
  </si>
  <si>
    <t>-384.050841566984 168.137224621107 -250.903721604293</t>
  </si>
  <si>
    <t>-690.287144842927 45.2890113685523 -102.585357698059</t>
  </si>
  <si>
    <t>-694.543833016514 63.6046945195531 300.528874292984</t>
  </si>
  <si>
    <t>-724.381623609721 86.3003676946403 746.836730673176</t>
  </si>
  <si>
    <t>-580.606334714414 108.735942510093 809.387623962127</t>
  </si>
  <si>
    <t>-602.986842497427 -134.372210909909 307.49914453922</t>
  </si>
  <si>
    <t>-622.473578261259 -128.450581639906 754.942434591959</t>
  </si>
  <si>
    <t>-504.711961825066 -205.752112672938 827.357677022343</t>
  </si>
  <si>
    <t>9763-20170724T105027.341259800.bin</t>
  </si>
  <si>
    <t>-717.195003049913 91.4322310950122 -540.806804413005</t>
  </si>
  <si>
    <t>-621.805221998559 133.151167924834 -265.576885506571</t>
  </si>
  <si>
    <t>-383.865499377237 168.110258025004 -250.969652736039</t>
  </si>
  <si>
    <t>-690.445382178206 45.2943482278611 -102.567985024154</t>
  </si>
  <si>
    <t>-694.621420258323 63.650259228923 300.545318059301</t>
  </si>
  <si>
    <t>-724.429378492804 86.3682773481521 746.85529778622</t>
  </si>
  <si>
    <t>-580.606830941524 108.495864753967 809.407327691085</t>
  </si>
  <si>
    <t>-603.090795864889 -134.256242897075 307.48943831287</t>
  </si>
  <si>
    <t>-622.424022245237 -128.299780056329 754.939228479654</t>
  </si>
  <si>
    <t>-504.90857079857 -205.960289425506 827.370295350392</t>
  </si>
  <si>
    <t>9763-20170724T105027.378364300.bin</t>
  </si>
  <si>
    <t>-717.275039149119 91.5885063846733 -540.693461213139</t>
  </si>
  <si>
    <t>-621.731105379277 133.191420846161 -265.499329698113</t>
  </si>
  <si>
    <t>-383.799646427332 168.280330667565 -251.067985881405</t>
  </si>
  <si>
    <t>-690.624112989892 45.2263150534459 -102.5443786076</t>
  </si>
  <si>
    <t>-694.71125282958 63.6386642052457 300.567250537772</t>
  </si>
  <si>
    <t>-724.472365471584 86.4320527570519 746.874822490106</t>
  </si>
  <si>
    <t>-580.647389196479 108.546360231066 809.42591000088</t>
  </si>
  <si>
    <t>-603.227916707439 -134.286816485414 307.47909247319</t>
  </si>
  <si>
    <t>-622.487981192106 -128.492111332251 754.946097504108</t>
  </si>
  <si>
    <t>-504.883221335058 -206.023836950633 827.370193462192</t>
  </si>
  <si>
    <t>9763-20170724T105027.443041300.bin</t>
  </si>
  <si>
    <t>-718.115893752784 91.6284711889923 -540.393202218817</t>
  </si>
  <si>
    <t>-621.910363554562 133.158047907895 -265.418698208253</t>
  </si>
  <si>
    <t>-384.005684329168 168.552087284366 -251.294066634768</t>
  </si>
  <si>
    <t>-691.06105443139 45.034863915439 -102.507392773838</t>
  </si>
  <si>
    <t>-694.8922805635 63.5430773756107 300.602361801995</t>
  </si>
  <si>
    <t>-724.498445589528 86.4272756837095 746.89560557913</t>
  </si>
  <si>
    <t>-580.663816507061 108.486290922972 809.444013440443</t>
  </si>
  <si>
    <t>-603.533723338467 -134.247348537688 307.453809713386</t>
  </si>
  <si>
    <t>-622.427820392395 -128.304634353334 754.931927377547</t>
  </si>
  <si>
    <t>-505.133838552727 -206.286785300282 827.376307392969</t>
  </si>
  <si>
    <t>9763-20170724T105027.514501700.bin</t>
  </si>
  <si>
    <t>-719.109571470344 91.2828215452726 -540.158951252458</t>
  </si>
  <si>
    <t>-622.547303653948 132.757712405638 -265.301142057646</t>
  </si>
  <si>
    <t>-384.603699962606 168.113119135924 -251.747513505642</t>
  </si>
  <si>
    <t>-691.517771909491 44.6901626335004 -102.408183053966</t>
  </si>
  <si>
    <t>-695.108265801901 63.3439257439068 300.697059603085</t>
  </si>
  <si>
    <t>-724.492078709087 86.3492510106896 746.99881276574</t>
  </si>
  <si>
    <t>-580.651895490707 108.405049105083 809.53550169744</t>
  </si>
  <si>
    <t>-603.974652350874 -134.381469804381 307.472552153006</t>
  </si>
  <si>
    <t>-622.501616755811 -128.482436710802 754.953416656552</t>
  </si>
  <si>
    <t>-504.900381536415 -206.033361647633 827.362929190187</t>
  </si>
  <si>
    <t>9763-20170724T105027.544590500.bin</t>
  </si>
  <si>
    <t>-719.474815213026 91.1079671543305 -540.056393337695</t>
  </si>
  <si>
    <t>-622.851651199279 132.538033130312 -265.213424203632</t>
  </si>
  <si>
    <t>-384.88609546888 167.835943041768 -251.894968722843</t>
  </si>
  <si>
    <t>-691.694353316673 44.4632131864471 -102.362872706267</t>
  </si>
  <si>
    <t>-695.270606478298 63.2226780751448 300.737520303884</t>
  </si>
  <si>
    <t>-724.482062036567 86.3002981186562 747.044261565817</t>
  </si>
  <si>
    <t>-580.645296452469 108.399918156777 809.573283982208</t>
  </si>
  <si>
    <t>-604.252274092937 -134.492442017213 307.48819982233</t>
  </si>
  <si>
    <t>-622.548296479067 -128.589840641269 754.973988549807</t>
  </si>
  <si>
    <t>-504.796888916699 -205.930694681505 827.363940808491</t>
  </si>
  <si>
    <t>9763-20170724T105027.609764100.bin</t>
  </si>
  <si>
    <t>-720.071385554451 90.8791501850906 -539.839725699178</t>
  </si>
  <si>
    <t>-623.43731317834 131.704857959975 -264.910052766974</t>
  </si>
  <si>
    <t>-385.389366476437 166.626204552419 -252.082682987532</t>
  </si>
  <si>
    <t>-692.234254905605 44.1751140165131 -102.302824435691</t>
  </si>
  <si>
    <t>-695.650702588131 63.1268354485758 300.790040244404</t>
  </si>
  <si>
    <t>-724.554539378254 86.3843995905609 747.131795077081</t>
  </si>
  <si>
    <t>-580.685466944775 108.322698810011 809.643379100273</t>
  </si>
  <si>
    <t>-604.754465912205 -134.576090257971 307.51176057547</t>
  </si>
  <si>
    <t>-622.560479554922 -128.548099212381 755.005322720395</t>
  </si>
  <si>
    <t>-504.841514922321 -205.956817774364 827.375471369211</t>
  </si>
  <si>
    <t>9763-20170724T105027.645471100.bin</t>
  </si>
  <si>
    <t>-719.978514416387 90.8402467545723 -539.7692011577</t>
  </si>
  <si>
    <t>-623.729511367503 131.362821123577 -264.65971510531</t>
  </si>
  <si>
    <t>-385.578683489435 165.92132256736 -252.795734626627</t>
  </si>
  <si>
    <t>-692.498502123945 44.020476063841 -102.264463338555</t>
  </si>
  <si>
    <t>-695.847261449156 63.0585741538277 300.824843856376</t>
  </si>
  <si>
    <t>-724.554088052723 86.3401294113237 747.17427181597</t>
  </si>
  <si>
    <t>-580.689065350709 108.350072742499 809.670157431991</t>
  </si>
  <si>
    <t>-605.051349272527 -134.539572280973 307.509635721696</t>
  </si>
  <si>
    <t>-622.531536620363 -128.422999959021 755.018416250188</t>
  </si>
  <si>
    <t>-504.875863392317 -205.935184463878 827.380513358587</t>
  </si>
  <si>
    <t>9763-20170724T105027.707621700.bin</t>
  </si>
  <si>
    <t>-720.047547469765 90.837865186096 -539.61938035462</t>
  </si>
  <si>
    <t>-624.621326389648 130.75558831069 -264.135145384727</t>
  </si>
  <si>
    <t>-386.243162794134 164.530131945777 -254.862062581718</t>
  </si>
  <si>
    <t>-693.130150811991 43.8447413037563 -102.2201412636</t>
  </si>
  <si>
    <t>-696.186912302394 63.0266773561373 300.864737169004</t>
  </si>
  <si>
    <t>-724.635973751864 86.4720598690162 747.231039719869</t>
  </si>
  <si>
    <t>-580.722954818157 108.189143675542 809.718669377117</t>
  </si>
  <si>
    <t>-605.731042386485 -134.560006723481 307.536511629131</t>
  </si>
  <si>
    <t>-622.556295104629 -128.476865176801 755.044123851261</t>
  </si>
  <si>
    <t>-504.867589849847 -205.934682125999 827.410690469238</t>
  </si>
  <si>
    <t>9763-20170724T105027.744723700.bin</t>
  </si>
  <si>
    <t>-720.247695937315 90.8166025550793 -539.53183894405</t>
  </si>
  <si>
    <t>-625.189492467927 130.705745803287 -263.916264191278</t>
  </si>
  <si>
    <t>-386.760775990103 164.327807507661 -255.421229929624</t>
  </si>
  <si>
    <t>-693.433632836061 43.7086396803466 -102.204137228549</t>
  </si>
  <si>
    <t>-696.348089792494 62.9729093637313 300.877790763431</t>
  </si>
  <si>
    <t>-724.601366682577 86.3833393369498 747.250598408469</t>
  </si>
  <si>
    <t>-580.69284008765 108.134092819025 809.736721183549</t>
  </si>
  <si>
    <t>-606.028122831036 -134.607415111616 307.525690547747</t>
  </si>
  <si>
    <t>-622.597794288736 -128.589149284779 755.058005531662</t>
  </si>
  <si>
    <t>-504.797561122025 -205.879664619624 827.422108129247</t>
  </si>
  <si>
    <t>9763-20170724T105027.810907200.bin</t>
  </si>
  <si>
    <t>-720.504271256478 90.7073761816625 -539.31201041459</t>
  </si>
  <si>
    <t>-626.140902684047 130.80824894671 -263.488310939515</t>
  </si>
  <si>
    <t>-387.648818559613 164.228262180387 -256.03667353442</t>
  </si>
  <si>
    <t>-693.860005911415 43.4306888319566 -102.176527516366</t>
  </si>
  <si>
    <t>-696.657315217134 62.9348598726294 300.894717437779</t>
  </si>
  <si>
    <t>-724.637338854422 86.4510299281053 747.277342378579</t>
  </si>
  <si>
    <t>-580.718245066272 108.132851237375 809.763478612277</t>
  </si>
  <si>
    <t>-606.497599817428 -134.676244403481 307.569128103084</t>
  </si>
  <si>
    <t>-622.672479796162 -128.779473632661 755.102549628221</t>
  </si>
  <si>
    <t>-504.747565890032 -205.899116014761 827.446014887502</t>
  </si>
  <si>
    <t>9763-20170724T105027.843492200.bin</t>
  </si>
  <si>
    <t>-720.675858264922 90.5353647526224 -539.250377292608</t>
  </si>
  <si>
    <t>-626.82547713 130.566287292454 -263.241489654807</t>
  </si>
  <si>
    <t>-388.311539513635 163.951950184 -256.361218577637</t>
  </si>
  <si>
    <t>-693.983921190977 43.2295353298434 -102.173884790982</t>
  </si>
  <si>
    <t>-696.701328621194 62.8133393494595 300.894029260111</t>
  </si>
  <si>
    <t>-724.587179097932 86.3321426860789 747.287838830892</t>
  </si>
  <si>
    <t>-580.69107500245 108.190801108801 809.765264879888</t>
  </si>
  <si>
    <t>-606.594562602426 -134.632970979586 307.574453261838</t>
  </si>
  <si>
    <t>-622.632440876811 -128.639263757767 755.10773895538</t>
  </si>
  <si>
    <t>-504.85339116876 -205.971883587935 827.461290322007</t>
  </si>
  <si>
    <t>9763-20170724T105027.912182400.bin</t>
  </si>
  <si>
    <t>-721.633538445637 90.0748918356007 -539.012137456791</t>
  </si>
  <si>
    <t>-628.808615900462 129.689374815109 -262.59669494463</t>
  </si>
  <si>
    <t>-390.275440961639 163.188514226407 -257.064347752474</t>
  </si>
  <si>
    <t>-694.250158910056 42.7902826585607 -102.177806165134</t>
  </si>
  <si>
    <t>-696.704016033215 62.5259034604449 300.884462381065</t>
  </si>
  <si>
    <t>-724.539187354242 86.1983092911021 747.304694057409</t>
  </si>
  <si>
    <t>-580.660292888915 108.203434634975 809.770247648095</t>
  </si>
  <si>
    <t>-606.710752163099 -134.814307387699 307.598151589327</t>
  </si>
  <si>
    <t>-622.64563673485 -128.646204518624 755.123764316693</t>
  </si>
  <si>
    <t>-504.755422666007 -205.817922556171 827.468512544284</t>
  </si>
  <si>
    <t>9763-20170724T105027.941792400.bin</t>
  </si>
  <si>
    <t>-722.26164563312 89.8758377578054 -538.853985739144</t>
  </si>
  <si>
    <t>-629.400515099133 129.505793341076 -262.453015165978</t>
  </si>
  <si>
    <t>-390.871195061259 163.091698262836 -257.295181765213</t>
  </si>
  <si>
    <t>-694.388200042884 42.578635083793 -102.184249247237</t>
  </si>
  <si>
    <t>-696.740499260876 62.4276261325724 300.872985898223</t>
  </si>
  <si>
    <t>-724.544007481736 86.1856944716908 747.30148973278</t>
  </si>
  <si>
    <t>-580.661641837882 108.190008750755 809.75927687312</t>
  </si>
  <si>
    <t>-606.797877543546 -134.868461800469 307.613269936846</t>
  </si>
  <si>
    <t>-622.678476436097 -128.720988549043 755.136030864884</t>
  </si>
  <si>
    <t>-504.801573724607 -205.916264605546 827.477073353139</t>
  </si>
  <si>
    <t>9763-20170724T105028.016844500.bin</t>
  </si>
  <si>
    <t>-723.588976541831 89.1927125411357 -538.65848453588</t>
  </si>
  <si>
    <t>-630.468966760767 128.795809837756 -262.340679044723</t>
  </si>
  <si>
    <t>-391.968165845105 162.650049335988 -257.639981317696</t>
  </si>
  <si>
    <t>-694.828189187491 42.151776566091 -102.198041072751</t>
  </si>
  <si>
    <t>-696.803697497883 62.1900075416511 300.851854789051</t>
  </si>
  <si>
    <t>-724.49915372099 86.0412699745943 747.292574028682</t>
  </si>
  <si>
    <t>-580.619250835068 108.155369878586 809.717386005729</t>
  </si>
  <si>
    <t>-606.963129026364 -134.901189503076 307.635543467755</t>
  </si>
  <si>
    <t>-622.645573027859 -128.566288502161 755.159778959449</t>
  </si>
  <si>
    <t>-504.827577038375 -205.859220182696 827.492465307501</t>
  </si>
  <si>
    <t>9763-20170724T105028.050958100.bin</t>
  </si>
  <si>
    <t>-724.17199154038 88.7593094619874 -538.62569950336</t>
  </si>
  <si>
    <t>-631.009696602091 128.403370308909 -262.328210020301</t>
  </si>
  <si>
    <t>-392.50566659839 162.24771737529 -257.724028926251</t>
  </si>
  <si>
    <t>-695.039658903448 41.8486276306498 -102.202922428685</t>
  </si>
  <si>
    <t>-696.889883250477 62.0251793978143 300.840685158962</t>
  </si>
  <si>
    <t>-724.510779461375 86.0436307241869 747.282544867582</t>
  </si>
  <si>
    <t>-580.62672515161 108.166410234165 809.694690143488</t>
  </si>
  <si>
    <t>-607.06138789767 -134.993906024872 307.63610868256</t>
  </si>
  <si>
    <t>-622.697288986494 -128.697024981989 755.166144510946</t>
  </si>
  <si>
    <t>-504.83416294938 -205.923120207325 827.496697090263</t>
  </si>
  <si>
    <t>9763-20170724T105028.114130200.bin</t>
  </si>
  <si>
    <t>-725.325097482062 87.8103065414455 -538.551976649935</t>
  </si>
  <si>
    <t>-632.288015616547 127.541781485627 -262.22487730305</t>
  </si>
  <si>
    <t>-393.794776740597 161.478688880187 -257.733519234416</t>
  </si>
  <si>
    <t>-695.507687573278 41.1899268264158 -102.216550303288</t>
  </si>
  <si>
    <t>-697.068967757521 61.648827104699 300.814100086936</t>
  </si>
  <si>
    <t>-724.54961017879 86.0814828688092 747.250133831965</t>
  </si>
  <si>
    <t>-580.646326164141 108.136582565657 809.641612322864</t>
  </si>
  <si>
    <t>-607.518579133908 -135.327008357208 307.639139590991</t>
  </si>
  <si>
    <t>-622.795260582667 -128.937985113288 755.177137877203</t>
  </si>
  <si>
    <t>-504.6050832086 -205.677097940348 827.492600385309</t>
  </si>
  <si>
    <t>9763-20170724T105028.144216900.bin</t>
  </si>
  <si>
    <t>-726.045192365242 87.4990950472411 -538.517506853736</t>
  </si>
  <si>
    <t>-633.028636575016 127.253354627248 -262.186703244514</t>
  </si>
  <si>
    <t>-394.539890381197 161.231748796417 -257.768532220236</t>
  </si>
  <si>
    <t>-695.812512331901 40.927818321152 -102.230351066064</t>
  </si>
  <si>
    <t>-697.238025107912 61.5096386944479 300.794448331492</t>
  </si>
  <si>
    <t>-724.523531267645 86.0138116228477 747.23244049223</t>
  </si>
  <si>
    <t>-580.627341364993 108.134243066933 809.617344914174</t>
  </si>
  <si>
    <t>-607.719649237545 -135.35805289299 307.619188221503</t>
  </si>
  <si>
    <t>-622.763313762308 -128.8214923437 755.169726112788</t>
  </si>
  <si>
    <t>-504.61287277677 -205.611926752368 827.495355577648</t>
  </si>
  <si>
    <t>9763-20170724T105028.209014500.bin</t>
  </si>
  <si>
    <t>-727.752325527225 86.47057003758 -538.551262547393</t>
  </si>
  <si>
    <t>-634.896551891219 126.518072853829 -262.208681779193</t>
  </si>
  <si>
    <t>-396.400856704959 160.430996245865 -257.670761740786</t>
  </si>
  <si>
    <t>-696.602576419928 40.3310730656158 -102.23436087749</t>
  </si>
  <si>
    <t>-697.566291117747 61.2359891841284 300.775272804131</t>
  </si>
  <si>
    <t>-724.543328711609 86.0626051078782 747.207627056741</t>
  </si>
  <si>
    <t>-580.645099819962 108.166533413469 809.593430106322</t>
  </si>
  <si>
    <t>-608.127889127939 -135.424047802974 307.588879738791</t>
  </si>
  <si>
    <t>-622.78631339238 -128.837242841889 755.164629587943</t>
  </si>
  <si>
    <t>-504.779088723661 -205.828728430855 827.510633250701</t>
  </si>
  <si>
    <t>9763-20170724T105028.250134300.bin</t>
  </si>
  <si>
    <t>-728.544748610546 85.6869994269998 -538.630657769616</t>
  </si>
  <si>
    <t>-635.846803078653 125.919106677369 -262.262021560131</t>
  </si>
  <si>
    <t>-397.328155656183 159.636911350523 -257.477977194259</t>
  </si>
  <si>
    <t>-696.96880360159 39.9355198832523 -102.232983915615</t>
  </si>
  <si>
    <t>-697.675619294472 61.0209351600231 300.767726307355</t>
  </si>
  <si>
    <t>-724.545446884198 86.0553387380946 747.199104324587</t>
  </si>
  <si>
    <t>-580.63662606263 108.091916833048 809.584524351163</t>
  </si>
  <si>
    <t>-608.385703203353 -135.498489415382 307.586326848949</t>
  </si>
  <si>
    <t>-622.810466181265 -128.871475380449 755.170379397934</t>
  </si>
  <si>
    <t>-504.743404589179 -205.775080191154 827.512070483285</t>
  </si>
  <si>
    <t>9763-20170724T105028.313307400.bin</t>
  </si>
  <si>
    <t>-729.971297946665 84.3127820023894 -538.71697254879</t>
  </si>
  <si>
    <t>-637.553886052599 124.850964414454 -262.299088203474</t>
  </si>
  <si>
    <t>-398.981341795053 158.100327990893 -256.959708208813</t>
  </si>
  <si>
    <t>-697.501554788771 39.1662936512348 -102.231327747474</t>
  </si>
  <si>
    <t>-697.794031726699 60.6669057018314 300.74794529276</t>
  </si>
  <si>
    <t>-724.520575740119 86.001585584198 747.161251341238</t>
  </si>
  <si>
    <t>-580.634849121561 108.178648806734 809.549938298246</t>
  </si>
  <si>
    <t>-608.718076524581 -135.658651635895 307.608081949229</t>
  </si>
  <si>
    <t>-622.820751903653 -128.851644299956 755.188665859531</t>
  </si>
  <si>
    <t>-504.663077043412 -205.624831476285 827.520664110238</t>
  </si>
  <si>
    <t>9763-20170724T105028.344427700.bin</t>
  </si>
  <si>
    <t>-730.618950216891 83.7962979947172 -538.740624776933</t>
  </si>
  <si>
    <t>-638.399770605401 124.393804091048 -262.265212752479</t>
  </si>
  <si>
    <t>-399.802891064853 157.441389675472 -256.763777008399</t>
  </si>
  <si>
    <t>-697.783519637297 38.8538119315938 -102.230707828173</t>
  </si>
  <si>
    <t>-697.860991425047 60.4965854555171 300.741125177364</t>
  </si>
  <si>
    <t>-724.453952913951 85.8575679494527 747.148533419605</t>
  </si>
  <si>
    <t>-580.610389772784 108.31056209767 809.535997204855</t>
  </si>
  <si>
    <t>-608.83967810916 -135.746933752614 307.613142178628</t>
  </si>
  <si>
    <t>-622.841144855165 -128.887050685089 755.1966725713</t>
  </si>
  <si>
    <t>-504.702764492615 -205.691476764989 827.527249736494</t>
  </si>
  <si>
    <t>9763-20170724T105028.376665000.bin</t>
  </si>
  <si>
    <t>-731.306267060535 83.4337693591508 -538.768970858907</t>
  </si>
  <si>
    <t>-639.229301725724 124.06686691723 -262.251460040694</t>
  </si>
  <si>
    <t>-400.611012089166 156.930819953243 -256.581589340486</t>
  </si>
  <si>
    <t>-698.135848075186 38.6909535125149 -102.236657836516</t>
  </si>
  <si>
    <t>-697.964535771705 60.4490843594717 300.72885860847</t>
  </si>
  <si>
    <t>-724.469355221026 85.8831590366685 747.134922952465</t>
  </si>
  <si>
    <t>-580.606637429937 108.207138644106 809.524550048997</t>
  </si>
  <si>
    <t>-608.98188568936 -135.781416821957 307.624695586364</t>
  </si>
  <si>
    <t>-622.848180801926 -128.880138340971 755.207929255196</t>
  </si>
  <si>
    <t>-504.665305376336 -205.627011002381 827.526894693301</t>
  </si>
  <si>
    <t>9763-20170724T105028.443858300.bin</t>
  </si>
  <si>
    <t>-732.802036682888 82.5703031734233 -538.895514220679</t>
  </si>
  <si>
    <t>-641.069150295343 123.433276971202 -262.297428253694</t>
  </si>
  <si>
    <t>-402.434380123076 156.109314645985 -256.247838931889</t>
  </si>
  <si>
    <t>-698.82142282395 38.4168100758895 -102.302044099641</t>
  </si>
  <si>
    <t>-698.221535284023 60.3588937736715 300.653108665281</t>
  </si>
  <si>
    <t>-724.477774326386 85.8910059767911 747.077974610853</t>
  </si>
  <si>
    <t>-580.635386435861 108.331309810655 809.472644769315</t>
  </si>
  <si>
    <t>-609.349751518152 -135.825953800037 307.62904575547</t>
  </si>
  <si>
    <t>-622.895811326582 -128.996673293931 755.227726376688</t>
  </si>
  <si>
    <t>-504.5391528685 -205.492359877385 827.528567339347</t>
  </si>
  <si>
    <t>9763-20170724T105028.509799900.bin</t>
  </si>
  <si>
    <t>-734.056233577681 81.4968361761032 -539.142055156117</t>
  </si>
  <si>
    <t>-643.033760386397 122.865808482343 -262.384636377684</t>
  </si>
  <si>
    <t>-404.336708161834 155.062053119256 -256.217624575094</t>
  </si>
  <si>
    <t>-699.396119687441 38.1073535754842 -102.358468887611</t>
  </si>
  <si>
    <t>-698.504436411776 60.2381577385847 300.585790524898</t>
  </si>
  <si>
    <t>-724.476377987552 85.8852457544256 747.021756197422</t>
  </si>
  <si>
    <t>-580.627293555953 108.255311589563 809.426074073516</t>
  </si>
  <si>
    <t>-609.595418225415 -135.817072363966 307.634602977239</t>
  </si>
  <si>
    <t>-622.886444346814 -128.935240290524 755.23745311186</t>
  </si>
  <si>
    <t>-504.541310481945 -205.448030289369 827.539219303925</t>
  </si>
  <si>
    <t>9763-20170724T105028.542414500.bin</t>
  </si>
  <si>
    <t>-734.558699243874 80.9564839479801 -539.300320822539</t>
  </si>
  <si>
    <t>-644.040180688839 122.625768106156 -262.422660851499</t>
  </si>
  <si>
    <t>-405.292301840681 154.445462905771 -256.270836159138</t>
  </si>
  <si>
    <t>-699.528397976293 37.8797919124966 -102.391054879515</t>
  </si>
  <si>
    <t>-698.60292964301 60.1563407098881 300.545106069317</t>
  </si>
  <si>
    <t>-724.45461647523 85.8288442402793 746.983358710326</t>
  </si>
  <si>
    <t>-580.624785009955 108.314338257629 809.390876901871</t>
  </si>
  <si>
    <t>-609.710175618173 -135.864051091539 307.653444029286</t>
  </si>
  <si>
    <t>-622.904003465106 -128.962882741555 755.248004343329</t>
  </si>
  <si>
    <t>-504.509768541809 -205.406685895055 827.542237542028</t>
  </si>
  <si>
    <t>9763-20170724T105028.612103000.bin</t>
  </si>
  <si>
    <t>-735.806523038482 79.8849276376566 -539.640110955942</t>
  </si>
  <si>
    <t>-646.905335383418 121.860614476069 -262.285172436559</t>
  </si>
  <si>
    <t>-408.034729808398 152.814148257107 -256.488777209891</t>
  </si>
  <si>
    <t>-699.962000672639 37.5252081639217 -102.452713275146</t>
  </si>
  <si>
    <t>-698.931384134989 59.9233043248041 300.476500842464</t>
  </si>
  <si>
    <t>-724.435118195918 85.7178092934812 746.936187174721</t>
  </si>
  <si>
    <t>-580.612180645788 108.290454665194 809.328103864794</t>
  </si>
  <si>
    <t>-609.9328774964 -136.001245220451 307.661642648702</t>
  </si>
  <si>
    <t>-622.906537293575 -128.949820691644 755.253951792967</t>
  </si>
  <si>
    <t>-504.462863626563 -205.316593459559 827.548624248579</t>
  </si>
  <si>
    <t>9763-20170724T105028.644720100.bin</t>
  </si>
  <si>
    <t>-736.417602541288 79.3694966069861 -539.784560006199</t>
  </si>
  <si>
    <t>-648.734988028325 121.19372346715 -262.018999831554</t>
  </si>
  <si>
    <t>-409.802663099551 151.7312824987 -256.573208072109</t>
  </si>
  <si>
    <t>-700.218663770416 37.3459347480014 -102.478160888415</t>
  </si>
  <si>
    <t>-699.144672004941 59.7814637787733 300.448868134551</t>
  </si>
  <si>
    <t>-724.449717967935 85.699273611762 746.918708105169</t>
  </si>
  <si>
    <t>-580.626786278902 108.304725829021 809.298755263183</t>
  </si>
  <si>
    <t>-610.129002732664 -136.055882540136 307.667263763944</t>
  </si>
  <si>
    <t>-622.937153159965 -129.025896368941 755.263125274153</t>
  </si>
  <si>
    <t>-504.546405420085 -205.470448538641 827.561941039401</t>
  </si>
  <si>
    <t>9763-20170724T105028.712353500.bin</t>
  </si>
  <si>
    <t>-737.633213969949 78.7855521194695 -539.95141967619</t>
  </si>
  <si>
    <t>-652.517432451319 120.178398504464 -261.32432624165</t>
  </si>
  <si>
    <t>-413.464823062871 149.892952545798 -256.657556771695</t>
  </si>
  <si>
    <t>-700.868809472014 37.0379415091577 -102.533878836315</t>
  </si>
  <si>
    <t>-699.973161959024 59.63511331579 300.384561797045</t>
  </si>
  <si>
    <t>-724.49164442164 85.7622629091543 746.85235976927</t>
  </si>
  <si>
    <t>-580.645067995906 108.192527676507 809.241017678665</t>
  </si>
  <si>
    <t>-610.470594173668 -136.070697618339 307.639424973898</t>
  </si>
  <si>
    <t>-622.872857140576 -128.806761600136 755.254788325287</t>
  </si>
  <si>
    <t>-504.686848131242 -205.544742008519 827.578226617338</t>
  </si>
  <si>
    <t>9763-20170724T105028.778450500.bin</t>
  </si>
  <si>
    <t>-738.876187991826 77.6487153329181 -539.930450843749</t>
  </si>
  <si>
    <t>-656.192971320473 118.597836155636 -260.50632757067</t>
  </si>
  <si>
    <t>-417.05018007161 147.689005670177 -256.588557525718</t>
  </si>
  <si>
    <t>-701.547155619282 36.1257198931439 -102.603795226678</t>
  </si>
  <si>
    <t>-700.330402691268 59.1841179698908 300.287583842846</t>
  </si>
  <si>
    <t>-724.438687951259 85.6912418325667 746.780637324622</t>
  </si>
  <si>
    <t>-580.651776540399 108.435976716185 809.193055282479</t>
  </si>
  <si>
    <t>-610.818182588747 -136.473460544169 307.621083124267</t>
  </si>
  <si>
    <t>-622.97026770183 -129.047169537741 755.2699944026</t>
  </si>
  <si>
    <t>-504.392321034987 -205.206676498551 827.563257893224</t>
  </si>
  <si>
    <t>9763-20170724T105028.811538700.bin</t>
  </si>
  <si>
    <t>-739.490861705013 77.0333284885091 -539.9226622417</t>
  </si>
  <si>
    <t>-657.94596672198 117.804343279186 -260.13808820463</t>
  </si>
  <si>
    <t>-418.761020674139 146.596922586439 -256.617455369241</t>
  </si>
  <si>
    <t>-701.859880734668 35.600310525296 -102.621094303114</t>
  </si>
  <si>
    <t>-700.480411702423 58.9222439180921 300.254622330084</t>
  </si>
  <si>
    <t>-724.404401738256 85.6018904949087 746.754473416391</t>
  </si>
  <si>
    <t>-580.647744196992 108.537555664257 809.166454654611</t>
  </si>
  <si>
    <t>-610.948336557565 -136.612396682698 307.622974797004</t>
  </si>
  <si>
    <t>-622.975624608454 -129.024279770219 755.279298016989</t>
  </si>
  <si>
    <t>-504.512561380486 -205.362619238168 827.571955473508</t>
  </si>
  <si>
    <t>9763-20170724T105028.843636400.bin</t>
  </si>
  <si>
    <t>-740.15713841142 76.4319738887743 -539.861730430943</t>
  </si>
  <si>
    <t>-659.683645493428 117.038403431793 -259.74332154678</t>
  </si>
  <si>
    <t>-420.465818383386 145.623468710212 -256.815504562168</t>
  </si>
  <si>
    <t>-702.137855599306 35.0403537655898 -102.620986902778</t>
  </si>
  <si>
    <t>-700.635876022652 58.6536221959236 300.237288809739</t>
  </si>
  <si>
    <t>-724.388289163118 85.5545441632344 746.725551845288</t>
  </si>
  <si>
    <t>-580.654832959301 108.630055161465 809.139496371313</t>
  </si>
  <si>
    <t>-610.974487988583 -136.747004618084 307.631023376082</t>
  </si>
  <si>
    <t>-622.939758920111 -128.887587574492 755.284146317314</t>
  </si>
  <si>
    <t>-504.622245841982 -205.450866279406 827.577195975038</t>
  </si>
  <si>
    <t>9763-20170724T105028.911582900.bin</t>
  </si>
  <si>
    <t>-741.787522627782 75.0342339332019 -539.690976731706</t>
  </si>
  <si>
    <t>-663.50468222189 115.146846985085 -258.881490572134</t>
  </si>
  <si>
    <t>-424.265908426212 143.661839100141 -257.284591689764</t>
  </si>
  <si>
    <t>-702.831525772864 33.8988382576435 -102.628444749529</t>
  </si>
  <si>
    <t>-701.114752987567 58.0255039913059 300.198612818617</t>
  </si>
  <si>
    <t>-724.383597023748 85.5504310407196 746.652271241204</t>
  </si>
  <si>
    <t>-580.665778216745 108.641129873512 809.096751517008</t>
  </si>
  <si>
    <t>-611.247794875724 -137.478690592078 307.664544523497</t>
  </si>
  <si>
    <t>-623.086507327339 -129.321457911802 755.313924272441</t>
  </si>
  <si>
    <t>-504.104926174992 -204.912292089791 827.540622514933</t>
  </si>
  <si>
    <t>9763-20170724T105028.945175700.bin</t>
  </si>
  <si>
    <t>-742.427372658044 74.4252366335459 -539.624061795627</t>
  </si>
  <si>
    <t>-665.069488925454 114.360894596549 -258.533084449765</t>
  </si>
  <si>
    <t>-425.825487423482 142.850295680425 -257.275651487057</t>
  </si>
  <si>
    <t>-703.098062544618 33.3672972403576 -102.633218331421</t>
  </si>
  <si>
    <t>-701.313786615466 57.7531905252481 300.178004595167</t>
  </si>
  <si>
    <t>-724.393049234385 85.5661273505098 746.622177050867</t>
  </si>
  <si>
    <t>-580.677139459808 108.635269355061 809.07894721963</t>
  </si>
  <si>
    <t>-611.412617374283 -137.482615676746 307.678158153841</t>
  </si>
  <si>
    <t>-622.966693770745 -128.916720903203 755.313060367709</t>
  </si>
  <si>
    <t>-504.504659289084 -205.293850949976 827.566594769376</t>
  </si>
  <si>
    <t>9763-20170724T105029.014571500.bin</t>
  </si>
  <si>
    <t>-743.371381042622 73.0141833658438 -539.539523515859</t>
  </si>
  <si>
    <t>-667.510018014221 112.904943934207 -258.034723562644</t>
  </si>
  <si>
    <t>-428.235301423681 141.141066020399 -256.929061370151</t>
  </si>
  <si>
    <t>-703.541664873967 32.1216721882568 -102.65194314308</t>
  </si>
  <si>
    <t>-701.613402917408 57.0252209813596 300.126888611827</t>
  </si>
  <si>
    <t>-724.381257228879 85.4470343108283 746.570767532786</t>
  </si>
  <si>
    <t>-580.688041941304 108.670505713596 809.022575829126</t>
  </si>
  <si>
    <t>-611.730929121867 -137.945704154287 307.710115897539</t>
  </si>
  <si>
    <t>-622.992649957629 -129.002070707371 755.332125377014</t>
  </si>
  <si>
    <t>-504.515573533087 -205.357439218047 827.583999659312</t>
  </si>
  <si>
    <t>9763-20170724T105029.046397000.bin</t>
  </si>
  <si>
    <t>-743.720801331722 72.3228622007443 -539.477081773068</t>
  </si>
  <si>
    <t>-668.600463463263 112.258098085704 -257.779841753957</t>
  </si>
  <si>
    <t>-429.283820707715 140.141273282027 -256.838692881542</t>
  </si>
  <si>
    <t>-703.729845730934 31.5412967864943 -102.646838581472</t>
  </si>
  <si>
    <t>-701.819071843601 56.6505964470525 300.11927309844</t>
  </si>
  <si>
    <t>-724.412684713232 85.4478717916832 746.549218818885</t>
  </si>
  <si>
    <t>-580.723895030697 108.717125373601 808.994004690971</t>
  </si>
  <si>
    <t>-611.864515879763 -138.279722436198 307.723854232088</t>
  </si>
  <si>
    <t>-623.010775503978 -129.057482899407 755.343878318819</t>
  </si>
  <si>
    <t>-504.232693005886 -204.965823996191 827.572458514307</t>
  </si>
  <si>
    <t>9763-20170724T105029.114577300.bin</t>
  </si>
  <si>
    <t>-744.128316485318 71.0096232464098 -539.383132470505</t>
  </si>
  <si>
    <t>-671.053798916995 110.960871146868 -257.150631083344</t>
  </si>
  <si>
    <t>-431.637317096963 137.98857715519 -256.866526942195</t>
  </si>
  <si>
    <t>-704.032846463058 30.3903563516396 -102.649878854694</t>
  </si>
  <si>
    <t>-702.370084982343 55.8573165597882 300.094847098226</t>
  </si>
  <si>
    <t>-724.44372279959 85.3555265946779 746.501661627587</t>
  </si>
  <si>
    <t>-580.755413649612 108.683647385236 808.925552680925</t>
  </si>
  <si>
    <t>-612.226840382359 -138.865685664225 307.759372085099</t>
  </si>
  <si>
    <t>-623.027884474749 -129.070566081282 755.371988482206</t>
  </si>
  <si>
    <t>-504.006295538171 -204.630266322359 827.565385873452</t>
  </si>
  <si>
    <t>9763-20170724T105029.143661900.bin</t>
  </si>
  <si>
    <t>-744.158676409273 70.3981882442099 -539.320349758006</t>
  </si>
  <si>
    <t>-672.289312412948 110.123747498463 -256.746748615244</t>
  </si>
  <si>
    <t>-432.865927160155 137.091183972173 -256.978729411791</t>
  </si>
  <si>
    <t>-704.14778374235 29.7687813284272 -102.661172842436</t>
  </si>
  <si>
    <t>-702.670847827165 55.4373135542996 300.071502299528</t>
  </si>
  <si>
    <t>-724.416789327437 85.2101455509437 746.473128654481</t>
  </si>
  <si>
    <t>-580.766226847873 108.814301773028 808.880267733595</t>
  </si>
  <si>
    <t>-612.365162619451 -139.082447025447 307.775361725795</t>
  </si>
  <si>
    <t>-623.018254775065 -129.020177839285 755.382701114921</t>
  </si>
  <si>
    <t>-504.124106103246 -204.777225858189 827.57928122167</t>
  </si>
  <si>
    <t>9763-20170724T105029.212455400.bin</t>
  </si>
  <si>
    <t>-744.539309284448 69.0577489665429 -539.224720870448</t>
  </si>
  <si>
    <t>-674.99055707765 108.154495886244 -255.983362002002</t>
  </si>
  <si>
    <t>-435.556267386005 135.006846592651 -257.023097594109</t>
  </si>
  <si>
    <t>-704.707273757511 28.6539495519673 -102.702683257736</t>
  </si>
  <si>
    <t>-703.271782073928 54.7680523765166 300.00144133555</t>
  </si>
  <si>
    <t>-724.477355412126 85.1953268790401 746.397006073319</t>
  </si>
  <si>
    <t>-580.793918839343 108.640735054326 808.788582847994</t>
  </si>
  <si>
    <t>-612.726646340162 -139.611011243454 307.786112361953</t>
  </si>
  <si>
    <t>-623.046555151287 -129.118677749255 755.397090904695</t>
  </si>
  <si>
    <t>-503.952968688652 -204.581405278534 827.573138909615</t>
  </si>
  <si>
    <t>9763-20170724T105029.246492500.bin</t>
  </si>
  <si>
    <t>-744.859905027684 68.3331264051797 -539.161129375445</t>
  </si>
  <si>
    <t>-676.488902312738 107.1667955145 -255.597164920906</t>
  </si>
  <si>
    <t>-437.070033772527 134.14326381247 -256.928472266097</t>
  </si>
  <si>
    <t>-705.014284543484 28.0478576607522 -102.723099614937</t>
  </si>
  <si>
    <t>-703.506668201369 54.4224042275866 299.963838438693</t>
  </si>
  <si>
    <t>-724.49544701762 85.1704866891444 746.352159436831</t>
  </si>
  <si>
    <t>-580.810593034883 108.608250862223 808.743201294276</t>
  </si>
  <si>
    <t>-612.830807650889 -139.927421345309 307.789106875808</t>
  </si>
  <si>
    <t>-623.108485609497 -129.326067709562 755.403806121418</t>
  </si>
  <si>
    <t>-503.825144015818 -204.499632308287 827.568337040093</t>
  </si>
  <si>
    <t>9763-20170724T105029.310661400.bin</t>
  </si>
  <si>
    <t>-745.646987731055 67.0013796007877 -538.99029756493</t>
  </si>
  <si>
    <t>-679.053079955826 105.228700188539 -254.921434101762</t>
  </si>
  <si>
    <t>-439.703600292355 132.789133161007 -256.691229300873</t>
  </si>
  <si>
    <t>-705.501595154383 26.8313360409468 -102.753470108079</t>
  </si>
  <si>
    <t>-703.83563737407 53.7341585804531 299.89793335865</t>
  </si>
  <si>
    <t>-724.486533103509 85.0329482932545 746.258354100877</t>
  </si>
  <si>
    <t>-580.807636848944 108.495248483383 808.653959221977</t>
  </si>
  <si>
    <t>-612.807582832787 -140.369639443949 307.801839938746</t>
  </si>
  <si>
    <t>-623.050182687931 -129.17724439801 755.396387049509</t>
  </si>
  <si>
    <t>-503.937843599455 -204.607400040549 827.575690523257</t>
  </si>
  <si>
    <t>9763-20170724T105029.342748900.bin</t>
  </si>
  <si>
    <t>-746.175298329983 66.2743885243515 -538.892999046834</t>
  </si>
  <si>
    <t>-680.142983854208 104.373388576656 -254.675777302508</t>
  </si>
  <si>
    <t>-440.823253546684 132.185638861938 -256.518490944841</t>
  </si>
  <si>
    <t>-705.74202199278 26.2391470596954 -102.770443416265</t>
  </si>
  <si>
    <t>-703.998484641114 53.3808993834534 299.864535739874</t>
  </si>
  <si>
    <t>-724.501052370261 85.0005603230463 746.210985819006</t>
  </si>
  <si>
    <t>-580.844264000235 108.599934268892 808.60551579984</t>
  </si>
  <si>
    <t>-612.80785227051 -140.618271921037 307.806086303586</t>
  </si>
  <si>
    <t>-623.066708526928 -129.231656710252 755.401354993204</t>
  </si>
  <si>
    <t>-503.789003910413 -204.413726127785 827.566280957829</t>
  </si>
  <si>
    <t>9763-20170724T105029.408543000.bin</t>
  </si>
  <si>
    <t>-747.107704329464 64.7745621129882 -538.737300136564</t>
  </si>
  <si>
    <t>-682.029347330198 102.788694507529 -254.288816548109</t>
  </si>
  <si>
    <t>-442.728575951895 130.777253728669 -255.902905425464</t>
  </si>
  <si>
    <t>-706.194065466001 24.9532526847695 -102.802429768313</t>
  </si>
  <si>
    <t>-704.335405743903 52.5244467148684 299.802892643388</t>
  </si>
  <si>
    <t>-724.475752914092 84.8235634555092 746.121190816782</t>
  </si>
  <si>
    <t>-580.846596853665 108.575976499495 808.52150490715</t>
  </si>
  <si>
    <t>-612.766700640134 -141.127754541524 307.79075591883</t>
  </si>
  <si>
    <t>-623.066013068849 -129.260694607958 755.392448350356</t>
  </si>
  <si>
    <t>-503.562066130587 -204.09849111237 827.540997567989</t>
  </si>
  <si>
    <t>9763-20170724T105029.441159400.bin</t>
  </si>
  <si>
    <t>-747.511566383501 64.1528808190508 -538.697504003165</t>
  </si>
  <si>
    <t>-683.057500682874 102.083424063601 -254.095653504739</t>
  </si>
  <si>
    <t>-443.744721277523 129.985578943472 -255.402844116659</t>
  </si>
  <si>
    <t>-706.45832052425 24.3709029515503 -102.816489215151</t>
  </si>
  <si>
    <t>-704.484072527113 52.1609091502669 299.773282419225</t>
  </si>
  <si>
    <t>-724.493734699996 84.797025310465 746.077466151543</t>
  </si>
  <si>
    <t>-580.87525497864 108.608131743186 808.479906720073</t>
  </si>
  <si>
    <t>-612.751823622433 -141.354213795701 307.795275724411</t>
  </si>
  <si>
    <t>-623.018415648994 -129.116806346829 755.380751129171</t>
  </si>
  <si>
    <t>-503.554299066625 -204.014443480895 827.532924228578</t>
  </si>
  <si>
    <t>9763-20170724T105029.510530900.bin</t>
  </si>
  <si>
    <t>-747.876572947711 63.1118206809338 -538.575152375087</t>
  </si>
  <si>
    <t>-684.711721612746 100.550068910039 -253.619335306281</t>
  </si>
  <si>
    <t>-445.361795792743 128.162095819775 -253.799118202975</t>
  </si>
  <si>
    <t>-706.76737105217 23.1473852082422 -102.82084521255</t>
  </si>
  <si>
    <t>-704.756392112019 51.4517298641133 299.732910934571</t>
  </si>
  <si>
    <t>-724.511261169754 84.7031440915309 745.997142139358</t>
  </si>
  <si>
    <t>-580.909060359714 108.570207167996 808.415402145881</t>
  </si>
  <si>
    <t>-612.724034452499 -142.050123678926 307.780320473971</t>
  </si>
  <si>
    <t>-623.090381667661 -129.399065408883 755.368851027251</t>
  </si>
  <si>
    <t>-503.399934864436 -203.934928533818 827.520768796758</t>
  </si>
  <si>
    <t>9763-20170724T105029.546362400.bin</t>
  </si>
  <si>
    <t>-747.915260630778 62.7480711940252 -538.475972720174</t>
  </si>
  <si>
    <t>-685.253899083302 99.712634866456 -253.347191560459</t>
  </si>
  <si>
    <t>-445.908122619179 127.361091024806 -253.129530389714</t>
  </si>
  <si>
    <t>-706.949847436498 22.5758191219802 -102.822569545034</t>
  </si>
  <si>
    <t>-704.822350975771 51.0428876025333 299.718988583982</t>
  </si>
  <si>
    <t>-724.507723299615 84.616556500059 745.968113569849</t>
  </si>
  <si>
    <t>-580.934540428947 108.668440860507 808.382581641338</t>
  </si>
  <si>
    <t>-612.83777071199 -142.466165729875 307.780583643851</t>
  </si>
  <si>
    <t>-623.12887536858 -129.568123723034 755.368993026041</t>
  </si>
  <si>
    <t>-503.157626487832 -203.662583788837 827.509198567787</t>
  </si>
  <si>
    <t>9763-20170724T105029.607527800.bin</t>
  </si>
  <si>
    <t>-747.857185898371 62.3962377438068 -538.239223660989</t>
  </si>
  <si>
    <t>-685.968628131918 98.6121148533725 -252.845724368491</t>
  </si>
  <si>
    <t>-446.630722699749 126.321788709224 -252.19578387152</t>
  </si>
  <si>
    <t>-707.097530113006 21.592655409047 -102.811735124289</t>
  </si>
  <si>
    <t>-705.154288765997 50.5242056944817 299.697675911024</t>
  </si>
  <si>
    <t>-724.569938635188 84.6107529756498 745.892447080077</t>
  </si>
  <si>
    <t>-580.980681815098 108.542222955594 808.315894669398</t>
  </si>
  <si>
    <t>-613.174590643446 -142.962978436498 307.812850671223</t>
  </si>
  <si>
    <t>-623.107680126582 -129.531705265586 755.382536729502</t>
  </si>
  <si>
    <t>-503.011368633793 -203.43218295874 827.513550827105</t>
  </si>
  <si>
    <t>9763-20170724T105029.645132600.bin</t>
  </si>
  <si>
    <t>-747.751956435829 62.3796122882477 -538.205473884108</t>
  </si>
  <si>
    <t>-686.40532516302 98.5154095908908 -252.684907984313</t>
  </si>
  <si>
    <t>-447.044371752297 126.024138299513 -252.019137935149</t>
  </si>
  <si>
    <t>-707.099555432367 21.2762396404419 -102.823855476398</t>
  </si>
  <si>
    <t>-705.301266733783 50.3875758583715 299.673280389679</t>
  </si>
  <si>
    <t>-724.577348723428 84.551551419476 745.864186318323</t>
  </si>
  <si>
    <t>-580.987611485157 108.487436861751 808.28486334374</t>
  </si>
  <si>
    <t>-613.270555125059 -143.212477917359 307.832924501856</t>
  </si>
  <si>
    <t>-623.121777459028 -129.588620913683 755.394498707425</t>
  </si>
  <si>
    <t>-502.902016043529 -203.29943298178 827.514157833403</t>
  </si>
  <si>
    <t>9763-20170724T105029.708838200.bin</t>
  </si>
  <si>
    <t>-747.660711935385 61.9629276077933 -538.185172254355</t>
  </si>
  <si>
    <t>-687.600373480801 98.0805200479058 -252.388904188684</t>
  </si>
  <si>
    <t>-448.150829265326 124.796911760501 -251.35085113028</t>
  </si>
  <si>
    <t>-707.026428939998 20.6004495229035 -102.821031654845</t>
  </si>
  <si>
    <t>-705.306859366864 50.0064241369455 299.655106532219</t>
  </si>
  <si>
    <t>-724.603857755984 84.4341284862662 745.822688134199</t>
  </si>
  <si>
    <t>-581.046672313832 108.580041357996 808.23729828738</t>
  </si>
  <si>
    <t>-613.254671971386 -143.575321577419 307.870795159947</t>
  </si>
  <si>
    <t>-623.090128440696 -129.536682304206 755.416889469839</t>
  </si>
  <si>
    <t>-503.002516996321 -203.464268543526 827.534728788069</t>
  </si>
  <si>
    <t>9763-20170724T105029.745401100.bin</t>
  </si>
  <si>
    <t>-747.632948900732 61.5847035448014 -538.145508521804</t>
  </si>
  <si>
    <t>-688.198300325431 97.6399132243919 -252.210637566643</t>
  </si>
  <si>
    <t>-448.702452347191 123.924301629296 -250.904387903235</t>
  </si>
  <si>
    <t>-706.965399930399 20.1875126528882 -102.801598430631</t>
  </si>
  <si>
    <t>-705.204747322346 49.7618139704248 299.661908479845</t>
  </si>
  <si>
    <t>-724.615959842792 84.4012952743522 745.794443973999</t>
  </si>
  <si>
    <t>-581.049264357719 108.452166278474 808.224000843579</t>
  </si>
  <si>
    <t>-613.199855138904 -143.798388857417 307.881167433332</t>
  </si>
  <si>
    <t>-623.083917003266 -129.529647933375 755.427435916026</t>
  </si>
  <si>
    <t>-502.843579873437 -203.227028095995 827.526365552003</t>
  </si>
  <si>
    <t>9763-20170724T105029.813085300.bin</t>
  </si>
  <si>
    <t>-747.521324311463 60.906786174048 -537.948488133956</t>
  </si>
  <si>
    <t>-688.715613316449 96.4110660789236 -251.814590556988</t>
  </si>
  <si>
    <t>-449.208013266259 122.484383849292 -249.137613483177</t>
  </si>
  <si>
    <t>-706.773267973309 19.3815197291926 -102.761206261634</t>
  </si>
  <si>
    <t>-704.901863883448 49.2526185976615 299.679944567704</t>
  </si>
  <si>
    <t>-724.638178725947 84.2692442121861 745.771953612157</t>
  </si>
  <si>
    <t>-581.091358864262 108.404460561839 808.214525124441</t>
  </si>
  <si>
    <t>-612.931165613897 -144.235012083024 307.904980115339</t>
  </si>
  <si>
    <t>-623.051720945278 -129.503141321278 755.428871076461</t>
  </si>
  <si>
    <t>-502.688613615559 -203.012296983841 827.515133953178</t>
  </si>
  <si>
    <t>9763-20170724T105029.877282100.bin</t>
  </si>
  <si>
    <t>-747.010507819413 60.985794864024 -537.570932976323</t>
  </si>
  <si>
    <t>-687.26140530329 95.6702390565649 -251.532091578234</t>
  </si>
  <si>
    <t>-448.047680213651 124.105943485927 -247.164001145245</t>
  </si>
  <si>
    <t>-706.64821668294 18.6736461256246 -102.612918383006</t>
  </si>
  <si>
    <t>-704.596202967749 48.537881523293 299.827892655723</t>
  </si>
  <si>
    <t>-724.65715066112 83.9360119204266 745.887782169404</t>
  </si>
  <si>
    <t>-581.081245679272 108.019503923663 808.283621425291</t>
  </si>
  <si>
    <t>-612.814882959615 -144.718801141542 307.915354164449</t>
  </si>
  <si>
    <t>-623.05025693661 -129.603107730787 755.423112364975</t>
  </si>
  <si>
    <t>-502.726651137821 -203.156306395386 827.530516790987</t>
  </si>
  <si>
    <t>9763-20170724T105029.914377800.bin</t>
  </si>
  <si>
    <t>-746.62580796344 60.939118901035 -537.49795343095</t>
  </si>
  <si>
    <t>-686.135334971181 95.4023684487152 -251.588236556437</t>
  </si>
  <si>
    <t>-447.028991212653 124.609414775424 -246.491140853287</t>
  </si>
  <si>
    <t>-706.616419591952 18.4194563987428 -102.613200091067</t>
  </si>
  <si>
    <t>-704.4587351232 48.2451571645433 299.829929783015</t>
  </si>
  <si>
    <t>-724.684552566093 83.8951771046904 745.878350771116</t>
  </si>
  <si>
    <t>-581.087022153174 107.865859818229 808.267826531444</t>
  </si>
  <si>
    <t>-612.936916473727 -144.947005702324 307.90539594715</t>
  </si>
  <si>
    <t>-623.069323147686 -129.727526556299 755.417178884827</t>
  </si>
  <si>
    <t>-502.533891401659 -202.932579257846 827.524715034794</t>
  </si>
  <si>
    <t>9763-20170724T105029.940952400.bin</t>
  </si>
  <si>
    <t>-746.098828345468 60.9292657992864 -537.449171594379</t>
  </si>
  <si>
    <t>-684.8686062208 95.19809971682 -251.673574846235</t>
  </si>
  <si>
    <t>-445.873682745499 125.103260371143 -245.508813821309</t>
  </si>
  <si>
    <t>-706.408610502531 18.0984705368501 -102.583424185742</t>
  </si>
  <si>
    <t>-704.220187634546 48.1095761412519 299.845674971262</t>
  </si>
  <si>
    <t>-724.719860793326 83.8658261409653 745.869342927219</t>
  </si>
  <si>
    <t>-581.126413197756 107.896192641194 808.245416039964</t>
  </si>
  <si>
    <t>-612.916399093271 -145.13216261281 307.901746057063</t>
  </si>
  <si>
    <t>-623.02176978624 -129.633693922535 755.401611744406</t>
  </si>
  <si>
    <t>-502.541434768168 -202.903790581489 827.535220582737</t>
  </si>
  <si>
    <t>9763-20170724T105030.011536900.bin</t>
  </si>
  <si>
    <t>-744.610740975352 61.0955237905346 -537.344681738349</t>
  </si>
  <si>
    <t>-681.742384939865 94.9253446328387 -251.872555150126</t>
  </si>
  <si>
    <t>-443.04427940985 126.017148336067 -241.511996430062</t>
  </si>
  <si>
    <t>-705.871142375577 17.6050896316124 -102.56590717809</t>
  </si>
  <si>
    <t>-703.960822135029 47.9105021271798 299.842571564012</t>
  </si>
  <si>
    <t>-724.797841748041 83.8096276600468 745.839763522122</t>
  </si>
  <si>
    <t>-581.177804064089 107.78587239979 808.175362963343</t>
  </si>
  <si>
    <t>-612.957196724376 -145.580544869551 307.94686217834</t>
  </si>
  <si>
    <t>-623.011781937171 -129.69638126586 755.420998073255</t>
  </si>
  <si>
    <t>-502.437212665646 -202.805420900088 827.560774576223</t>
  </si>
  <si>
    <t>9763-20170724T105030.042122600.bin</t>
  </si>
  <si>
    <t>-743.895218090797 61.1915870295111 -537.320835092098</t>
  </si>
  <si>
    <t>-680.253147185587 94.7621496296624 -251.989519033301</t>
  </si>
  <si>
    <t>-441.824006208655 126.414675884534 -237.829140115916</t>
  </si>
  <si>
    <t>-705.662128913957 17.5024114421019 -102.568138221168</t>
  </si>
  <si>
    <t>-703.910949153432 47.8816063791571 299.835486319979</t>
  </si>
  <si>
    <t>-724.822272424984 83.748549224023 745.81490766944</t>
  </si>
  <si>
    <t>-581.197069775776 107.752729626825 808.127839144079</t>
  </si>
  <si>
    <t>-613.058450660252 -145.714865385031 307.985079859942</t>
  </si>
  <si>
    <t>-623.022336370721 -129.765816644164 755.441274571139</t>
  </si>
  <si>
    <t>-502.416005047149 -202.827503602579 827.575870079861</t>
  </si>
  <si>
    <t>9763-20170724T105030.111809600.bin</t>
  </si>
  <si>
    <t>-742.885208505598 61.3326748395662 -537.438011900112</t>
  </si>
  <si>
    <t>-678.371840039661 94.0018955539263 -252.19785403871</t>
  </si>
  <si>
    <t>-440.351201089992 125.732090488019 -232.444594857849</t>
  </si>
  <si>
    <t>-705.477834359225 17.4140618456361 -102.616467429061</t>
  </si>
  <si>
    <t>-703.800598162567 47.9143353520451 299.77835458853</t>
  </si>
  <si>
    <t>-724.871932957672 83.6415487875581 745.76887822925</t>
  </si>
  <si>
    <t>-581.26439176959 107.874327793987 808.034002655773</t>
  </si>
  <si>
    <t>-613.448710331636 -145.606779629157 308.025523548001</t>
  </si>
  <si>
    <t>-622.958743204625 -129.603483195734 755.475210788623</t>
  </si>
  <si>
    <t>-502.65942103056 -203.166273183297 827.613265730516</t>
  </si>
  <si>
    <t>9763-20170724T105030.142914300.bin</t>
  </si>
  <si>
    <t>-742.659102152506 61.3630318600019 -537.563581067679</t>
  </si>
  <si>
    <t>-678.219984041895 93.9326158813201 -252.295304124182</t>
  </si>
  <si>
    <t>-440.122848191951 124.888957878715 -232.236990217167</t>
  </si>
  <si>
    <t>-705.615270108383 17.4188201144277 -102.663647145029</t>
  </si>
  <si>
    <t>-703.848503150572 47.9668089504144 299.727064881032</t>
  </si>
  <si>
    <t>-724.899509387638 83.6026058574225 745.725478563621</t>
  </si>
  <si>
    <t>-581.28550422481 107.826558004183 807.979050304602</t>
  </si>
  <si>
    <t>-613.869695825107 -145.581026186662 308.057260304075</t>
  </si>
  <si>
    <t>-622.956519304776 -129.604142374454 755.507954813232</t>
  </si>
  <si>
    <t>-502.54673199726 -203.014762476787 827.616467236226</t>
  </si>
  <si>
    <t>9763-20170724T105030.213106000.bin</t>
  </si>
  <si>
    <t>-742.695958191508 61.9842930389591 -537.942659066638</t>
  </si>
  <si>
    <t>-679.241676624348 94.8457095342296 -252.487036448867</t>
  </si>
  <si>
    <t>-441.161248721065 125.86225072858 -232.324043798675</t>
  </si>
  <si>
    <t>-705.914140382691 17.692032593043 -102.789202352822</t>
  </si>
  <si>
    <t>-704.35329229286 48.3186225956765 299.596522943786</t>
  </si>
  <si>
    <t>-724.931862107996 83.5543950390302 745.605497912889</t>
  </si>
  <si>
    <t>-581.34615301855 107.961315458828 807.853048834179</t>
  </si>
  <si>
    <t>-614.494552937349 -145.321627088275 308.048631077619</t>
  </si>
  <si>
    <t>-622.897393458775 -129.435159537736 755.530995407925</t>
  </si>
  <si>
    <t>-502.828496696217 -203.40705235137 827.634234282019</t>
  </si>
  <si>
    <t>9763-20170724T105030.246811900.bin</t>
  </si>
  <si>
    <t>-742.981544859489 62.3350201472069 -538.075030352028</t>
  </si>
  <si>
    <t>-680.234288095093 95.3917219813575 -252.48584140282</t>
  </si>
  <si>
    <t>-442.161577403046 126.438434378946 -232.276642437063</t>
  </si>
  <si>
    <t>-706.200655693525 17.7609916817914 -102.849295689985</t>
  </si>
  <si>
    <t>-704.612322654811 48.4917414880506 299.528405740833</t>
  </si>
  <si>
    <t>-724.948417846802 83.5795505246717 745.550160063473</t>
  </si>
  <si>
    <t>-581.369541868564 107.999235048531 807.808287002299</t>
  </si>
  <si>
    <t>-614.555451368554 -145.16124079066 308.008845295935</t>
  </si>
  <si>
    <t>-622.848370022431 -129.315104736758 755.527985777901</t>
  </si>
  <si>
    <t>-502.912951948598 -203.503083144816 827.631702451018</t>
  </si>
  <si>
    <t>9763-20170724T105030.313993300.bin</t>
  </si>
  <si>
    <t>-743.553770087305 62.4766194337335 -538.117627815717</t>
  </si>
  <si>
    <t>-682.870798560139 96.419645601974 -252.1864205095</t>
  </si>
  <si>
    <t>-444.680343444099 126.649724647923 -232.128421648032</t>
  </si>
  <si>
    <t>-706.746685900215 17.3890197038618 -102.93164824218</t>
  </si>
  <si>
    <t>-704.857411723718 48.3665890485938 299.425785624191</t>
  </si>
  <si>
    <t>-724.940132035547 83.5186383485272 745.477552480988</t>
  </si>
  <si>
    <t>-581.423640264483 108.249916077703 807.756510095675</t>
  </si>
  <si>
    <t>-614.772894982248 -145.161466066057 307.974418495736</t>
  </si>
  <si>
    <t>-622.814468267165 -129.282798594169 755.514695472439</t>
  </si>
  <si>
    <t>-502.967687708025 -203.616468601714 827.615656155203</t>
  </si>
  <si>
    <t>9763-20170724T105030.346608300.bin</t>
  </si>
  <si>
    <t>-744.175102845105 62.4800391004974 -537.967099267505</t>
  </si>
  <si>
    <t>-684.1156463892 96.3136240099407 -251.891329016843</t>
  </si>
  <si>
    <t>-445.835006680651 126.126479435302 -232.284475425459</t>
  </si>
  <si>
    <t>-707.027395054791 17.1301761821098 -102.961521833116</t>
  </si>
  <si>
    <t>-704.983811120172 48.211049514659 299.387204011871</t>
  </si>
  <si>
    <t>-724.936309777384 83.5072594032877 745.426632618856</t>
  </si>
  <si>
    <t>-581.435708759765 108.282762201066 807.724622486111</t>
  </si>
  <si>
    <t>-614.81505565094 -145.267032267025 307.984761127632</t>
  </si>
  <si>
    <t>-622.798068615869 -129.275417270141 755.512789148865</t>
  </si>
  <si>
    <t>-502.863197159562 -203.475827666938 827.604457572088</t>
  </si>
  <si>
    <t>9763-20170724T105030.411074100.bin</t>
  </si>
  <si>
    <t>-746.005823163933 62.0263578579929 -537.378648770224</t>
  </si>
  <si>
    <t>-685.822986049283 95.0483978567768 -251.233984977206</t>
  </si>
  <si>
    <t>-447.39139145923 124.716107283266 -233.315207145306</t>
  </si>
  <si>
    <t>-707.285339493534 16.1434241291595 -102.970450138544</t>
  </si>
  <si>
    <t>-705.255396794639 47.6885896012718 299.34224865066</t>
  </si>
  <si>
    <t>-724.898600338365 83.4458213287421 745.335568379763</t>
  </si>
  <si>
    <t>-581.458854581324 108.459067813268 807.678734205481</t>
  </si>
  <si>
    <t>-614.698964469114 -145.774619516303 307.999266087223</t>
  </si>
  <si>
    <t>-622.798388549879 -129.370140663005 755.503772796376</t>
  </si>
  <si>
    <t>-502.721344248417 -203.345785170816 827.589875471992</t>
  </si>
  <si>
    <t>9763-20170724T105030.447749800.bin</t>
  </si>
  <si>
    <t>-746.913037458586 61.2634946029843 -537.212986263911</t>
  </si>
  <si>
    <t>-686.543517160776 94.141082028304 -251.09099040471</t>
  </si>
  <si>
    <t>-448.015654747544 123.531434006989 -234.01637620152</t>
  </si>
  <si>
    <t>-707.351776729413 15.3883526239374 -102.97297120598</t>
  </si>
  <si>
    <t>-705.225181262722 47.2260519130866 299.31613551588</t>
  </si>
  <si>
    <t>-724.934027521112 83.5014966267606 745.303183674207</t>
  </si>
  <si>
    <t>-581.491522486321 108.466349828877 807.659354770047</t>
  </si>
  <si>
    <t>-614.82938453471 -146.259072144147 308.016871656923</t>
  </si>
  <si>
    <t>-622.891801342502 -129.711928801177 755.520054102941</t>
  </si>
  <si>
    <t>-502.431408034108 -203.088266426197 827.579131568542</t>
  </si>
  <si>
    <t>9763-20170724T105030.507913700.bin</t>
  </si>
  <si>
    <t>-748.604909209013 59.1975293145226 -537.046252516133</t>
  </si>
  <si>
    <t>-688.257358150767 92.4974281404541 -250.968497999536</t>
  </si>
  <si>
    <t>-449.513538994272 120.741283521488 -235.013269380383</t>
  </si>
  <si>
    <t>-707.320594976998 13.4385970374242 -102.923469499108</t>
  </si>
  <si>
    <t>-704.720006222831 46.080278021994 299.298413740399</t>
  </si>
  <si>
    <t>-724.965580450543 83.4054026133001 745.225007428209</t>
  </si>
  <si>
    <t>-581.560871807695 108.598394779758 807.576326578694</t>
  </si>
  <si>
    <t>-614.936580503035 -147.201403531591 308.088523314286</t>
  </si>
  <si>
    <t>-622.849467068389 -129.632888217008 755.544945494306</t>
  </si>
  <si>
    <t>-502.372070332047 -202.988180571903 827.596954906832</t>
  </si>
  <si>
    <t>9763-20170724T105030.543509000.bin</t>
  </si>
  <si>
    <t>-749.26355604896 58.0158391096088 -536.968732053633</t>
  </si>
  <si>
    <t>-689.060091760066 91.5035006459862 -250.882584714805</t>
  </si>
  <si>
    <t>-450.24621312583 119.277332621557 -235.152917664201</t>
  </si>
  <si>
    <t>-707.164153344617 12.3681907306575 -102.8769636626</t>
  </si>
  <si>
    <t>-704.281164472537 45.4189114549772 299.309549246757</t>
  </si>
  <si>
    <t>-724.926085198658 83.2074790673291 745.184061538047</t>
  </si>
  <si>
    <t>-581.580066914268 108.778094174119 807.516750745963</t>
  </si>
  <si>
    <t>-614.959126765139 -147.681185520637 308.147269242292</t>
  </si>
  <si>
    <t>-622.821430244578 -129.576897702495 755.571983534883</t>
  </si>
  <si>
    <t>-502.584044204455 -203.313760841334 827.635239899514</t>
  </si>
  <si>
    <t>9763-20170724T105030.608867400.bin</t>
  </si>
  <si>
    <t>-750.424605472453 55.4512150073947 -536.685336765072</t>
  </si>
  <si>
    <t>-689.68896392361 88.9751815221503 -250.715927506381</t>
  </si>
  <si>
    <t>-450.948467628875 117.19774501926 -234.673680916956</t>
  </si>
  <si>
    <t>-706.890301350616 10.1676235697601 -102.805137997584</t>
  </si>
  <si>
    <t>-703.519784982294 44.1718489588479 299.29817675257</t>
  </si>
  <si>
    <t>-725.032727781897 83.1852481301466 745.023935851196</t>
  </si>
  <si>
    <t>-581.65848007963 108.619597005586 807.347109822072</t>
  </si>
  <si>
    <t>-615.167668379618 -149.062414451382 308.324323769897</t>
  </si>
  <si>
    <t>-622.887626402079 -129.852098308338 755.666602748648</t>
  </si>
  <si>
    <t>-502.238779365659 -202.97036512207 827.672853311268</t>
  </si>
  <si>
    <t>9763-20170724T105030.646440800.bin</t>
  </si>
  <si>
    <t>-750.990884599071 54.235621602018 -536.417169976433</t>
  </si>
  <si>
    <t>-689.369669915216 87.494120902594 -250.606256929718</t>
  </si>
  <si>
    <t>-450.707197980472 116.346062187769 -234.523621853313</t>
  </si>
  <si>
    <t>-706.894271585942 9.11003697567321 -102.797569509693</t>
  </si>
  <si>
    <t>-703.304890290973 43.5417521526335 299.267379515842</t>
  </si>
  <si>
    <t>-725.054293416196 83.1188165000233 744.918768821772</t>
  </si>
  <si>
    <t>-581.712862036839 108.751942345027 807.236388901858</t>
  </si>
  <si>
    <t>-615.373362484849 -149.702802130591 308.415993591349</t>
  </si>
  <si>
    <t>-622.904545411785 -129.932865334739 755.715281393312</t>
  </si>
  <si>
    <t>-502.002997343198 -202.671120071572 827.682541589189</t>
  </si>
  <si>
    <t>9763-20170724T105030.713696600.bin</t>
  </si>
  <si>
    <t>-751.766794933217 51.9589880199173 -536.086452343463</t>
  </si>
  <si>
    <t>-688.78552417933 84.8797395119532 -250.533033408652</t>
  </si>
  <si>
    <t>-450.101136384646 114.359784876499 -235.986064607082</t>
  </si>
  <si>
    <t>-706.905281920869 7.04169875713001 -102.830386175233</t>
  </si>
  <si>
    <t>-703.291288224496 42.3110963431357 299.161753797432</t>
  </si>
  <si>
    <t>-725.063333602051 82.9523473499955 744.691256384212</t>
  </si>
  <si>
    <t>-581.754006356229 108.755709502478 807.012283656387</t>
  </si>
  <si>
    <t>-615.768150878111 -150.772514384515 308.508318230424</t>
  </si>
  <si>
    <t>-622.928570565641 -130.100090266321 755.784791236485</t>
  </si>
  <si>
    <t>-501.811609822552 -202.528407646501 827.702159403285</t>
  </si>
  <si>
    <t>9763-20170724T105030.743278700.bin</t>
  </si>
  <si>
    <t>-752.15028151514 50.9055935390275 -536.010804521209</t>
  </si>
  <si>
    <t>-688.528050690366 83.779610179959 -250.594102614881</t>
  </si>
  <si>
    <t>-449.781039655824 113.362036969195 -237.34181005721</t>
  </si>
  <si>
    <t>-706.918641528293 6.17617202474526 -102.857173678947</t>
  </si>
  <si>
    <t>-703.492755975477 41.8010292595141 299.105248762354</t>
  </si>
  <si>
    <t>-725.084889252766 82.9094268829108 744.588607757153</t>
  </si>
  <si>
    <t>-581.797434140616 108.829313997999 806.91192264088</t>
  </si>
  <si>
    <t>-616.008759253051 -151.233303611906 308.532983992968</t>
  </si>
  <si>
    <t>-622.914085250346 -130.0915870797 755.807383558172</t>
  </si>
  <si>
    <t>-501.865358918172 -202.646443600025 827.712117474538</t>
  </si>
  <si>
    <t>9763-20170724T105030.813536300.bin</t>
  </si>
  <si>
    <t>-752.538513091784 49.0961733820577 -535.921299707264</t>
  </si>
  <si>
    <t>-688.181192046517 81.9533984294796 -250.667571922159</t>
  </si>
  <si>
    <t>-449.315078479481 111.485996568136 -239.637156702558</t>
  </si>
  <si>
    <t>-706.986094117363 4.61486621566769 -102.903144968195</t>
  </si>
  <si>
    <t>-703.832756357183 40.8471558095871 299.007176820627</t>
  </si>
  <si>
    <t>-725.137464268866 82.8772695979028 744.408179603794</t>
  </si>
  <si>
    <t>-581.889113243238 108.991074651633 806.740280123631</t>
  </si>
  <si>
    <t>-616.376313307379 -152.177918281644 308.570658998259</t>
  </si>
  <si>
    <t>-622.940241043719 -130.301822241547 755.832131164295</t>
  </si>
  <si>
    <t>-501.719870098218 -202.607934706783 827.698312234814</t>
  </si>
  <si>
    <t>9763-20170724T105030.844620900.bin</t>
  </si>
  <si>
    <t>-752.578996980741 48.3053551098672 -535.871133821446</t>
  </si>
  <si>
    <t>-688.011241609549 81.2779384667665 -250.678158284145</t>
  </si>
  <si>
    <t>-449.043252912175 110.470182076292 -241.035614878753</t>
  </si>
  <si>
    <t>-707.041636533437 3.87731391927696 -102.915943450011</t>
  </si>
  <si>
    <t>-703.864689736263 40.4367954287627 298.964611835116</t>
  </si>
  <si>
    <t>-725.199792379153 82.9224281415748 744.328722426421</t>
  </si>
  <si>
    <t>-581.94619246052 108.983087482516 806.670821802195</t>
  </si>
  <si>
    <t>-616.549560681093 -152.608520232591 308.586980272536</t>
  </si>
  <si>
    <t>-622.951548603186 -130.405579172963 755.838067925145</t>
  </si>
  <si>
    <t>-501.555148133809 -202.438148519426 827.681729803338</t>
  </si>
  <si>
    <t>9763-20170724T105030.909800800.bin</t>
  </si>
  <si>
    <t>-752.648807337149 47.1193988724192 -535.660625086786</t>
  </si>
  <si>
    <t>-687.550940107392 79.6458853841652 -250.536984249137</t>
  </si>
  <si>
    <t>-448.430241803907 108.573983706951 -244.591874389107</t>
  </si>
  <si>
    <t>-707.112326808481 2.37809466238332 -103.066438174372</t>
  </si>
  <si>
    <t>-703.641044852866 39.4557128413346 298.764120324388</t>
  </si>
  <si>
    <t>-725.201231480288 82.7185399673326 744.00599911355</t>
  </si>
  <si>
    <t>-581.985544182716 108.983592649848 806.349530803048</t>
  </si>
  <si>
    <t>-616.875897855117 -153.412917766966 308.564016349096</t>
  </si>
  <si>
    <t>-622.973893950383 -130.609906297784 755.833176496851</t>
  </si>
  <si>
    <t>-501.347273508972 -202.292742328973 827.637370098109</t>
  </si>
  <si>
    <t>9763-20170724T105030.941387900.bin</t>
  </si>
  <si>
    <t>-752.738594485114 46.8437590928893 -535.455635415129</t>
  </si>
  <si>
    <t>-687.354347393094 78.9256055734897 -250.347030306294</t>
  </si>
  <si>
    <t>-448.208190856833 108.011357468167 -246.61117334244</t>
  </si>
  <si>
    <t>-707.246785831056 1.81802803003279 -103.050572094148</t>
  </si>
  <si>
    <t>-703.660319682816 39.1209518980643 298.758182167818</t>
  </si>
  <si>
    <t>-725.273056749881 82.7774989031182 743.969040663115</t>
  </si>
  <si>
    <t>-582.030694896387 108.88099082517 806.319020677251</t>
  </si>
  <si>
    <t>-617.03151508896 -153.70427652513 308.571374012043</t>
  </si>
  <si>
    <t>-622.930208985272 -130.520523054964 755.833347245459</t>
  </si>
  <si>
    <t>-501.319570246538 -202.242214207549 827.625817897669</t>
  </si>
  <si>
    <t>9763-20170724T105031.022103800.bin</t>
  </si>
  <si>
    <t>-753.005128602746 46.3641735653446 -535.006247167949</t>
  </si>
  <si>
    <t>-686.997556756193 77.9331319372723 -249.984120333531</t>
  </si>
  <si>
    <t>-447.835855875883 107.129867985784 -250.265655691646</t>
  </si>
  <si>
    <t>-707.432074703852 0.760686787013356 -102.983341797171</t>
  </si>
  <si>
    <t>-703.744768020078 38.5100830919241 298.782887802519</t>
  </si>
  <si>
    <t>-725.359438346592 82.7825426730285 743.909195895615</t>
  </si>
  <si>
    <t>-582.12655728507 108.93076736818 806.262313509032</t>
  </si>
  <si>
    <t>-617.354966757514 -154.30352891865 308.609279042153</t>
  </si>
  <si>
    <t>-622.917160404248 -130.614570028584 755.848306391777</t>
  </si>
  <si>
    <t>-501.057357852474 -201.954888166194 827.598240254391</t>
  </si>
  <si>
    <t>9763-20170724T105031.049197500.bin</t>
  </si>
  <si>
    <t>-753.184923793174 46.1662020061083 -534.787423785384</t>
  </si>
  <si>
    <t>-686.828348997455 77.6628349193761 -249.838283108695</t>
  </si>
  <si>
    <t>-447.678941564332 106.875015899691 -252.085538614403</t>
  </si>
  <si>
    <t>-707.523005910153 0.290250482689999 -102.950230692101</t>
  </si>
  <si>
    <t>-703.782994313872 38.2262895546326 298.797871514215</t>
  </si>
  <si>
    <t>-725.358692875618 82.6943028022979 743.89006445531</t>
  </si>
  <si>
    <t>-582.165275479117 109.060262858674 806.242147428932</t>
  </si>
  <si>
    <t>-617.443853487864 -154.493189892877 308.626484047611</t>
  </si>
  <si>
    <t>-622.917087024184 -130.705162168963 755.861190960507</t>
  </si>
  <si>
    <t>-501.172127124899 -202.241109787608 827.611286322189</t>
  </si>
  <si>
    <t>9763-20170724T105031.111361400.bin</t>
  </si>
  <si>
    <t>-753.714631336572 45.8707275315328 -534.379029916685</t>
  </si>
  <si>
    <t>-686.48413158285 77.2093996123294 -249.617360577597</t>
  </si>
  <si>
    <t>-447.365689176022 106.243445479423 -255.120567093018</t>
  </si>
  <si>
    <t>-703.918637979758 37.7708709732419 298.847512103178</t>
  </si>
  <si>
    <t>-725.408618960441 82.6500342090467 743.874409790259</t>
  </si>
  <si>
    <t>-582.215353905353 109.008500212505 806.230075378758</t>
  </si>
  <si>
    <t>-617.532504980374 -154.848893407546 308.636249269139</t>
  </si>
  <si>
    <t>-622.877214218896 -130.798737342846 755.857698833228</t>
  </si>
  <si>
    <t>-501.171481863189 -202.389830400812 827.619105805304</t>
  </si>
  <si>
    <t>9763-20170724T105031.144959500.bin</t>
  </si>
  <si>
    <t>-753.896253043613 45.7735980199691 -534.168347002475</t>
  </si>
  <si>
    <t>-686.374081575642 76.849018512647 -249.44697501064</t>
  </si>
  <si>
    <t>-447.27288731761 105.728037204865 -256.33584932286</t>
  </si>
  <si>
    <t>-704.019954455988 37.578947420749 298.870827002617</t>
  </si>
  <si>
    <t>-725.43937596035 82.6516472256671 743.878652394224</t>
  </si>
  <si>
    <t>-582.239699566738 108.968197094459 806.237495934437</t>
  </si>
  <si>
    <t>-617.578137842093 -155.00199895337 308.623804080065</t>
  </si>
  <si>
    <t>-622.846983527702 -130.814574400687 755.847628802533</t>
  </si>
  <si>
    <t>-501.009013874392 -202.18034731743 827.6095480927</t>
  </si>
  <si>
    <t>9763-20170724T105031.213644800.bin</t>
  </si>
  <si>
    <t>-754.087816768089 46.0151250519177 -533.763496406142</t>
  </si>
  <si>
    <t>-686.057861644 76.5327956242975 -249.10269942343</t>
  </si>
  <si>
    <t>-447.002502016466 105.045632033479 -258.61171537569</t>
  </si>
  <si>
    <t>-704.231833124616 37.3718103832175 298.931670979746</t>
  </si>
  <si>
    <t>-725.520005407914 82.7035654072238 743.913893804245</t>
  </si>
  <si>
    <t>-582.341197444177 109.125756282398 806.275645037942</t>
  </si>
  <si>
    <t>-617.569384192087 -155.191554458066 308.600512732053</t>
  </si>
  <si>
    <t>-622.798092392344 -130.88543622538 755.824122809126</t>
  </si>
  <si>
    <t>-500.912105913862 -202.14756509943 827.607049229257</t>
  </si>
  <si>
    <t>9763-20170724T105031.277514300.bin</t>
  </si>
  <si>
    <t>-754.418429350922 46.5177685113802 -533.386308294122</t>
  </si>
  <si>
    <t>-685.895058471939 76.5573647091076 -248.793027478473</t>
  </si>
  <si>
    <t>-446.892370230348 104.680373923286 -260.527701258993</t>
  </si>
  <si>
    <t>-704.552862674519 37.3382960764616 299.024590633607</t>
  </si>
  <si>
    <t>-725.614941855302 82.7944568762082 743.987972591291</t>
  </si>
  <si>
    <t>-582.415019194174 109.073479597977 806.361923388338</t>
  </si>
  <si>
    <t>-617.576791990606 -155.296408110001 308.563622411259</t>
  </si>
  <si>
    <t>-622.77575426032 -131.037032103392 755.798231204758</t>
  </si>
  <si>
    <t>-500.823291606156 -202.171054670981 827.595241137649</t>
  </si>
  <si>
    <t>9763-20170724T105031.311605700.bin</t>
  </si>
  <si>
    <t>-754.547857259251 46.7866965824946 -533.213876194755</t>
  </si>
  <si>
    <t>-685.832699123353 76.6101218399394 -248.644012300347</t>
  </si>
  <si>
    <t>-446.857044932882 104.415618372423 -261.61892606563</t>
  </si>
  <si>
    <t>-704.708483684075 37.3521188941277 299.069583120454</t>
  </si>
  <si>
    <t>-725.631807838409 82.7877074910721 744.041600594477</t>
  </si>
  <si>
    <t>-582.426423453019 109.023249944028 806.420831970848</t>
  </si>
  <si>
    <t>-617.593555986118 -155.335678676791 308.551788031114</t>
  </si>
  <si>
    <t>-622.773809961868 -131.145279019102 755.787747700859</t>
  </si>
  <si>
    <t>-500.633537340639 -201.962664549177 827.578786961421</t>
  </si>
  <si>
    <t>9763-20170724T105031.376787000.bin</t>
  </si>
  <si>
    <t>-754.615005115699 47.457529216518 -532.91121282304</t>
  </si>
  <si>
    <t>-685.674008524372 76.8601881534526 -248.35216401504</t>
  </si>
  <si>
    <t>-446.818486786298 104.192222824302 -264.223754091534</t>
  </si>
  <si>
    <t>-704.973893385031 37.4973240398842 299.156807248479</t>
  </si>
  <si>
    <t>-725.674713558145 82.7610346337037 744.175889893411</t>
  </si>
  <si>
    <t>-582.501275633008 109.201443623039 806.542221635467</t>
  </si>
  <si>
    <t>-617.580578618273 -155.167831700232 308.521945554732</t>
  </si>
  <si>
    <t>-622.700303002778 -131.087166264957 755.764295539004</t>
  </si>
  <si>
    <t>-500.711959542933 -202.142704554014 827.578217352076</t>
  </si>
  <si>
    <t>9763-20170724T105031.408872700.bin</t>
  </si>
  <si>
    <t>-754.697140266676 47.698630910864 -532.81355136662</t>
  </si>
  <si>
    <t>-685.669497250387 76.9414950114369 -248.259127407137</t>
  </si>
  <si>
    <t>-446.885646607111 103.874045743819 -265.803583377586</t>
  </si>
  <si>
    <t>-705.163251635065 37.5971672885635 299.198557207604</t>
  </si>
  <si>
    <t>-725.725080111143 82.819644638957 744.230016917646</t>
  </si>
  <si>
    <t>-582.533215635682 109.141454032182 806.604063856891</t>
  </si>
  <si>
    <t>-617.594393256783 -155.095435216173 308.498057400123</t>
  </si>
  <si>
    <t>-622.669520074931 -131.062644726938 755.751090435451</t>
  </si>
  <si>
    <t>-500.571155919784 -201.929055363765 827.565189419067</t>
  </si>
  <si>
    <t>9763-20170724T105031.445974400.bin</t>
  </si>
  <si>
    <t>-754.920408414762 47.9143699278789 -532.703497069524</t>
  </si>
  <si>
    <t>-685.760611271027 76.9832659606975 -248.163494791792</t>
  </si>
  <si>
    <t>-447.05271410364 103.550614010937 -267.232198524065</t>
  </si>
  <si>
    <t>-705.350966035616 37.6353545174659 299.249024665004</t>
  </si>
  <si>
    <t>-725.738277519143 82.7987044273016 744.289704947772</t>
  </si>
  <si>
    <t>-582.55618448134 109.165899315189 806.667242614961</t>
  </si>
  <si>
    <t>-617.576176709137 -155.078385753689 308.484114541512</t>
  </si>
  <si>
    <t>-622.670435785362 -131.151861877927 755.748122993557</t>
  </si>
  <si>
    <t>-500.5353135331 -201.953826746327 827.563024002231</t>
  </si>
  <si>
    <t>9763-20170724T105031.512965700.bin</t>
  </si>
  <si>
    <t>-755.49943523729 48.1311980498526 -532.419148234102</t>
  </si>
  <si>
    <t>-685.983075966844 77.0442247647777 -247.949990217075</t>
  </si>
  <si>
    <t>-447.486648655244 102.613390679301 -270.676196934038</t>
  </si>
  <si>
    <t>-705.737624348036 37.7108463241502 299.313108260755</t>
  </si>
  <si>
    <t>-725.80600812132 82.8422492264069 744.396741118738</t>
  </si>
  <si>
    <t>-582.636565573258 109.26171464083 806.781027654688</t>
  </si>
  <si>
    <t>-617.629858162385 -154.942396174577 308.493239169136</t>
  </si>
  <si>
    <t>-622.605777117641 -131.06593281826 755.739611782025</t>
  </si>
  <si>
    <t>-500.486573188299 -201.892608201854 827.55729306401</t>
  </si>
  <si>
    <t>9763-20170724T105031.545554200.bin</t>
  </si>
  <si>
    <t>-755.847303292597 48.049550235598 -532.291737724067</t>
  </si>
  <si>
    <t>-686.206433374506 76.931635443091 -247.849756030994</t>
  </si>
  <si>
    <t>-447.838577202951 102.043135615434 -272.365890689754</t>
  </si>
  <si>
    <t>-705.848057086493 37.6777349250417 299.338668354948</t>
  </si>
  <si>
    <t>-725.813050871721 82.8108142637536 744.43677621434</t>
  </si>
  <si>
    <t>-582.63543283161 109.172185502031 806.827002350331</t>
  </si>
  <si>
    <t>-617.697083957831 -155.048291607449 308.511491092625</t>
  </si>
  <si>
    <t>-622.633998152064 -131.230211601612 755.75009118205</t>
  </si>
  <si>
    <t>-500.244856917684 -201.611609509665 827.545837715641</t>
  </si>
  <si>
    <t>9763-20170724T105031.611182600.bin</t>
  </si>
  <si>
    <t>-756.547079723221 48.0606691977368 -532.002668486311</t>
  </si>
  <si>
    <t>-686.595880855558 76.7564333210794 -247.618175852985</t>
  </si>
  <si>
    <t>-448.522563748292 101.180187411508 -275.464889616033</t>
  </si>
  <si>
    <t>-705.760973142744 37.6147825014543 299.392999023239</t>
  </si>
  <si>
    <t>-725.832161951882 82.7267010219421 744.511569003836</t>
  </si>
  <si>
    <t>-582.682966612367 109.226978365862 806.908457791477</t>
  </si>
  <si>
    <t>-617.572858168974 -154.806042844638 308.522434939775</t>
  </si>
  <si>
    <t>-622.493577898005 -130.829925644028 755.747478076149</t>
  </si>
  <si>
    <t>-500.619939852883 -202.067445877323 827.576110436959</t>
  </si>
  <si>
    <t>9763-20170724T105031.643269800.bin</t>
  </si>
  <si>
    <t>-756.879158255065 47.9997223235498 -531.877048143955</t>
  </si>
  <si>
    <t>-686.794471083366 76.6717772897241 -247.522910079282</t>
  </si>
  <si>
    <t>-448.8615848172 100.816500282419 -276.778138867305</t>
  </si>
  <si>
    <t>-705.695852449596 37.5634165538554 299.422828243514</t>
  </si>
  <si>
    <t>-725.845796239835 82.6835634228917 744.54392633731</t>
  </si>
  <si>
    <t>-582.702875996749 109.21068840616 806.943509874458</t>
  </si>
  <si>
    <t>-617.560031095993 -154.859914915595 308.533687264678</t>
  </si>
  <si>
    <t>-622.504582763243 -130.913952051556 755.757848022457</t>
  </si>
  <si>
    <t>-500.491392028715 -201.927579204084 827.570997188056</t>
  </si>
  <si>
    <t>9763-20170724T105031.708445400.bin</t>
  </si>
  <si>
    <t>-757.60475974808 48.0767270644792 -531.681664793688</t>
  </si>
  <si>
    <t>-687.294359584395 76.8243625457999 -247.390896316534</t>
  </si>
  <si>
    <t>-449.53726320979 100.059440061794 -278.736275231491</t>
  </si>
  <si>
    <t>-705.656760098244 37.5027127747057 299.48171331048</t>
  </si>
  <si>
    <t>-725.901048912669 82.6704382468845 744.59592042154</t>
  </si>
  <si>
    <t>-582.766540764778 109.217616893475 807.006526101635</t>
  </si>
  <si>
    <t>-617.435273089457 -154.904280182928 308.540918544337</t>
  </si>
  <si>
    <t>-622.48027324063 -130.920212792012 755.766147013779</t>
  </si>
  <si>
    <t>-500.419372023556 -201.856528790022 827.574781453397</t>
  </si>
  <si>
    <t>9763-20170724T105031.747052400.bin</t>
  </si>
  <si>
    <t>-757.928648495364 48.0918299848629 -531.567717296406</t>
  </si>
  <si>
    <t>-687.506555138671 76.7207840336259 -247.292616119777</t>
  </si>
  <si>
    <t>-449.875940578797 99.662768157398 -279.792273008716</t>
  </si>
  <si>
    <t>-705.668853869757 37.461567918346 299.525048471096</t>
  </si>
  <si>
    <t>-725.950509639554 82.7090125178881 744.634636632431</t>
  </si>
  <si>
    <t>-582.794021628139 109.125126456317 807.050079301897</t>
  </si>
  <si>
    <t>-617.263527368172 -155.010409934199 308.535919829345</t>
  </si>
  <si>
    <t>-622.560600238878 -131.251635047521 755.778785668359</t>
  </si>
  <si>
    <t>-500.27934773895 -201.82330644216 827.57175797606</t>
  </si>
  <si>
    <t>9763-20170724T105031.808225900.bin</t>
  </si>
  <si>
    <t>-758.286108270803 47.8898456364436 -531.397813795531</t>
  </si>
  <si>
    <t>-687.687557063701 76.0759409217217 -247.122221493488</t>
  </si>
  <si>
    <t>-450.215608035083 98.2210444160164 -281.290922369546</t>
  </si>
  <si>
    <t>-705.623499123065 37.3454440154965 299.643592417086</t>
  </si>
  <si>
    <t>-726.006450966247 82.69286436576 744.742916637921</t>
  </si>
  <si>
    <t>-582.820281444655 108.939185860107 807.162131530105</t>
  </si>
  <si>
    <t>-616.833991901941 -155.007723670058 308.516141242877</t>
  </si>
  <si>
    <t>-622.453298510929 -130.994503777701 755.747560707171</t>
  </si>
  <si>
    <t>-500.340830803895 -201.821043245621 827.576640263943</t>
  </si>
  <si>
    <t>9763-20170724T105031.845846300.bin</t>
  </si>
  <si>
    <t>-758.342929923548 47.6648501339134 -531.352703872447</t>
  </si>
  <si>
    <t>-687.729162204337 75.9422101553091 -247.090012282852</t>
  </si>
  <si>
    <t>-450.34878151461 97.5337628486297 -282.235332959801</t>
  </si>
  <si>
    <t>-705.600413231485 37.2210271552292 299.714672111957</t>
  </si>
  <si>
    <t>-726.004051784035 82.6212372755335 744.806030866498</t>
  </si>
  <si>
    <t>-582.82760923345 108.93173571146 807.220586415475</t>
  </si>
  <si>
    <t>-616.674641786335 -155.197379035286 308.530048071506</t>
  </si>
  <si>
    <t>-622.50804161787 -131.244189045251 755.759852912286</t>
  </si>
  <si>
    <t>-500.143131412291 -201.65267832615 827.570671516018</t>
  </si>
  <si>
    <t>9763-20170724T105031.908222500.bin</t>
  </si>
  <si>
    <t>-758.387259542235 47.4688282612269 -531.293098573899</t>
  </si>
  <si>
    <t>-687.883915308233 75.8165197429366 -247.009938286238</t>
  </si>
  <si>
    <t>-450.757803445687 96.4542135108593 -284.375009319246</t>
  </si>
  <si>
    <t>-705.555959929775 37.1038740984504 299.850255861681</t>
  </si>
  <si>
    <t>-726.074149900685 82.6119342194936 744.93709686571</t>
  </si>
  <si>
    <t>-582.883323877654 108.881643430706 807.33596420824</t>
  </si>
  <si>
    <t>-616.445383983322 -155.281076381576 308.555175577291</t>
  </si>
  <si>
    <t>-622.497985576743 -131.269066424503 755.757810307945</t>
  </si>
  <si>
    <t>-499.967124244085 -201.398475657003 827.558697557197</t>
  </si>
  <si>
    <t>9763-20170724T105031.944822400.bin</t>
  </si>
  <si>
    <t>-758.354400788745 47.5989769118396 -531.269688832887</t>
  </si>
  <si>
    <t>-688.03513633336 76.0072587158736 -246.946998216826</t>
  </si>
  <si>
    <t>-451.04553447713 96.0599428250011 -285.478175116838</t>
  </si>
  <si>
    <t>-705.45078158875 37.1306561638469 299.886796458011</t>
  </si>
  <si>
    <t>-726.068836107454 82.5357363030996 744.983260562378</t>
  </si>
  <si>
    <t>-582.89214215045 108.898351934373 807.37516860068</t>
  </si>
  <si>
    <t>-616.368032953271 -155.264776089119 308.568935814338</t>
  </si>
  <si>
    <t>-622.512771652528 -131.398474952803 755.755606149551</t>
  </si>
  <si>
    <t>-499.839657802269 -201.274008627286 827.560798178881</t>
  </si>
  <si>
    <t>9763-20170724T105032.012510500.bin</t>
  </si>
  <si>
    <t>-758.24380490657 48.0094491997279 -531.405999382793</t>
  </si>
  <si>
    <t>-688.850643257766 76.8217132573632 -246.896599059041</t>
  </si>
  <si>
    <t>-452.110548241249 95.2637039434233 -287.699712836826</t>
  </si>
  <si>
    <t>-705.182786536431 37.3995085433539 299.917297606958</t>
  </si>
  <si>
    <t>-726.098110589302 82.4746980970044 745.043511796581</t>
  </si>
  <si>
    <t>-582.935908045951 108.946778781905 807.422406521284</t>
  </si>
  <si>
    <t>-616.072399120507 -155.01048713682 308.550931706854</t>
  </si>
  <si>
    <t>-622.416279214652 -131.189663385056 755.735155523487</t>
  </si>
  <si>
    <t>-500.013628601733 -201.48617247267 827.591196979781</t>
  </si>
  <si>
    <t>9763-20170724T105032.047109600.bin</t>
  </si>
  <si>
    <t>-758.222312174247 48.0540700601734 -531.458056142142</t>
  </si>
  <si>
    <t>-689.344992038379 77.0325113962929 -246.839997392785</t>
  </si>
  <si>
    <t>-452.762167879544 94.6111009047916 -288.915934834289</t>
  </si>
  <si>
    <t>-705.031888503662 37.4638210218084 299.93281399812</t>
  </si>
  <si>
    <t>-726.130611188003 82.4716953327916 745.065178459985</t>
  </si>
  <si>
    <t>-582.961419940287 108.91886051786 807.438419802281</t>
  </si>
  <si>
    <t>-615.940109321462 -154.939996004898 308.544954872665</t>
  </si>
  <si>
    <t>-622.389495102844 -131.153051104076 755.727400047433</t>
  </si>
  <si>
    <t>-499.962534234579 -201.397987953958 827.592678717062</t>
  </si>
  <si>
    <t>9763-20170724T105032.111783200.bin</t>
  </si>
  <si>
    <t>-758.049538103827 47.9762172862338 -531.54991881067</t>
  </si>
  <si>
    <t>-690.169505996614 77.1459249606585 -246.711934238369</t>
  </si>
  <si>
    <t>-453.803995775558 93.2311921541962 -290.568965051478</t>
  </si>
  <si>
    <t>-704.843183175419 37.4928243834338 299.945061115435</t>
  </si>
  <si>
    <t>-726.158228904044 82.3989172377671 745.084559711937</t>
  </si>
  <si>
    <t>-582.994471048953 108.894276525636 807.450018059082</t>
  </si>
  <si>
    <t>-615.736969331749 -154.920014298607 308.549770247834</t>
  </si>
  <si>
    <t>-622.389339254354 -131.227600157276 755.730543228693</t>
  </si>
  <si>
    <t>-499.715650838541 -201.053382486698 827.583361650258</t>
  </si>
  <si>
    <t>9763-20170724T105032.139861400.bin</t>
  </si>
  <si>
    <t>-757.785952104541 48.0243761995264 -531.597570077861</t>
  </si>
  <si>
    <t>-690.521782462025 77.2310894464754 -246.617276697399</t>
  </si>
  <si>
    <t>-454.235626116685 92.7296380181833 -291.109170257242</t>
  </si>
  <si>
    <t>-704.81241216671 37.5686357929192 299.922586190872</t>
  </si>
  <si>
    <t>-726.185916811035 82.3960673554227 745.076272818284</t>
  </si>
  <si>
    <t>-583.017731535162 108.854679362487 807.447066790524</t>
  </si>
  <si>
    <t>-615.669637942611 -154.859405036671 308.562737825681</t>
  </si>
  <si>
    <t>-622.348452526074 -131.113853941084 755.727261743913</t>
  </si>
  <si>
    <t>-499.812394445334 -201.169741445591 827.590985864946</t>
  </si>
  <si>
    <t>9763-20170724T105032.186892700.bin</t>
  </si>
  <si>
    <t>-757.509765806262 48.0361834309438 -531.657847589978</t>
  </si>
  <si>
    <t>-690.947323764128 77.2206087105019 -246.510637683243</t>
  </si>
  <si>
    <t>-454.709475380282 92.2194968289605 -291.427520151839</t>
  </si>
  <si>
    <t>-704.792437066768 37.6502888608345 299.885867427021</t>
  </si>
  <si>
    <t>-726.218856273177 82.4088223590486 745.054127096454</t>
  </si>
  <si>
    <t>-583.058146227467 108.896302206772 807.42971606127</t>
  </si>
  <si>
    <t>-615.586793401349 -154.835038826621 308.573054670005</t>
  </si>
  <si>
    <t>-622.323835054003 -131.04719471794 755.732884024098</t>
  </si>
  <si>
    <t>-499.728103462561 -201.005184641879 827.590015938349</t>
  </si>
  <si>
    <t>9763-20170724T105032.306757200.bin</t>
  </si>
  <si>
    <t>-757.375481365448 48.0464823564423 -531.724492726059</t>
  </si>
  <si>
    <t>-691.504776173583 77.239205791692 -246.417448946175</t>
  </si>
  <si>
    <t>-455.281911571574 91.7462710604027 -291.574105456477</t>
  </si>
  <si>
    <t>-704.798747523974 37.6687033146632 299.845746244196</t>
  </si>
  <si>
    <t>-726.231130338681 82.376740554947 745.025801875191</t>
  </si>
  <si>
    <t>-583.077201560171 108.886183027648 807.40752905797</t>
  </si>
  <si>
    <t>-615.489284462211 -154.824632027237 308.575746833229</t>
  </si>
  <si>
    <t>-622.337997189047 -131.136693457616 755.742497526705</t>
  </si>
  <si>
    <t>-499.824468547929 -201.234702062671 827.603419085237</t>
  </si>
  <si>
    <t>9763-20170724T105032.345870600.bin</t>
  </si>
  <si>
    <t>-758.219458089548 47.1728865978268 -531.855359069893</t>
  </si>
  <si>
    <t>-694.772137647837 76.705040954175 -246.034636108028</t>
  </si>
  <si>
    <t>-458.522366479954 89.4560134223057 -291.579440379661</t>
  </si>
  <si>
    <t>-704.836865193732 37.5466393479808 299.657805967265</t>
  </si>
  <si>
    <t>-726.208296919722 82.1052300731819 744.85645495226</t>
  </si>
  <si>
    <t>-583.124267280636 108.915067525285 807.270472533912</t>
  </si>
  <si>
    <t>-615.150949266342 -154.791113777713 308.58479346387</t>
  </si>
  <si>
    <t>-622.195772866059 -130.807777869048 755.73093392953</t>
  </si>
  <si>
    <t>-499.631637149862 -200.830089606306 827.57950899818</t>
  </si>
  <si>
    <t>9763-20170724T105032.412075500.bin</t>
  </si>
  <si>
    <t>-759.300181728868 46.3236852696991 -531.841338969884</t>
  </si>
  <si>
    <t>-696.5499942691 76.2322311946282 -245.905867357304</t>
  </si>
  <si>
    <t>-460.381597452666 87.9650814271047 -292.141154449233</t>
  </si>
  <si>
    <t>-704.522303969568 37.2864103625291 299.579553033641</t>
  </si>
  <si>
    <t>-726.220879705964 82.0088523291286 744.766046104103</t>
  </si>
  <si>
    <t>-583.189980052274 109.071680033089 807.19249440214</t>
  </si>
  <si>
    <t>-614.764729805952 -154.886762629704 308.592815439794</t>
  </si>
  <si>
    <t>-622.145208838262 -130.710252896336 755.713384551371</t>
  </si>
  <si>
    <t>-499.743601072111 -201.003954555323 827.573912705589</t>
  </si>
  <si>
    <t>9763-20170724T105032.444189100.bin</t>
  </si>
  <si>
    <t>-759.974043877741 45.8329546441887 -531.814976325077</t>
  </si>
  <si>
    <t>-697.457266881617 76.0035847066388 -245.855998577984</t>
  </si>
  <si>
    <t>-461.352240907831 87.201138343434 -292.545667939433</t>
  </si>
  <si>
    <t>-704.311425045828 37.1812530459583 299.547993849506</t>
  </si>
  <si>
    <t>-726.239969909345 81.9742990546633 744.71698895766</t>
  </si>
  <si>
    <t>-583.203176914088 109.000028317521 807.145866609571</t>
  </si>
  <si>
    <t>-614.59526053519 -154.880359492683 308.601154825329</t>
  </si>
  <si>
    <t>-622.094166553346 -130.552432197453 755.707572620453</t>
  </si>
  <si>
    <t>-499.921580067462 -201.229218393858 827.582257574915</t>
  </si>
  <si>
    <t>9763-20170724T105032.508366900.bin</t>
  </si>
  <si>
    <t>-761.424353815013 44.7595388567254 -531.776337154624</t>
  </si>
  <si>
    <t>-699.336024394911 75.4419092993469 -245.778471113426</t>
  </si>
  <si>
    <t>-463.454716904401 85.8822246243187 -293.755895702686</t>
  </si>
  <si>
    <t>-703.913883367519 36.8847467536339 299.45807467062</t>
  </si>
  <si>
    <t>-726.243888666258 81.8311005768082 744.589681658795</t>
  </si>
  <si>
    <t>-583.244104113931 109.045462761982 807.0214291346</t>
  </si>
  <si>
    <t>-614.290102832561 -154.966528090244 308.635053376908</t>
  </si>
  <si>
    <t>-622.034274581119 -130.414391004166 755.7109222724</t>
  </si>
  <si>
    <t>-499.901316574932 -201.16075041871 827.58424604032</t>
  </si>
  <si>
    <t>9763-20170724T105032.543962200.bin</t>
  </si>
  <si>
    <t>-762.146601324168 44.0899574521882 -531.793278851401</t>
  </si>
  <si>
    <t>-700.305861525531 75.0719864343121 -245.77391684989</t>
  </si>
  <si>
    <t>-464.542322908041 85.1873936298457 -294.39614048882</t>
  </si>
  <si>
    <t>-703.730159302008 36.7004669251185 299.40056114616</t>
  </si>
  <si>
    <t>-726.249054199841 81.7711498888611 744.511900294291</t>
  </si>
  <si>
    <t>-583.264717581693 109.057016307675 806.947859953861</t>
  </si>
  <si>
    <t>-614.218863369257 -155.110233637411 308.650123096211</t>
  </si>
  <si>
    <t>-622.051404450046 -130.516764156075 755.714699619726</t>
  </si>
  <si>
    <t>-499.716647412489 -200.932782653269 827.56934151583</t>
  </si>
  <si>
    <t>9763-20170724T105032.609645900.bin</t>
  </si>
  <si>
    <t>-763.446181030283 42.8914470666518 -531.916665689681</t>
  </si>
  <si>
    <t>-702.348888240091 74.4201652293946 -245.797312166921</t>
  </si>
  <si>
    <t>-466.806525128098 83.8629817238768 -295.611579218259</t>
  </si>
  <si>
    <t>-703.437130348813 36.3784180428388 299.294513198467</t>
  </si>
  <si>
    <t>-726.279080129521 81.6948260379183 744.373655288149</t>
  </si>
  <si>
    <t>-583.30036750036 108.994571999451 806.816139143059</t>
  </si>
  <si>
    <t>-614.088706709284 -155.213772463284 308.645414725504</t>
  </si>
  <si>
    <t>-622.004204784593 -130.38904214416 755.707198566809</t>
  </si>
  <si>
    <t>-499.881307176586 -201.164408537492 827.569186333954</t>
  </si>
  <si>
    <t>9763-20170724T105032.644764500.bin</t>
  </si>
  <si>
    <t>-764.022157395911 42.3761454214339 -531.978528214138</t>
  </si>
  <si>
    <t>-703.364569184913 74.1628102390246 -245.794270580539</t>
  </si>
  <si>
    <t>-467.894846908046 83.2207793460377 -296.022283564811</t>
  </si>
  <si>
    <t>-703.375445667937 36.234961041225 299.2489423197</t>
  </si>
  <si>
    <t>-726.319303585342 81.7057173905514 744.306908007039</t>
  </si>
  <si>
    <t>-583.328712612563 108.934798537984 806.753607507899</t>
  </si>
  <si>
    <t>-614.087456499261 -155.319855633655 308.648388398395</t>
  </si>
  <si>
    <t>-621.981400778706 -130.303448641262 755.707496558479</t>
  </si>
  <si>
    <t>-499.7380088344 -200.888416335723 827.551771586513</t>
  </si>
  <si>
    <t>9763-20170724T105032.711936300.bin</t>
  </si>
  <si>
    <t>-764.836937744024 41.3259544141763 -532.065295164957</t>
  </si>
  <si>
    <t>-705.36915197615 73.5595370512815 -245.681274410077</t>
  </si>
  <si>
    <t>-469.917008567857 81.5935760634823 -296.165059961113</t>
  </si>
  <si>
    <t>-703.226752315256 35.8362497552334 299.179010611191</t>
  </si>
  <si>
    <t>-726.341809207657 81.6616974560186 744.174652302113</t>
  </si>
  <si>
    <t>-583.34058575756 108.806471019578 806.633572718807</t>
  </si>
  <si>
    <t>-614.159592454635 -155.736511857258 308.657659432902</t>
  </si>
  <si>
    <t>-622.046207058281 -130.589417557025 755.715963277941</t>
  </si>
  <si>
    <t>-499.516264252009 -200.703042408315 827.533801197842</t>
  </si>
  <si>
    <t>9763-20170724T105032.746030500.bin</t>
  </si>
  <si>
    <t>-765.080372903124 40.8312824630568 -532.112645627403</t>
  </si>
  <si>
    <t>-706.349964712401 73.2069385397342 -245.592454557692</t>
  </si>
  <si>
    <t>-470.85193440885 80.5751463373517 -295.964210717766</t>
  </si>
  <si>
    <t>-703.168387344947 35.6441861208061 299.156490572798</t>
  </si>
  <si>
    <t>-726.383823595359 81.6864429981172 744.122917306781</t>
  </si>
  <si>
    <t>-583.386886985855 108.847316997807 806.584801724563</t>
  </si>
  <si>
    <t>-614.250762308424 -155.881529136476 308.66554604644</t>
  </si>
  <si>
    <t>-622.044177452664 -130.597006511389 755.715207080853</t>
  </si>
  <si>
    <t>-499.573125385152 -200.80866183268 827.537694473656</t>
  </si>
  <si>
    <t>9763-20170724T105032.814009500.bin</t>
  </si>
  <si>
    <t>-765.554991033187 39.929485060891 -532.148699116745</t>
  </si>
  <si>
    <t>-708.642388748302 72.4675455533461 -245.280362154203</t>
  </si>
  <si>
    <t>-473.127344290058 79.1801748776568 -295.663588568854</t>
  </si>
  <si>
    <t>-703.11871321733 35.2364721834845 299.119928637737</t>
  </si>
  <si>
    <t>-726.398644394908 81.5901209853778 744.035242740042</t>
  </si>
  <si>
    <t>-583.417206365245 108.829045445561 806.498245137455</t>
  </si>
  <si>
    <t>-614.485154946169 -156.161898904982 308.677526222117</t>
  </si>
  <si>
    <t>-621.97541994772 -130.404771364139 755.70897454345</t>
  </si>
  <si>
    <t>-499.581517631128 -200.74297459267 827.539180952155</t>
  </si>
  <si>
    <t>9763-20170724T105032.839579900.bin</t>
  </si>
  <si>
    <t>-765.818253699352 39.647187500271 -532.116236284761</t>
  </si>
  <si>
    <t>-709.858985287269 71.9523037255522 -245.034181732064</t>
  </si>
  <si>
    <t>-474.331646321792 78.6457163682883 -295.362509285315</t>
  </si>
  <si>
    <t>-703.199252265263 35.0015623478455 299.115831789258</t>
  </si>
  <si>
    <t>-726.400156405097 81.5318621666988 744.000429995539</t>
  </si>
  <si>
    <t>-583.43383406106 108.847813034819 806.464416902567</t>
  </si>
  <si>
    <t>-614.64916708238 -156.289055704768 308.684956307561</t>
  </si>
  <si>
    <t>-621.959244163501 -130.352811648389 755.716006640471</t>
  </si>
  <si>
    <t>-499.493184372354 -200.577330729976 827.534545805228</t>
  </si>
  <si>
    <t>9763-20170724T105032.915807600.bin</t>
  </si>
  <si>
    <t>-766.378766646193 39.2913314020614 -531.866937623496</t>
  </si>
  <si>
    <t>-711.796895448818 70.9932331842397 -244.452618145804</t>
  </si>
  <si>
    <t>-476.26297413593 77.629686698793 -294.75767041482</t>
  </si>
  <si>
    <t>-703.576347729062 34.625932149117 299.105922575823</t>
  </si>
  <si>
    <t>-726.45690454137 81.5383353013654 743.948953362036</t>
  </si>
  <si>
    <t>-583.499694909064 108.892628940406 806.417118268649</t>
  </si>
  <si>
    <t>-615.049243117398 -156.633218066928 308.708376258748</t>
  </si>
  <si>
    <t>-622.000368451837 -130.494016516789 755.737209568536</t>
  </si>
  <si>
    <t>-499.400422281325 -200.516477925666 827.524664398891</t>
  </si>
  <si>
    <t>9763-20170724T105032.941378700.bin</t>
  </si>
  <si>
    <t>-766.589486082735 39.2178066096267 -531.711162270752</t>
  </si>
  <si>
    <t>-712.665686502133 70.7847466974392 -244.157658035464</t>
  </si>
  <si>
    <t>-477.054434637628 76.6892862962859 -294.191086539337</t>
  </si>
  <si>
    <t>-703.832305794033 34.4507795599875 299.08554242774</t>
  </si>
  <si>
    <t>-726.452159282604 81.4917240235586 743.923037943783</t>
  </si>
  <si>
    <t>-583.499656280706 108.855518754048 806.398061513572</t>
  </si>
  <si>
    <t>-615.273853419402 -156.848640602946 308.716779664455</t>
  </si>
  <si>
    <t>-622.038856997962 -130.661425220944 755.743702718462</t>
  </si>
  <si>
    <t>-499.368206300713 -200.571278268441 827.519689517927</t>
  </si>
  <si>
    <t>9763-20170724T105033.013575400.bin</t>
  </si>
  <si>
    <t>-766.965205906331 39.0792269003582 -531.318577044802</t>
  </si>
  <si>
    <t>-713.911743375359 70.2301743282576 -243.557972856616</t>
  </si>
  <si>
    <t>-478.232746874454 74.9023110012406 -293.402159359075</t>
  </si>
  <si>
    <t>-704.307036424649 34.0809809405191 299.082628992747</t>
  </si>
  <si>
    <t>-726.464705309683 81.4379824739979 743.904811663401</t>
  </si>
  <si>
    <t>-583.541442050029 108.906303746851 806.400618552887</t>
  </si>
  <si>
    <t>-615.62865520809 -157.135644709568 308.708448599143</t>
  </si>
  <si>
    <t>-622.035312079242 -130.663668119521 755.746459043616</t>
  </si>
  <si>
    <t>-499.302060191864 -200.483766203017 827.502895821959</t>
  </si>
  <si>
    <t>9763-20170724T105033.042654700.bin</t>
  </si>
  <si>
    <t>-767.11831534876 39.1190004753166 -531.042833627966</t>
  </si>
  <si>
    <t>-714.274266548224 69.7907892347027 -243.19222743104</t>
  </si>
  <si>
    <t>-478.563110235484 74.214517547771 -292.90745960453</t>
  </si>
  <si>
    <t>-704.526463674254 33.9002691763812 299.104482390552</t>
  </si>
  <si>
    <t>-726.463187469802 81.3919349871471 743.913847431373</t>
  </si>
  <si>
    <t>-583.557593458049 108.935505921751 806.416937762932</t>
  </si>
  <si>
    <t>-615.790676982888 -157.197728844197 308.706339884326</t>
  </si>
  <si>
    <t>-621.996061872176 -130.526185743169 755.743434195787</t>
  </si>
  <si>
    <t>-499.395373514954 -200.581445747815 827.497353781699</t>
  </si>
  <si>
    <t>9763-20170724T105033.110782100.bin</t>
  </si>
  <si>
    <t>-767.267981151055 39.2991217923111 -530.501838188855</t>
  </si>
  <si>
    <t>-714.676784224161 69.2979284422831 -242.533965329537</t>
  </si>
  <si>
    <t>-478.810857089655 72.2115502543259 -291.622351759846</t>
  </si>
  <si>
    <t>-704.91227919548 33.5454534286023 299.184478355588</t>
  </si>
  <si>
    <t>-726.487404519412 81.3260434862173 743.963532846321</t>
  </si>
  <si>
    <t>-583.597151097207 108.935515160276 806.472732394897</t>
  </si>
  <si>
    <t>-616.216396888728 -157.486454095048 308.719650242171</t>
  </si>
  <si>
    <t>-622.028174415039 -130.637953376434 755.7612363433</t>
  </si>
  <si>
    <t>-499.336305964633 -200.56591996229 827.483523130521</t>
  </si>
  <si>
    <t>9763-20170724T105033.142883600.bin</t>
  </si>
  <si>
    <t>-767.282030804079 39.3955501624341 -530.373578354162</t>
  </si>
  <si>
    <t>-714.96780800665 69.1732412364304 -242.332471181226</t>
  </si>
  <si>
    <t>-479.043136267316 71.3777102716572 -291.174553738012</t>
  </si>
  <si>
    <t>-705.115717299124 33.4018612927664 299.235045627212</t>
  </si>
  <si>
    <t>-726.542891085961 81.3712962709458 743.999975135714</t>
  </si>
  <si>
    <t>-583.626102122584 108.83582264213 806.512396807163</t>
  </si>
  <si>
    <t>-616.440124599403 -157.679742933053 308.723939221931</t>
  </si>
  <si>
    <t>-622.069790340239 -130.804473480852 755.770718881449</t>
  </si>
  <si>
    <t>-499.10094548765 -200.272810566704 827.465356347071</t>
  </si>
  <si>
    <t>9763-20170724T105033.209577300.bin</t>
  </si>
  <si>
    <t>-766.928092291757 39.751913811906 -530.22273657577</t>
  </si>
  <si>
    <t>-715.296909482776 69.0542936829909 -242.009682542225</t>
  </si>
  <si>
    <t>-479.220634441548 69.9363448980378 -290.156081874321</t>
  </si>
  <si>
    <t>-705.477021828406 33.2090540017462 299.363745481114</t>
  </si>
  <si>
    <t>-726.650214290738 81.4599078528258 744.092884850337</t>
  </si>
  <si>
    <t>-583.699816493907 108.735887917812 806.610888420122</t>
  </si>
  <si>
    <t>-616.754745369697 -157.779799744247 308.738047455662</t>
  </si>
  <si>
    <t>-622.055936812624 -130.761356300715 755.7867686699</t>
  </si>
  <si>
    <t>-499.039714771197 -200.170183441324 827.457929908982</t>
  </si>
  <si>
    <t>9763-20170724T105033.245176900.bin</t>
  </si>
  <si>
    <t>-766.576837517358 39.9687616438571 -530.199128972028</t>
  </si>
  <si>
    <t>-715.372380755319 68.9717389399716 -241.879672176313</t>
  </si>
  <si>
    <t>-479.251922127463 69.3468579019197 -289.816084768498</t>
  </si>
  <si>
    <t>-705.595545757637 33.1540530029968 299.420179240104</t>
  </si>
  <si>
    <t>-726.660742052387 81.4214193287219 744.15347307729</t>
  </si>
  <si>
    <t>-583.718425748163 108.759704612432 806.662846066476</t>
  </si>
  <si>
    <t>-616.864905660512 -157.818611714042 308.740644954327</t>
  </si>
  <si>
    <t>-622.073878726023 -130.866520594269 755.793154880081</t>
  </si>
  <si>
    <t>-498.872722043407 -199.962245358995 827.448879895183</t>
  </si>
  <si>
    <t>9763-20170724T105033.311955500.bin</t>
  </si>
  <si>
    <t>-765.888186945962 40.6365905784726 -530.19441046077</t>
  </si>
  <si>
    <t>-715.338841337317 69.2291373983085 -241.718395610583</t>
  </si>
  <si>
    <t>-479.09461333384 68.1692498013354 -289.030056540242</t>
  </si>
  <si>
    <t>-705.874557972083 33.3251039889026 299.518182933413</t>
  </si>
  <si>
    <t>-726.73016890393 81.4614447800718 744.264625322124</t>
  </si>
  <si>
    <t>-583.73076313287 108.51216739693 806.768386105874</t>
  </si>
  <si>
    <t>-616.893379161284 -157.582161631923 308.728536751249</t>
  </si>
  <si>
    <t>-622.006703426169 -130.700971965348 755.783704035915</t>
  </si>
  <si>
    <t>-499.157843481723 -200.388941163439 827.470685414543</t>
  </si>
  <si>
    <t>9763-20170724T105033.345048300.bin</t>
  </si>
  <si>
    <t>-765.518421278802 41.0137166777104 -530.188069260225</t>
  </si>
  <si>
    <t>-715.181953693157 69.6200629469517 -241.676118045587</t>
  </si>
  <si>
    <t>-478.857079347964 67.5281140360667 -288.548397768879</t>
  </si>
  <si>
    <t>-706.053581877983 33.4743577767229 299.568934234889</t>
  </si>
  <si>
    <t>-726.775164436272 81.509484744756 744.324351405036</t>
  </si>
  <si>
    <t>-583.761135889823 108.488467734077 806.825687120598</t>
  </si>
  <si>
    <t>-616.886587548556 -157.422328888639 308.714684163372</t>
  </si>
  <si>
    <t>-622.003931796587 -130.71943347729 755.783034607343</t>
  </si>
  <si>
    <t>-499.190681478304 -200.46669313079 827.47336631826</t>
  </si>
  <si>
    <t>9763-20170724T105033.409216900.bin</t>
  </si>
  <si>
    <t>-764.796129560734 41.6627210863383 -530.25297687947</t>
  </si>
  <si>
    <t>-714.80823614575 70.3572080817166 -241.689089191127</t>
  </si>
  <si>
    <t>-478.378701111576 66.4116928225631 -287.91021457176</t>
  </si>
  <si>
    <t>-706.417277821096 33.7546551267344 299.644076713217</t>
  </si>
  <si>
    <t>-726.807115874488 81.5010341981542 744.451780392675</t>
  </si>
  <si>
    <t>-583.77145032504 108.384831681723 806.945016161735</t>
  </si>
  <si>
    <t>-616.812522895216 -157.208947462109 308.684894440661</t>
  </si>
  <si>
    <t>-621.997733180177 -130.811039952703 755.768445327227</t>
  </si>
  <si>
    <t>-499.001486820673 -200.236253138099 827.457792766202</t>
  </si>
  <si>
    <t>9763-20170724T105033.447320300.bin</t>
  </si>
  <si>
    <t>-764.476719164179 41.9678525425727 -530.298588838976</t>
  </si>
  <si>
    <t>-714.486018023745 70.6636322930315 -241.735441724322</t>
  </si>
  <si>
    <t>-477.992489566516 65.889224285693 -287.549054558084</t>
  </si>
  <si>
    <t>-706.560942661741 33.8995133624585 299.682214757466</t>
  </si>
  <si>
    <t>-726.840749015844 81.5371413461185 744.520625429361</t>
  </si>
  <si>
    <t>-583.810224227507 108.451963238069 807.011985280279</t>
  </si>
  <si>
    <t>-616.744359717518 -157.072830871346 308.65786913165</t>
  </si>
  <si>
    <t>-621.987892299536 -130.818549061591 755.754699758765</t>
  </si>
  <si>
    <t>-498.899704541863 -200.081317344197 827.443319682167</t>
  </si>
  <si>
    <t>9763-20170724T105033.513026300.bin</t>
  </si>
  <si>
    <t>-763.688727005444 42.8921251461911 -530.35638418559</t>
  </si>
  <si>
    <t>-713.634839742303 71.4548376004939 -241.790974672815</t>
  </si>
  <si>
    <t>-476.939823611601 65.0212048462647 -286.343690725382</t>
  </si>
  <si>
    <t>-706.737595968864 34.39626861177 299.760748841653</t>
  </si>
  <si>
    <t>-726.932185301012 81.6509136939685 744.657534633001</t>
  </si>
  <si>
    <t>-583.845363217071 108.25798996168 807.151652808898</t>
  </si>
  <si>
    <t>-616.607596398046 -156.625826342253 308.627393995013</t>
  </si>
  <si>
    <t>-621.931120922734 -130.609637278367 755.735573548002</t>
  </si>
  <si>
    <t>-498.975197133874 -200.09467809859 827.436030074063</t>
  </si>
  <si>
    <t>9763-20170724T105033.543110600.bin</t>
  </si>
  <si>
    <t>-763.203212497235 43.5203431780253 -530.351786744718</t>
  </si>
  <si>
    <t>-713.238596985502 71.9613488685795 -241.758782840965</t>
  </si>
  <si>
    <t>-476.430117112942 64.7978274223642 -285.591193943435</t>
  </si>
  <si>
    <t>-706.817206822554 34.6746760453573 299.796992794355</t>
  </si>
  <si>
    <t>-726.961753602083 81.676638015557 744.725192926978</t>
  </si>
  <si>
    <t>-583.857601967367 108.200485223483 807.2151361279</t>
  </si>
  <si>
    <t>-616.555544957405 -156.430732733031 308.619468530372</t>
  </si>
  <si>
    <t>-621.942546727791 -130.667001333419 755.736693544428</t>
  </si>
  <si>
    <t>-498.937897085982 -200.067006656221 827.436009913641</t>
  </si>
  <si>
    <t>9763-20170724T105033.609511200.bin</t>
  </si>
  <si>
    <t>-762.240866699541 44.8304522328015 -530.376832001164</t>
  </si>
  <si>
    <t>-712.779486357998 73.0386145819532 -241.67442187599</t>
  </si>
  <si>
    <t>-475.78242595997 64.5917731026354 -284.240488838613</t>
  </si>
  <si>
    <t>-706.866745583275 35.1606627126439 299.876907308694</t>
  </si>
  <si>
    <t>-726.999875957926 81.6852998122865 744.858673939792</t>
  </si>
  <si>
    <t>-583.889677370489 108.178317509184 807.347547197552</t>
  </si>
  <si>
    <t>-616.40761421159 -156.027463489647 308.596879539378</t>
  </si>
  <si>
    <t>-621.907216179312 -130.553315636832 755.728834982242</t>
  </si>
  <si>
    <t>-498.871764652239 -199.89242345322 827.434288095035</t>
  </si>
  <si>
    <t>9763-20170724T105033.648622800.bin</t>
  </si>
  <si>
    <t>-761.741650663788 45.4060949695565 -530.42127975952</t>
  </si>
  <si>
    <t>-712.651602008674 73.4522470066265 -241.6397491454</t>
  </si>
  <si>
    <t>-475.628434714284 64.3404381192756 -283.923040469028</t>
  </si>
  <si>
    <t>-706.862373073274 35.3573882561689 299.922901561018</t>
  </si>
  <si>
    <t>-727.04497281245 81.7336732072097 744.925581202794</t>
  </si>
  <si>
    <t>-583.912282201932 108.114355954561 807.410614908771</t>
  </si>
  <si>
    <t>-616.33710479212 -155.959288027974 308.593362357773</t>
  </si>
  <si>
    <t>-621.959910569047 -130.789621447682 755.739766801411</t>
  </si>
  <si>
    <t>-498.734337912999 -199.796497394392 827.439055051169</t>
  </si>
  <si>
    <t>9763-20170724T105033.713799600.bin</t>
  </si>
  <si>
    <t>-760.467723668046 46.711554228194 -530.559853278472</t>
  </si>
  <si>
    <t>-711.977488740335 74.5716628156631 -241.658986824292</t>
  </si>
  <si>
    <t>-474.963346689771 64.2384196898906 -283.711156872069</t>
  </si>
  <si>
    <t>-706.81395390234 35.8445422443936 299.983908768855</t>
  </si>
  <si>
    <t>-727.0438320486 81.6576090701319 745.031847853359</t>
  </si>
  <si>
    <t>-583.941712918076 108.239162738386 807.502091795693</t>
  </si>
  <si>
    <t>-616.150248331147 -155.506873169416 308.576460681093</t>
  </si>
  <si>
    <t>-621.908682387792 -130.689891777667 755.724446563932</t>
  </si>
  <si>
    <t>-498.932263830536 -200.093410522125 827.468875748171</t>
  </si>
  <si>
    <t>9763-20170724T105033.745895500.bin</t>
  </si>
  <si>
    <t>-759.789641916453 47.4459677953853 -530.634831248294</t>
  </si>
  <si>
    <t>-711.445554865697 75.2748855291661 -241.706592703384</t>
  </si>
  <si>
    <t>-474.478580651317 64.253709513077 -283.850039310891</t>
  </si>
  <si>
    <t>-706.796045632716 36.2021148333722 299.997523931471</t>
  </si>
  <si>
    <t>-727.103361645312 81.751137555784 745.072827415241</t>
  </si>
  <si>
    <t>-583.951787397147 108.062158020395 807.544068333808</t>
  </si>
  <si>
    <t>-615.951477201003 -155.142584774983 308.562699121108</t>
  </si>
  <si>
    <t>-621.827178858285 -130.427485199225 755.710206186366</t>
  </si>
  <si>
    <t>-499.056646854136 -200.165834451638 827.482431623563</t>
  </si>
  <si>
    <t>9763-20170724T105033.809575700.bin</t>
  </si>
  <si>
    <t>-758.781953090844 48.7421066106303 -530.72453187968</t>
  </si>
  <si>
    <t>-710.505662259501 76.4494878073406 -241.773241123664</t>
  </si>
  <si>
    <t>-473.700185683078 64.1929066822734 -284.479573317328</t>
  </si>
  <si>
    <t>-706.772271424736 36.8644979371038 300.003859569871</t>
  </si>
  <si>
    <t>-727.152832847825 81.8014996910908 745.142473510507</t>
  </si>
  <si>
    <t>-583.979127795074 107.995868802238 807.612226496416</t>
  </si>
  <si>
    <t>-615.47652290074 -154.503427238147 308.525490366855</t>
  </si>
  <si>
    <t>-621.732234869455 -130.185133408878 755.681018555486</t>
  </si>
  <si>
    <t>-499.22937515846 -200.34838819179 827.496457426621</t>
  </si>
  <si>
    <t>9763-20170724T105033.842157900.bin</t>
  </si>
  <si>
    <t>-758.420163981386 49.274142216454 -530.732934307936</t>
  </si>
  <si>
    <t>-710.05108212692 76.9739972159343 -241.796431560518</t>
  </si>
  <si>
    <t>-473.344509156995 64.0224239583599 -284.843997755883</t>
  </si>
  <si>
    <t>-706.672670688633 37.1701836852405 299.995971338525</t>
  </si>
  <si>
    <t>-727.154065580097 81.7813342543311 745.167468008794</t>
  </si>
  <si>
    <t>-583.987379830091 108.005953088058 807.640400875158</t>
  </si>
  <si>
    <t>-615.153653597538 -154.227327004926 308.503130865773</t>
  </si>
  <si>
    <t>-621.697151723854 -130.110062645235 755.665115726065</t>
  </si>
  <si>
    <t>-499.236078614852 -200.332566802513 827.493919076224</t>
  </si>
  <si>
    <t>9763-20170724T105033.913573500.bin</t>
  </si>
  <si>
    <t>-758.02519028474 50.0379851990458 -530.768192927591</t>
  </si>
  <si>
    <t>-709.599058596884 77.7518167244641 -241.842333159452</t>
  </si>
  <si>
    <t>-473.118347282084 63.5797657476114 -285.738759123619</t>
  </si>
  <si>
    <t>-706.297140770409 37.6416586695432 299.991132995084</t>
  </si>
  <si>
    <t>-727.128973920237 81.6770086872345 745.222470137162</t>
  </si>
  <si>
    <t>-584.008422055648 108.170777560315 807.68758850491</t>
  </si>
  <si>
    <t>-614.449861537793 -153.766775462479 308.453061441742</t>
  </si>
  <si>
    <t>-621.647237503176 -130.045868141731 755.629533371344</t>
  </si>
  <si>
    <t>-499.129318261516 -200.145935461015 827.480873183942</t>
  </si>
  <si>
    <t>9763-20170724T105033.946170500.bin</t>
  </si>
  <si>
    <t>-757.889538822636 50.3385350315491 -530.742393851357</t>
  </si>
  <si>
    <t>-709.437963454862 78.0141952843037 -241.817346571599</t>
  </si>
  <si>
    <t>-473.070139629728 63.4186327651321 -286.180149794988</t>
  </si>
  <si>
    <t>-712.135533260033 0.0982628613601264 -101.759270784821</t>
  </si>
  <si>
    <t>-705.95561164807 37.8438130861241 299.976585527371</t>
  </si>
  <si>
    <t>-727.095506399767 81.5880746767855 745.230283374064</t>
  </si>
  <si>
    <t>-583.995287967991 108.184130529696 807.698792618096</t>
  </si>
  <si>
    <t>-614.03782592363 -153.467813621621 308.43625282388</t>
  </si>
  <si>
    <t>-621.578947006105 -129.830777966077 755.609395646419</t>
  </si>
  <si>
    <t>-499.18868538678 -200.135118321678 827.478846296235</t>
  </si>
  <si>
    <t>9763-20170724T105034.013848600.bin</t>
  </si>
  <si>
    <t>-757.815056760438 50.8451528209912 -530.672936916606</t>
  </si>
  <si>
    <t>-709.454200263182 78.440847835006 -241.7250512986</t>
  </si>
  <si>
    <t>-473.351501793003 63.7049925543927 -287.43333129166</t>
  </si>
  <si>
    <t>-711.799560635588 0.717457255424733 -101.802743040452</t>
  </si>
  <si>
    <t>-705.361235815516 38.1583936163734 299.957667087537</t>
  </si>
  <si>
    <t>-727.134123715036 81.5844255610889 745.224375699595</t>
  </si>
  <si>
    <t>-584.039671240828 108.209425451285 807.693372554579</t>
  </si>
  <si>
    <t>-613.229525214291 -153.132392887622 308.403791320338</t>
  </si>
  <si>
    <t>-621.599755724029 -130.016244677417 755.577820423195</t>
  </si>
  <si>
    <t>-498.926952498506 -199.827768235062 827.44581769472</t>
  </si>
  <si>
    <t>9763-20170724T105034.040923700.bin</t>
  </si>
  <si>
    <t>-757.945392529082 51.1099482654874 -530.678145794077</t>
  </si>
  <si>
    <t>-709.66865763088 78.6569352942913 -241.711469950351</t>
  </si>
  <si>
    <t>-473.780688584239 64.0596175238495 -288.558144788544</t>
  </si>
  <si>
    <t>-711.776234951314 1.053227497634 -101.833991961151</t>
  </si>
  <si>
    <t>-705.230153309502 38.3471924537732 299.938336707342</t>
  </si>
  <si>
    <t>-727.145735744194 81.5670668408777 745.215843086046</t>
  </si>
  <si>
    <t>-584.062367313972 108.248201698885 807.686178308597</t>
  </si>
  <si>
    <t>-612.84346089452 -152.870882333582 308.380801606538</t>
  </si>
  <si>
    <t>-621.549524826303 -129.875622096211 755.555343689585</t>
  </si>
  <si>
    <t>-499.095726594134 -200.047932749593 827.445738388412</t>
  </si>
  <si>
    <t>9763-20170724T105034.108999200.bin</t>
  </si>
  <si>
    <t>-758.557994561167 51.6241722063344 -530.738203474877</t>
  </si>
  <si>
    <t>-709.988118263621 79.6071410233867 -241.862668162368</t>
  </si>
  <si>
    <t>-474.757334308757 64.8718858182874 -291.864609345732</t>
  </si>
  <si>
    <t>-711.938464418973 1.75983273545535 -101.902142930957</t>
  </si>
  <si>
    <t>-705.482002212276 38.7113604525916 299.903241885992</t>
  </si>
  <si>
    <t>-727.163003900207 81.5585798423299 745.205794814094</t>
  </si>
  <si>
    <t>-584.077435031056 108.177011526802 807.697697943971</t>
  </si>
  <si>
    <t>-612.238687225089 -152.370893323118 308.318750907627</t>
  </si>
  <si>
    <t>-621.50352915741 -129.763679143542 755.514654817594</t>
  </si>
  <si>
    <t>-499.063914861677 -199.948845373149 827.416672003878</t>
  </si>
  <si>
    <t>9763-20170724T105034.141588500.bin</t>
  </si>
  <si>
    <t>-758.812192293786 51.6769435538565 -530.769463049405</t>
  </si>
  <si>
    <t>-709.969328011321 79.9085170022499 -241.964028398471</t>
  </si>
  <si>
    <t>-475.186681222119 65.0885408970944 -294.006017412942</t>
  </si>
  <si>
    <t>-712.05971652682 1.93107646040266 -101.932876170916</t>
  </si>
  <si>
    <t>-705.651820984608 38.7480592670529 299.885676361514</t>
  </si>
  <si>
    <t>-727.120794944456 81.4847149871296 745.208933299286</t>
  </si>
  <si>
    <t>-584.05289889068 108.137082159616 807.727356467687</t>
  </si>
  <si>
    <t>-612.019121817131 -152.346048064054 308.288723973976</t>
  </si>
  <si>
    <t>-621.559772774316 -129.962337654056 755.502898265467</t>
  </si>
  <si>
    <t>-498.765151746868 -199.558277454737 827.372024897365</t>
  </si>
  <si>
    <t>9763-20170724T105034.209270900.bin</t>
  </si>
  <si>
    <t>-759.279710177248 52.0532997981716 -530.849551849239</t>
  </si>
  <si>
    <t>-709.416661725574 80.7006758778068 -242.259503071058</t>
  </si>
  <si>
    <t>-475.805260584486 65.5619462870263 -299.24596180513</t>
  </si>
  <si>
    <t>-712.348560512924 2.32010271113427 -101.944864894441</t>
  </si>
  <si>
    <t>-705.788151732728 38.9038267298133 299.892563254606</t>
  </si>
  <si>
    <t>-727.112678128891 81.40214579645 745.27435993919</t>
  </si>
  <si>
    <t>-584.064638727576 108.148824099389 807.79795184162</t>
  </si>
  <si>
    <t>-611.442869062759 -151.963683420871 308.24104891658</t>
  </si>
  <si>
    <t>-621.520821545227 -129.784849813359 755.467842683347</t>
  </si>
  <si>
    <t>-498.762545928028 -199.452449998887 827.329813302474</t>
  </si>
  <si>
    <t>9763-20170724T105034.243379600.bin</t>
  </si>
  <si>
    <t>-759.572162122043 52.2137097235041 -530.886500943666</t>
  </si>
  <si>
    <t>-708.769594311077 81.1709313128463 -242.491404480081</t>
  </si>
  <si>
    <t>-475.927037078139 65.8507758925045 -302.495721899446</t>
  </si>
  <si>
    <t>-712.529019822299 2.52383122466358 -101.930703639602</t>
  </si>
  <si>
    <t>-705.913103189153 39.0095382045649 299.914691880909</t>
  </si>
  <si>
    <t>-727.169934108006 81.4687840968729 745.31430523996</t>
  </si>
  <si>
    <t>-584.099008846688 108.096642552664 807.83618758346</t>
  </si>
  <si>
    <t>-611.128475933912 -151.890030760235 308.234313184526</t>
  </si>
  <si>
    <t>-621.531373417935 -129.830508516687 755.451770116366</t>
  </si>
  <si>
    <t>-498.646487474424 -199.281254827761 827.307273939453</t>
  </si>
  <si>
    <t>9763-20170724T105034.310566900.bin</t>
  </si>
  <si>
    <t>-760.030089232331 52.5151554948145 -530.872116276994</t>
  </si>
  <si>
    <t>-706.787221964437 82.1209174663466 -242.983397133124</t>
  </si>
  <si>
    <t>-475.505951003547 66.2005668554677 -308.60652892346</t>
  </si>
  <si>
    <t>-712.566025490587 2.87927140894885 -101.896546054974</t>
  </si>
  <si>
    <t>-705.977606562351 39.1628102071393 299.967574696639</t>
  </si>
  <si>
    <t>-727.223222203696 81.4798061086972 745.385442174926</t>
  </si>
  <si>
    <t>-584.1351050657 108.041067679692 807.896131452645</t>
  </si>
  <si>
    <t>-610.678550000868 -151.54830695721 308.215014489959</t>
  </si>
  <si>
    <t>-621.486294456656 -129.684439530111 755.41241071858</t>
  </si>
  <si>
    <t>-498.683504568139 -199.254253685871 827.292763514569</t>
  </si>
  <si>
    <t>9763-20170724T105034.343164300.bin</t>
  </si>
  <si>
    <t>-760.148285335504 52.6530224710943 -530.878438356414</t>
  </si>
  <si>
    <t>-705.735697770118 82.7640463065584 -243.260897884605</t>
  </si>
  <si>
    <t>-475.148595415746 66.4018875369175 -311.178494167028</t>
  </si>
  <si>
    <t>-712.57391903157 3.01172159992166 -101.880199013395</t>
  </si>
  <si>
    <t>-706.077720473738 39.1884865870907 299.995065611368</t>
  </si>
  <si>
    <t>-727.24623490626 81.4715676188769 745.420765048548</t>
  </si>
  <si>
    <t>-584.144713035415 107.981406072331 807.922604244522</t>
  </si>
  <si>
    <t>-610.556868316037 -151.484150407762 308.212128775058</t>
  </si>
  <si>
    <t>-621.497582879668 -129.72470612257 755.402188586667</t>
  </si>
  <si>
    <t>-498.650773795748 -199.215567386604 827.283982165682</t>
  </si>
  <si>
    <t>9763-20170724T105034.408841700.bin</t>
  </si>
  <si>
    <t>-760.223626692798 53.1543116172488 -530.998250722159</t>
  </si>
  <si>
    <t>-704.27941844641 84.1546268846316 -243.769455294587</t>
  </si>
  <si>
    <t>-474.464063072164 67.104056929463 -314.090445620394</t>
  </si>
  <si>
    <t>-712.547002194481 3.42284518449105 -101.881096042699</t>
  </si>
  <si>
    <t>-706.199497541017 39.3765823099095 300.016538309265</t>
  </si>
  <si>
    <t>-727.290015970353 81.456667131931 745.472432170872</t>
  </si>
  <si>
    <t>-584.17826668974 107.940585044228 807.961859023673</t>
  </si>
  <si>
    <t>-610.377351075754 -151.216599742721 308.198530317927</t>
  </si>
  <si>
    <t>-621.453342270247 -129.527145344279 755.384189696475</t>
  </si>
  <si>
    <t>-498.650611148574 -199.081802891211 827.279685819601</t>
  </si>
  <si>
    <t>9763-20170724T105034.446442700.bin</t>
  </si>
  <si>
    <t>-760.067657585962 53.4329241518217 -531.060840853717</t>
  </si>
  <si>
    <t>-703.721811330051 84.5906440539115 -243.927507284444</t>
  </si>
  <si>
    <t>-474.139079223241 67.2090415043538 -314.923711118878</t>
  </si>
  <si>
    <t>-712.458601487753 3.56748400076822 -101.88612758018</t>
  </si>
  <si>
    <t>-706.171011618684 39.454773898841 300.018338085904</t>
  </si>
  <si>
    <t>-727.280437054307 81.4056968493994 745.488011132259</t>
  </si>
  <si>
    <t>-584.181877933548 107.957737710246 807.978564928797</t>
  </si>
  <si>
    <t>-610.320572326692 -151.075693586418 308.187791617038</t>
  </si>
  <si>
    <t>-621.445855761177 -129.46486057119 755.382491590083</t>
  </si>
  <si>
    <t>-498.844567533214 -199.358467840187 827.292926958235</t>
  </si>
  <si>
    <t>9763-20170724T105034.509667000.bin</t>
  </si>
  <si>
    <t>-759.359766092679 54.0782262041312 -531.160709627968</t>
  </si>
  <si>
    <t>-702.658691384686 85.1245122470834 -244.085207651823</t>
  </si>
  <si>
    <t>-473.384804518921 67.0538730836597 -315.903202180559</t>
  </si>
  <si>
    <t>-712.265328167711 3.85159466823734 -101.8945019171</t>
  </si>
  <si>
    <t>-706.021780543763 39.6130540711954 300.021844273232</t>
  </si>
  <si>
    <t>-727.33918604062 81.4449340743338 745.499468589808</t>
  </si>
  <si>
    <t>-584.2000699696 107.750335162532 808.00154857332</t>
  </si>
  <si>
    <t>-610.17721670858 -150.913436307722 308.198309252934</t>
  </si>
  <si>
    <t>-621.443130344047 -129.387982935784 755.385200670184</t>
  </si>
  <si>
    <t>-498.949907692502 -199.458805814899 827.307140323255</t>
  </si>
  <si>
    <t>9763-20170724T105034.547264800.bin</t>
  </si>
  <si>
    <t>-758.797637545123 54.3951556826985 -531.189554915024</t>
  </si>
  <si>
    <t>-702.000359345962 85.3357097587595 -244.121675521674</t>
  </si>
  <si>
    <t>-472.805051093029 66.8170090287408 -316.076146791648</t>
  </si>
  <si>
    <t>-712.106104542011 3.94063830900313 -101.903949873355</t>
  </si>
  <si>
    <t>-705.857777456102 39.6596265638345 300.016198472984</t>
  </si>
  <si>
    <t>-727.345050846216 81.4252202153389 745.497596611441</t>
  </si>
  <si>
    <t>-584.211035024914 107.742364964495 808.006314812516</t>
  </si>
  <si>
    <t>-610.131369379205 -150.907803445614 308.208971110608</t>
  </si>
  <si>
    <t>-621.441158345074 -129.339601691966 755.393182984553</t>
  </si>
  <si>
    <t>-498.876973201504 -199.293167724634 827.30842890477</t>
  </si>
  <si>
    <t>9763-20170724T105034.611442200.bin</t>
  </si>
  <si>
    <t>-758.052493941151 54.8974678816396 -531.313870165195</t>
  </si>
  <si>
    <t>-701.18715392375 86.2256886744462 -244.301573675419</t>
  </si>
  <si>
    <t>-471.991139273995 66.2047137059415 -315.850286518381</t>
  </si>
  <si>
    <t>-711.759830566148 4.26927677019808 -101.925294146255</t>
  </si>
  <si>
    <t>-705.670253276941 39.8688366239433 300.00789861586</t>
  </si>
  <si>
    <t>-727.40146151897 81.4389173679992 745.490673045046</t>
  </si>
  <si>
    <t>-584.238436318043 107.607595152304 807.995278210787</t>
  </si>
  <si>
    <t>-610.117655189942 -150.729468535091 308.240914882991</t>
  </si>
  <si>
    <t>-621.383342548736 -129.076580248906 755.403641721488</t>
  </si>
  <si>
    <t>-499.019584662126 -199.361371474652 827.337209078337</t>
  </si>
  <si>
    <t>9763-20170724T105034.647541400.bin</t>
  </si>
  <si>
    <t>-757.69073427961 54.9995115353913 -531.447639960837</t>
  </si>
  <si>
    <t>-700.973950220595 86.5926714663169 -244.435031951448</t>
  </si>
  <si>
    <t>-471.689379773692 66.1735494296111 -315.586139796422</t>
  </si>
  <si>
    <t>-711.610959247622 4.39481512682255 -101.944068327216</t>
  </si>
  <si>
    <t>-705.620750359265 39.9385060174218 299.995487762365</t>
  </si>
  <si>
    <t>-727.416814911044 81.4192773709074 745.483678484068</t>
  </si>
  <si>
    <t>-584.273297534796 107.719949423599 807.977281984964</t>
  </si>
  <si>
    <t>-610.109506815241 -150.708825692818 308.253505058149</t>
  </si>
  <si>
    <t>-621.378706793155 -129.044089642924 755.414729049786</t>
  </si>
  <si>
    <t>-498.968242121683 -199.248170484098 827.347626384994</t>
  </si>
  <si>
    <t>9763-20170724T105034.712718800.bin</t>
  </si>
  <si>
    <t>-757.116529106529 54.9550505791824 -531.734317642511</t>
  </si>
  <si>
    <t>-701.068502439714 86.9368482939451 -244.63329859059</t>
  </si>
  <si>
    <t>-471.470208392323 66.2933657035642 -314.699791279743</t>
  </si>
  <si>
    <t>-711.394765303073 4.55354377572871 -102.004431150416</t>
  </si>
  <si>
    <t>-705.434603891737 40.0960987088779 299.935774969686</t>
  </si>
  <si>
    <t>-727.442425656067 81.3892034083476 745.435320192134</t>
  </si>
  <si>
    <t>-584.297889163088 107.655999412037 807.941310827289</t>
  </si>
  <si>
    <t>-609.896924679706 -150.661397844078 308.255487763047</t>
  </si>
  <si>
    <t>-621.371261730315 -129.041795422537 755.413794351732</t>
  </si>
  <si>
    <t>-498.906796702062 -199.142424230661 827.355978850622</t>
  </si>
  <si>
    <t>9763-20170724T105034.745814700.bin</t>
  </si>
  <si>
    <t>-757.003932867844 54.7674937978072 -531.839848786494</t>
  </si>
  <si>
    <t>-701.544520852141 87.0468296262979 -244.6577150979</t>
  </si>
  <si>
    <t>-471.600357834198 67.0564445413597 -313.772832687603</t>
  </si>
  <si>
    <t>-711.321751466598 4.55180197833283 -102.041456091182</t>
  </si>
  <si>
    <t>-705.280622605052 40.070536854997 299.899617945146</t>
  </si>
  <si>
    <t>-727.425247126557 81.3098673336431 745.402995791078</t>
  </si>
  <si>
    <t>-584.30215536282 107.69053355457 807.910041009237</t>
  </si>
  <si>
    <t>-609.704975281422 -150.704827241436 308.261081449181</t>
  </si>
  <si>
    <t>-621.393019338619 -129.136807044787 755.418416596998</t>
  </si>
  <si>
    <t>-498.769499596964 -198.968446993033 827.351256339572</t>
  </si>
  <si>
    <t>9763-20170724T105034.812997100.bin</t>
  </si>
  <si>
    <t>-757.320547304051 54.5458806106526 -532.036948091977</t>
  </si>
  <si>
    <t>-703.56648648324 87.8188449997735 -244.644151906887</t>
  </si>
  <si>
    <t>-473.033174104148 69.3207319330363 -312.194330603897</t>
  </si>
  <si>
    <t>-711.178300240935 4.6076161463277 -102.115336270008</t>
  </si>
  <si>
    <t>-705.095101718378 40.0950576377456 299.827780764715</t>
  </si>
  <si>
    <t>-727.406778165888 81.1870949552426 745.322959301726</t>
  </si>
  <si>
    <t>-584.309228283526 107.662278503811 807.848474623638</t>
  </si>
  <si>
    <t>-609.156753178979 -150.469457589832 308.258966103196</t>
  </si>
  <si>
    <t>-621.330653740409 -128.926356374516 755.40420422396</t>
  </si>
  <si>
    <t>-499.047147421878 -199.322591613316 827.36537869925</t>
  </si>
  <si>
    <t>9763-20170724T105034.843083200.bin</t>
  </si>
  <si>
    <t>-757.861756759976 54.2560228660072 -532.079748817005</t>
  </si>
  <si>
    <t>-704.554038140941 87.6096403933075 -244.613212119564</t>
  </si>
  <si>
    <t>-474.01240195614 69.5408684430929 -312.251259146321</t>
  </si>
  <si>
    <t>-711.203805120427 4.62802942922622 -102.144144696548</t>
  </si>
  <si>
    <t>-705.02548084185 40.0958591219614 299.799303885813</t>
  </si>
  <si>
    <t>-727.385987374202 81.1113859717982 745.288480508073</t>
  </si>
  <si>
    <t>-584.33224138955 107.811657275504 807.818908782827</t>
  </si>
  <si>
    <t>-608.910227623617 -150.393130958888 308.244456609307</t>
  </si>
  <si>
    <t>-621.317797309134 -128.894211226059 755.397334648412</t>
  </si>
  <si>
    <t>-498.897738137793 -199.062784988042 827.348513998542</t>
  </si>
  <si>
    <t>9763-20170724T105034.908259200.bin</t>
  </si>
  <si>
    <t>-759.176521924835 53.5885884328709 -532.147392686891</t>
  </si>
  <si>
    <t>-706.178004417465 87.1687840262045 -244.650047144293</t>
  </si>
  <si>
    <t>-475.469176396125 69.3741626434473 -311.788812013846</t>
  </si>
  <si>
    <t>-711.320936352036 4.82815936996485 -102.202423689637</t>
  </si>
  <si>
    <t>-705.107575969226 40.2243913157306 299.746802293197</t>
  </si>
  <si>
    <t>-727.426392777677 81.0974382159627 745.236969519575</t>
  </si>
  <si>
    <t>-584.366178705089 107.725699892053 807.783102711644</t>
  </si>
  <si>
    <t>-608.431555556717 -150.15241966039 308.227352478633</t>
  </si>
  <si>
    <t>-621.310399128367 -128.91772995419 755.377246028139</t>
  </si>
  <si>
    <t>-498.87004075669 -199.052671961071 827.326853048751</t>
  </si>
  <si>
    <t>9763-20170724T105034.940848100.bin</t>
  </si>
  <si>
    <t>-759.730262998163 53.2277234094006 -532.369583283965</t>
  </si>
  <si>
    <t>-707.350499164749 87.1950134981334 -244.804229994977</t>
  </si>
  <si>
    <t>-476.325119983428 70.1911695058002 -311.054069528083</t>
  </si>
  <si>
    <t>-711.268992210938 4.99879984369682 -102.246952612869</t>
  </si>
  <si>
    <t>-705.159184279393 40.2953892598086 299.712661674531</t>
  </si>
  <si>
    <t>-727.455522979619 81.1033911931243 745.213489843508</t>
  </si>
  <si>
    <t>-584.394116817607 107.713996027337 807.764506399241</t>
  </si>
  <si>
    <t>-608.265209152414 -150.070613712062 308.221681029383</t>
  </si>
  <si>
    <t>-621.317976154236 -128.976029704381 755.367494802751</t>
  </si>
  <si>
    <t>-498.67645912559 -198.77181635035 827.304109025154</t>
  </si>
  <si>
    <t>9763-20170724T105035.010536200.bin</t>
  </si>
  <si>
    <t>-760.276106864034 52.874918817887 -532.955979912156</t>
  </si>
  <si>
    <t>-710.751972978461 86.9156811851342 -244.893715968812</t>
  </si>
  <si>
    <t>-479.2209747222 71.9238017126663 -309.851196367528</t>
  </si>
  <si>
    <t>-711.031980917016 5.52165274039749 -102.360672777144</t>
  </si>
  <si>
    <t>-705.255951381797 40.5338721524722 299.628726230356</t>
  </si>
  <si>
    <t>-727.479765019168 81.050895520719 745.171427057753</t>
  </si>
  <si>
    <t>-584.43611075071 107.759340687048 807.720923590738</t>
  </si>
  <si>
    <t>-607.779469712276 -149.71333845494 308.17173325152</t>
  </si>
  <si>
    <t>-621.271928314145 -128.845143045811 755.337322681766</t>
  </si>
  <si>
    <t>-498.657116140239 -198.689586467589 827.272587148725</t>
  </si>
  <si>
    <t>9763-20170724T105035.042638100.bin</t>
  </si>
  <si>
    <t>-760.30690988752 52.7857239865141 -533.153591960792</t>
  </si>
  <si>
    <t>-712.314870257378 85.8655612691255 -244.720366675246</t>
  </si>
  <si>
    <t>-480.557462256293 72.5068326258106 -309.225295361418</t>
  </si>
  <si>
    <t>-710.970915543678 5.90993513057083 -102.41058917596</t>
  </si>
  <si>
    <t>-705.229278122783 40.715026392538 299.597286148379</t>
  </si>
  <si>
    <t>-727.497468014235 81.0274581548492 745.160636412214</t>
  </si>
  <si>
    <t>-584.452025890057 107.729791479368 807.708661866856</t>
  </si>
  <si>
    <t>-607.427058255187 -149.45474834284 308.138444627096</t>
  </si>
  <si>
    <t>-621.215205226886 -128.663867216213 755.308472141814</t>
  </si>
  <si>
    <t>-498.735480721213 -198.729225071512 827.258887979369</t>
  </si>
  <si>
    <t>9763-20170724T105035.113337500.bin</t>
  </si>
  <si>
    <t>-759.970472268629 53.0054317181482 -533.379763438878</t>
  </si>
  <si>
    <t>-714.259176157867 83.8207581272259 -244.32601368675</t>
  </si>
  <si>
    <t>-481.868949301633 75.1748268291676 -307.340651378158</t>
  </si>
  <si>
    <t>-710.649163995527 6.5326461971672 -102.528730683833</t>
  </si>
  <si>
    <t>-705.027128949732 41.1014682269652 299.50118763209</t>
  </si>
  <si>
    <t>-727.524691948723 80.9705473562094 745.112355820746</t>
  </si>
  <si>
    <t>-584.498454155171 107.756902362969 807.668615297594</t>
  </si>
  <si>
    <t>-606.801470041192 -149.085630674896 308.127917209957</t>
  </si>
  <si>
    <t>-621.17678697827 -128.573635785167 755.276115120069</t>
  </si>
  <si>
    <t>-498.584736365683 -198.44729394171 827.221625990504</t>
  </si>
  <si>
    <t>9763-20170724T105035.145925700.bin</t>
  </si>
  <si>
    <t>-759.629090654732 53.2159899025382 -533.515836797628</t>
  </si>
  <si>
    <t>-714.073745572727 84.2157573004104 -244.457108363159</t>
  </si>
  <si>
    <t>-481.033132716642 78.4091038057882 -305.360492351146</t>
  </si>
  <si>
    <t>-710.381268123829 6.81292344154895 -102.586108866395</t>
  </si>
  <si>
    <t>-704.894564186164 41.2585973041651 299.456248547118</t>
  </si>
  <si>
    <t>-727.550120737283 80.963976032951 745.075620262766</t>
  </si>
  <si>
    <t>-584.520534487171 107.725528255073 807.634746941381</t>
  </si>
  <si>
    <t>-606.528817414653 -148.954740018564 308.135232431471</t>
  </si>
  <si>
    <t>-621.170541904824 -128.574419520955 755.270517154478</t>
  </si>
  <si>
    <t>-498.565109488405 -198.425890670352 827.214841253208</t>
  </si>
  <si>
    <t>9763-20170724T105035.213112000.bin</t>
  </si>
  <si>
    <t>-759.341787300687 53.2731927944287 -533.681709322902</t>
  </si>
  <si>
    <t>-710.699909878218 85.0056401706017 -245.206042394333</t>
  </si>
  <si>
    <t>-476.646844921277 86.2336824116503 -302.376682763514</t>
  </si>
  <si>
    <t>-710.088914885683 7.16904995579375 -102.709299866624</t>
  </si>
  <si>
    <t>-704.478588814746 41.4422565949171 299.346082663115</t>
  </si>
  <si>
    <t>-727.573849733767 80.8755683287984 744.979999808288</t>
  </si>
  <si>
    <t>-584.539840597401 107.608516392168 807.541583129694</t>
  </si>
  <si>
    <t>-606.071454945039 -148.706887190921 308.138980642863</t>
  </si>
  <si>
    <t>-621.132235760563 -128.478553934841 755.254925689326</t>
  </si>
  <si>
    <t>-498.705635440317 -198.619230806912 827.222163359303</t>
  </si>
  <si>
    <t>9763-20170724T105035.247205100.bin</t>
  </si>
  <si>
    <t>-759.275936025837 53.2557842807564 -533.742965392736</t>
  </si>
  <si>
    <t>-707.957202491829 86.7503885466313 -245.931064292826</t>
  </si>
  <si>
    <t>-473.292445838276 88.2331272776757 -300.530625320316</t>
  </si>
  <si>
    <t>-710.003709156008 7.1675012129981 -102.757079843188</t>
  </si>
  <si>
    <t>-704.275584364538 41.4170992804159 299.298611551013</t>
  </si>
  <si>
    <t>-727.596454954704 80.8433759523477 744.932519842386</t>
  </si>
  <si>
    <t>-584.567484440563 107.614242953214 807.488970291732</t>
  </si>
  <si>
    <t>-605.939562503979 -148.713620967075 308.135025104918</t>
  </si>
  <si>
    <t>-621.144506317614 -128.531441470464 755.246298337562</t>
  </si>
  <si>
    <t>-498.571836491414 -198.421329820445 827.208926548997</t>
  </si>
  <si>
    <t>9763-20170724T105035.311949200.bin</t>
  </si>
  <si>
    <t>-758.692740682075 53.5928543233856 -534.025220393558</t>
  </si>
  <si>
    <t>-700.777549140249 91.1638457270831 -247.973826506165</t>
  </si>
  <si>
    <t>-464.996814070187 94.5476469308182 -297.4393347875</t>
  </si>
  <si>
    <t>-709.677996716598 7.21572671277113 -102.868910525924</t>
  </si>
  <si>
    <t>-703.990503916938 41.5373671549019 299.181188147646</t>
  </si>
  <si>
    <t>-727.684788728065 80.8888190955811 744.79605818664</t>
  </si>
  <si>
    <t>-584.596294625493 107.315986688178 807.362721355951</t>
  </si>
  <si>
    <t>-605.769321047344 -148.483224077492 308.133226442558</t>
  </si>
  <si>
    <t>-621.015054766564 -128.054809120991 755.230841873667</t>
  </si>
  <si>
    <t>-498.990234643191 -198.852240624458 827.237580518808</t>
  </si>
  <si>
    <t>9763-20170724T105035.346543400.bin</t>
  </si>
  <si>
    <t>-758.547558085958 53.6624647418255 -534.183375233292</t>
  </si>
  <si>
    <t>-696.800251499344 92.4437906515727 -249.096695923593</t>
  </si>
  <si>
    <t>-460.246001240665 98.7132174011745 -294.414004138411</t>
  </si>
  <si>
    <t>-709.542163574619 7.23530125489242 -102.905474197735</t>
  </si>
  <si>
    <t>-703.873795615357 41.5695219009353 299.14394709479</t>
  </si>
  <si>
    <t>-727.697856496923 80.854310989954 744.739519719775</t>
  </si>
  <si>
    <t>-584.612106929168 107.294167644494 807.306805199241</t>
  </si>
  <si>
    <t>-605.785710579858 -148.516764539474 308.130158317848</t>
  </si>
  <si>
    <t>-621.020430785921 -128.069568782616 755.232336945004</t>
  </si>
  <si>
    <t>-498.838465100973 -198.605696216085 827.228952334396</t>
  </si>
  <si>
    <t>9763-20170724T105035.406205500.bin</t>
  </si>
  <si>
    <t>-758.322933191963 54.0948223676462 -534.532156841518</t>
  </si>
  <si>
    <t>-688.847548132993 97.7265613545644 -251.935807518746</t>
  </si>
  <si>
    <t>-451.130451822731 109.003734734817 -289.543011264379</t>
  </si>
  <si>
    <t>-709.417849387009 7.44353114138903 -103.004887818259</t>
  </si>
  <si>
    <t>-703.719588509585 41.7337245049962 299.047801545414</t>
  </si>
  <si>
    <t>-727.769236721363 80.8857455812033 744.6282824163</t>
  </si>
  <si>
    <t>-584.645523206274 107.092111842208 807.207165318067</t>
  </si>
  <si>
    <t>-606.096800890314 -148.562856331638 308.133662196443</t>
  </si>
  <si>
    <t>-621.017394770136 -128.036030277173 755.240033518189</t>
  </si>
  <si>
    <t>-498.679381752279 -198.320184770986 827.218053958201</t>
  </si>
  <si>
    <t>9763-20170724T105035.445314300.bin</t>
  </si>
  <si>
    <t>-758.318202460963 54.2895258700121 -534.979248901336</t>
  </si>
  <si>
    <t>-686.013701185527 100.640836315992 -253.528039548983</t>
  </si>
  <si>
    <t>-448.112879213339 111.838553477509 -289.979246775507</t>
  </si>
  <si>
    <t>-709.342146100309 7.60207365009751 -103.058748650371</t>
  </si>
  <si>
    <t>-703.645416808616 41.8493232799672 298.997669476923</t>
  </si>
  <si>
    <t>-727.789373540669 80.8637080722615 744.579750481292</t>
  </si>
  <si>
    <t>-584.673895474776 107.125997490518 807.153844689701</t>
  </si>
  <si>
    <t>-606.297206480991 -148.541702634087 308.126219804128</t>
  </si>
  <si>
    <t>-621.054463056899 -128.173654915952 755.250209558274</t>
  </si>
  <si>
    <t>-498.726822471761 -198.474643193446 827.229770837014</t>
  </si>
  <si>
    <t>9763-20170724T105035.509994900.bin</t>
  </si>
  <si>
    <t>-758.801650525327 54.1381242827511 -536.136730714979</t>
  </si>
  <si>
    <t>-682.763978364846 105.173942468686 -256.485570752685</t>
  </si>
  <si>
    <t>-444.997350284206 115.110609942162 -294.157204039162</t>
  </si>
  <si>
    <t>-709.349986226325 8.18061392625555 -103.114017554566</t>
  </si>
  <si>
    <t>-703.71185383929 42.1782231378281 298.964409928877</t>
  </si>
  <si>
    <t>-727.828881337146 80.8437876050198 744.532943365027</t>
  </si>
  <si>
    <t>-584.685134270112 106.949964945753 807.10777229055</t>
  </si>
  <si>
    <t>-606.366122598476 -148.276460410357 308.067904321609</t>
  </si>
  <si>
    <t>-621.014796701512 -128.051063686737 755.238438834933</t>
  </si>
  <si>
    <t>-498.866524201073 -198.644905961674 827.2357963225</t>
  </si>
  <si>
    <t>9763-20170724T105035.544085600.bin</t>
  </si>
  <si>
    <t>-759.062850772166 53.9552064596326 -536.717794003604</t>
  </si>
  <si>
    <t>-681.787776054287 105.422779946219 -257.485122813831</t>
  </si>
  <si>
    <t>-444.08473005717 116.995209713842 -295.091468234763</t>
  </si>
  <si>
    <t>-709.302961035271 8.52512069248633 -103.138305006713</t>
  </si>
  <si>
    <t>-703.795541146926 42.3033608823234 298.960430575926</t>
  </si>
  <si>
    <t>-727.802357406838 80.7564408764742 744.537455407134</t>
  </si>
  <si>
    <t>-584.686012759719 107.001363147884 807.116845824427</t>
  </si>
  <si>
    <t>-606.337428359755 -148.03345436429 308.030362979641</t>
  </si>
  <si>
    <t>-620.94254816982 -127.812682909075 755.218334954752</t>
  </si>
  <si>
    <t>-499.071801737951 -198.862456455077 827.237551083193</t>
  </si>
  <si>
    <t>9763-20170724T105035.611304700.bin</t>
  </si>
  <si>
    <t>-758.990078208384 53.7039051383997 -537.574846121248</t>
  </si>
  <si>
    <t>-680.173414287206 105.766094799912 -258.88388758324</t>
  </si>
  <si>
    <t>-441.89546159779 119.760174422439 -291.726544888998</t>
  </si>
  <si>
    <t>-709.311013795131 9.19743205732379 -103.194206194499</t>
  </si>
  <si>
    <t>-703.927508671656 42.6610828365108 298.932422649622</t>
  </si>
  <si>
    <t>-727.819714204042 80.750217723375 744.555418452008</t>
  </si>
  <si>
    <t>-584.686769789746 106.863977553554 807.151951264</t>
  </si>
  <si>
    <t>-606.274279920673 -147.801698354554 308.003988295431</t>
  </si>
  <si>
    <t>-620.977059349768 -127.943836709608 755.192540959399</t>
  </si>
  <si>
    <t>-498.791606300149 -198.467115133276 827.195952416286</t>
  </si>
  <si>
    <t>9763-20170724T105035.645888600.bin</t>
  </si>
  <si>
    <t>-758.192009588143 53.7911413826284 -538.198662679319</t>
  </si>
  <si>
    <t>-681.453673597987 106.805286636361 -259.10741725835</t>
  </si>
  <si>
    <t>-443.059575890296 117.94463642423 -292.199547913397</t>
  </si>
  <si>
    <t>-709.256592780147 9.6117578608978 -103.227604109635</t>
  </si>
  <si>
    <t>-703.953000361513 42.8362265715064 298.919996341664</t>
  </si>
  <si>
    <t>-727.81853344971 80.7249395610784 744.56862476655</t>
  </si>
  <si>
    <t>-584.69522075689 106.901281088528 807.160850757895</t>
  </si>
  <si>
    <t>-606.251980689362 -147.551171946262 307.984203090289</t>
  </si>
  <si>
    <t>-620.963871079208 -127.912058161558 755.178131687846</t>
  </si>
  <si>
    <t>-498.758225530916 -198.394244878727 827.187421115872</t>
  </si>
  <si>
    <t>9763-20170724T105035.709596400.bin</t>
  </si>
  <si>
    <t>-757.123976755542 53.8781067615073 -539.456373747282</t>
  </si>
  <si>
    <t>-683.446059390743 107.957955911301 -259.745631346378</t>
  </si>
  <si>
    <t>-444.843545242439 113.711393086296 -292.709652780037</t>
  </si>
  <si>
    <t>-709.043381640783 10.6369650737186 -103.241937903693</t>
  </si>
  <si>
    <t>-704.213511665285 43.4093592863976 298.948707637007</t>
  </si>
  <si>
    <t>-727.925791458261 80.877249674247 744.63102024668</t>
  </si>
  <si>
    <t>-584.746420749307 106.783280497315 807.207619512971</t>
  </si>
  <si>
    <t>-606.126604635881 -147.065830854791 307.914336364335</t>
  </si>
  <si>
    <t>-620.915453722195 -127.749566211005 755.141164156293</t>
  </si>
  <si>
    <t>-498.842091320132 -198.435373167768 827.175300258862</t>
  </si>
  <si>
    <t>9763-20170724T105035.743189100.bin</t>
  </si>
  <si>
    <t>-756.679403924957 54.2407055574438 -539.652791132808</t>
  </si>
  <si>
    <t>-683.485187425557 106.78875861922 -259.523408285782</t>
  </si>
  <si>
    <t>-444.977443083509 111.153332125358 -293.374391286844</t>
  </si>
  <si>
    <t>-709.163416336217 11.1916084171316 -103.233689574819</t>
  </si>
  <si>
    <t>-704.308116641446 43.784008669257 298.971274470758</t>
  </si>
  <si>
    <t>-727.967212084306 80.9381002748253 744.670110604773</t>
  </si>
  <si>
    <t>-584.759516715813 106.718206826657 807.234304304739</t>
  </si>
  <si>
    <t>-605.991035200875 -146.843419377652 307.901787144602</t>
  </si>
  <si>
    <t>-620.908347584489 -127.744282307656 755.131798906977</t>
  </si>
  <si>
    <t>-498.942919165559 -198.60651981708 827.175260179278</t>
  </si>
  <si>
    <t>9763-20170724T105035.810892700.bin</t>
  </si>
  <si>
    <t>-755.585823570354 55.1407495308522 -540.019405947976</t>
  </si>
  <si>
    <t>-683.604471707031 108.29440805288 -259.689906972487</t>
  </si>
  <si>
    <t>-445.219473080165 108.144162194676 -294.667989167968</t>
  </si>
  <si>
    <t>-709.440913083716 12.1052114259205 -103.305248625017</t>
  </si>
  <si>
    <t>-704.651865657011 44.4130736256361 298.923455108136</t>
  </si>
  <si>
    <t>-727.98568049827 80.9483010519957 744.700861295144</t>
  </si>
  <si>
    <t>-584.772878828012 106.727943821377 807.25363195095</t>
  </si>
  <si>
    <t>-605.927310202596 -146.271768698988 307.879251760415</t>
  </si>
  <si>
    <t>-620.876301466506 -127.69792804515 755.100674591201</t>
  </si>
  <si>
    <t>-499.080597365261 -198.826674339683 827.168746726556</t>
  </si>
  <si>
    <t>9763-20170724T105035.842984800.bin</t>
  </si>
  <si>
    <t>-754.843710630154 55.505577118118 -540.291763633584</t>
  </si>
  <si>
    <t>-683.113490275771 109.567778634606 -260.071825611884</t>
  </si>
  <si>
    <t>-444.969732653428 107.515076095065 -296.598662794082</t>
  </si>
  <si>
    <t>-709.546316450805 12.5000511272924 -103.372050695548</t>
  </si>
  <si>
    <t>-704.812669241853 44.6582071056898 298.869268934422</t>
  </si>
  <si>
    <t>-727.983942450174 80.9470900138735 744.690116367172</t>
  </si>
  <si>
    <t>-584.778729023061 106.747246707659 807.25137970139</t>
  </si>
  <si>
    <t>-605.852475957751 -145.966851747637 307.85581433383</t>
  </si>
  <si>
    <t>-620.835761173435 -127.542786866924 755.097372118631</t>
  </si>
  <si>
    <t>-499.013702106743 -198.627830653379 827.163924196239</t>
  </si>
  <si>
    <t>9763-20170724T105035.913215600.bin</t>
  </si>
  <si>
    <t>-754.469010606667 55.4323084547336 -540.750006611134</t>
  </si>
  <si>
    <t>-681.537261498755 111.08083264693 -261.151430248486</t>
  </si>
  <si>
    <t>-444.570050642156 105.725085295812 -304.380094721793</t>
  </si>
  <si>
    <t>-709.621245237282 12.9099897247729 -103.41701071008</t>
  </si>
  <si>
    <t>-705.101226309293 44.8583029652389 298.843494128571</t>
  </si>
  <si>
    <t>-727.987471924088 80.9159525313755 744.705096481611</t>
  </si>
  <si>
    <t>-584.799538293261 106.779951105054 807.279665925739</t>
  </si>
  <si>
    <t>-605.361872659935 -145.736228910939 307.810437911421</t>
  </si>
  <si>
    <t>-620.825627231118 -127.538962457237 755.068609167695</t>
  </si>
  <si>
    <t>-498.989720062351 -198.592782721665 827.142807620684</t>
  </si>
  <si>
    <t>9763-20170724T105035.950317200.bin</t>
  </si>
  <si>
    <t>-754.586143570359 55.0849873591922 -541.008432631147</t>
  </si>
  <si>
    <t>-680.707424278732 111.742750015467 -261.861373367892</t>
  </si>
  <si>
    <t>-444.28952375104 105.808524960789 -307.929445068181</t>
  </si>
  <si>
    <t>-709.573677868749 13.0596010280235 -103.417254655829</t>
  </si>
  <si>
    <t>-705.069178111357 44.9017101831273 298.851883289349</t>
  </si>
  <si>
    <t>-727.977439749923 80.8671051540259 744.728007376674</t>
  </si>
  <si>
    <t>-584.822916028822 106.909303590077 807.305178508272</t>
  </si>
  <si>
    <t>-605.182762306364 -145.63361807607 307.800208220759</t>
  </si>
  <si>
    <t>-620.798623326561 -127.439719880634 755.049779301101</t>
  </si>
  <si>
    <t>-498.95278248038 -198.471074637537 827.129149272333</t>
  </si>
  <si>
    <t>9763-20170724T105036.007473000.bin</t>
  </si>
  <si>
    <t>-754.721365941299 54.2983950322421 -541.745571610884</t>
  </si>
  <si>
    <t>-679.394131840484 111.149236259714 -263.025271243784</t>
  </si>
  <si>
    <t>-442.460366520749 108.428573261028 -306.681072943252</t>
  </si>
  <si>
    <t>-709.309858651185 13.4955228786127 -103.435832065539</t>
  </si>
  <si>
    <t>-704.673447462735 45.1946799704228 298.843121556197</t>
  </si>
  <si>
    <t>-728.027213178641 80.8827130152079 744.734275716679</t>
  </si>
  <si>
    <t>-584.86467536957 106.883207091266 807.310394194014</t>
  </si>
  <si>
    <t>-604.993393211706 -145.366722627604 307.842545934384</t>
  </si>
  <si>
    <t>-620.806993685991 -127.471323694875 755.057013449583</t>
  </si>
  <si>
    <t>-498.903914190146 -198.399683078705 827.140967694327</t>
  </si>
  <si>
    <t>9763-20170724T105036.039556900.bin</t>
  </si>
  <si>
    <t>-754.692840270905 53.9897136329762 -542.232278113098</t>
  </si>
  <si>
    <t>-679.624283674502 110.074448253846 -263.287158350464</t>
  </si>
  <si>
    <t>-442.151458457182 109.578192647597 -303.996513670048</t>
  </si>
  <si>
    <t>-709.107148373512 13.8220770862717 -103.463777286312</t>
  </si>
  <si>
    <t>-704.447936022714 45.3321836883231 298.82974668788</t>
  </si>
  <si>
    <t>-728.023672842994 80.8301507404219 744.723858504875</t>
  </si>
  <si>
    <t>-584.856862540431 106.80604939665 807.300409028359</t>
  </si>
  <si>
    <t>-604.900250121896 -145.191857840934 307.851394723877</t>
  </si>
  <si>
    <t>-620.77880208917 -127.377431165852 755.057439857852</t>
  </si>
  <si>
    <t>-498.915175112029 -198.366561655635 827.148217570478</t>
  </si>
  <si>
    <t>9763-20170724T105036.112443300.bin</t>
  </si>
  <si>
    <t>-755.162713806433 53.3522814370413 -543.473181754138</t>
  </si>
  <si>
    <t>-680.651270784754 107.760435890381 -264.046874128998</t>
  </si>
  <si>
    <t>-441.777074325786 112.46125064586 -295.156842987393</t>
  </si>
  <si>
    <t>-708.537799889562 14.5815833286363 -103.563181355653</t>
  </si>
  <si>
    <t>-703.950722499581 45.7255447948003 298.75964005284</t>
  </si>
  <si>
    <t>-728.043282209854 80.8431304736528 744.665419521781</t>
  </si>
  <si>
    <t>-584.845898326903 106.609013156536 807.258911157839</t>
  </si>
  <si>
    <t>-604.653683523213 -144.921307419406 307.848025915191</t>
  </si>
  <si>
    <t>-620.781776261655 -127.355110239217 755.054944709006</t>
  </si>
  <si>
    <t>-499.110125996478 -198.653081277704 827.165378468599</t>
  </si>
  <si>
    <t>9763-20170724T105036.142531700.bin</t>
  </si>
  <si>
    <t>-755.613408010182 53.0201932001503 -544.078559343083</t>
  </si>
  <si>
    <t>-680.951653928191 108.005936088705 -264.805514717503</t>
  </si>
  <si>
    <t>-441.406373627792 114.541884340332 -289.829223228988</t>
  </si>
  <si>
    <t>-708.294198662335 14.9285472895835 -103.60533286118</t>
  </si>
  <si>
    <t>-703.645610781419 45.95732735454 298.725726282265</t>
  </si>
  <si>
    <t>-728.066819410308 80.8813190762428 744.634153506337</t>
  </si>
  <si>
    <t>-584.840688058036 106.461241051182 807.238007218018</t>
  </si>
  <si>
    <t>-604.465345734535 -144.75069813413 307.84919263975</t>
  </si>
  <si>
    <t>-620.722296520096 -127.126422312183 755.04614575039</t>
  </si>
  <si>
    <t>-499.223172920669 -198.701403201619 827.173037785024</t>
  </si>
  <si>
    <t>9763-20170724T105036.211733600.bin</t>
  </si>
  <si>
    <t>-755.92819763961 51.7409283788468 -545.159419348803</t>
  </si>
  <si>
    <t>-680.793546592352 110.695394993291 -266.824507042183</t>
  </si>
  <si>
    <t>-440.463027648113 118.002862654394 -282.275043405259</t>
  </si>
  <si>
    <t>-707.921877951652 15.2381415606724 -103.687540943971</t>
  </si>
  <si>
    <t>-703.013870797831 46.1465282533989 298.649732811785</t>
  </si>
  <si>
    <t>-728.023223499322 80.7836019778831 744.561653497483</t>
  </si>
  <si>
    <t>-584.816723159585 106.455782265335 807.17269216194</t>
  </si>
  <si>
    <t>-604.025733257436 -144.669288903254 307.867521009239</t>
  </si>
  <si>
    <t>-620.730692860953 -127.140607016566 755.03978291162</t>
  </si>
  <si>
    <t>-498.906328619175 -198.176147024693 827.15132205818</t>
  </si>
  <si>
    <t>9763-20170724T105036.242814300.bin</t>
  </si>
  <si>
    <t>-755.771844611301 51.1071309791546 -545.643266562666</t>
  </si>
  <si>
    <t>-680.547672906616 111.410723936654 -267.621646530459</t>
  </si>
  <si>
    <t>-440.157755982378 119.856267886172 -281.487783887755</t>
  </si>
  <si>
    <t>-707.781505833912 15.3996084296546 -103.724855866415</t>
  </si>
  <si>
    <t>-702.827458692292 46.2077115116774 298.619427430764</t>
  </si>
  <si>
    <t>-727.999221061155 80.7221796044228 744.536114026181</t>
  </si>
  <si>
    <t>-584.804631307415 106.469341769583 807.143588778188</t>
  </si>
  <si>
    <t>-603.783337514149 -144.592286041007 307.87116103387</t>
  </si>
  <si>
    <t>-620.732029429012 -127.141989931776 755.029401612899</t>
  </si>
  <si>
    <t>-498.984867337981 -198.295676837811 827.154844302882</t>
  </si>
  <si>
    <t>9763-20170724T105036.308566500.bin</t>
  </si>
  <si>
    <t>-754.695585794399 50.7266204553691 -546.110581516849</t>
  </si>
  <si>
    <t>-679.952588897481 113.931195769923 -268.604079118331</t>
  </si>
  <si>
    <t>-439.432517269579 124.210275316329 -278.365487830567</t>
  </si>
  <si>
    <t>-707.367658467006 15.8187153117749 -103.819008032198</t>
  </si>
  <si>
    <t>-702.709056534646 46.387712010787 298.547056300877</t>
  </si>
  <si>
    <t>-727.976143321178 80.6516735820742 744.476426985474</t>
  </si>
  <si>
    <t>-584.776115101158 106.36337262946 807.086119974075</t>
  </si>
  <si>
    <t>-603.34435397065 -144.456258651191 307.869728675076</t>
  </si>
  <si>
    <t>-620.733606135752 -127.102614948569 755.005357419742</t>
  </si>
  <si>
    <t>-498.942511207766 -198.172101038642 827.139662392564</t>
  </si>
  <si>
    <t>9763-20170724T105036.343156100.bin</t>
  </si>
  <si>
    <t>-753.460574316911 51.3833398037023 -546.076299261881</t>
  </si>
  <si>
    <t>-679.282423083481 114.749490221995 -268.455037421429</t>
  </si>
  <si>
    <t>-438.788145969308 126.476493414686 -277.164579136438</t>
  </si>
  <si>
    <t>-707.15268507425 16.1841777753766 -103.881870321132</t>
  </si>
  <si>
    <t>-702.658203708476 46.5788704215299 298.49937663728</t>
  </si>
  <si>
    <t>-728.010108547749 80.700397559264 744.446497607289</t>
  </si>
  <si>
    <t>-584.779994157016 106.255038767774 807.0515700243</t>
  </si>
  <si>
    <t>-603.225321344322 -144.38770262566 307.869821562323</t>
  </si>
  <si>
    <t>-620.786117491985 -127.256602877026 755.00688895832</t>
  </si>
  <si>
    <t>-498.839129945823 -198.068592970205 827.130837058172</t>
  </si>
  <si>
    <t>9763-20170724T105036.412362200.bin</t>
  </si>
  <si>
    <t>-750.455398684946 53.7677101903703 -545.841449076405</t>
  </si>
  <si>
    <t>-677.064821963076 114.991875270063 -267.531059401445</t>
  </si>
  <si>
    <t>-436.738760557227 128.909422740074 -277.557172778804</t>
  </si>
  <si>
    <t>-706.243465721546 17.1693336312544 -103.995482216184</t>
  </si>
  <si>
    <t>-702.466441405454 47.0437451343853 298.432088362349</t>
  </si>
  <si>
    <t>-728.062707691557 80.7515228880695 744.387172883885</t>
  </si>
  <si>
    <t>-584.787193341902 106.113109934755 806.966720310077</t>
  </si>
  <si>
    <t>-602.869067949232 -144.057135746335 307.843560803949</t>
  </si>
  <si>
    <t>-620.761774701233 -127.097701690316 754.992056377672</t>
  </si>
  <si>
    <t>-499.078876198254 -198.342607236991 827.135789370509</t>
  </si>
  <si>
    <t>9763-20170724T105036.446458500.bin</t>
  </si>
  <si>
    <t>-749.086375897455 55.0339630093622 -545.692574653387</t>
  </si>
  <si>
    <t>-675.561613482001 115.517797152427 -267.255783075462</t>
  </si>
  <si>
    <t>-435.319657149398 129.871833876686 -278.597929128858</t>
  </si>
  <si>
    <t>-705.695392792441 17.6459761452008 -104.029568030083</t>
  </si>
  <si>
    <t>-702.277724014137 47.228749088614 298.422688290246</t>
  </si>
  <si>
    <t>-728.057492190819 80.7154839989778 744.376759581023</t>
  </si>
  <si>
    <t>-584.78933221708 106.140640501274 806.947219249615</t>
  </si>
  <si>
    <t>-602.707700973385 -143.982201408851 307.815627585055</t>
  </si>
  <si>
    <t>-620.76988288492 -127.063936236953 754.980969647209</t>
  </si>
  <si>
    <t>-499.035706221437 -198.228273356352 827.117815017764</t>
  </si>
  <si>
    <t>9763-20170724T105036.513696300.bin</t>
  </si>
  <si>
    <t>-745.810719760522 57.7636323384802 -545.313348657453</t>
  </si>
  <si>
    <t>-670.930551675454 117.244186409463 -267.021729374015</t>
  </si>
  <si>
    <t>-430.905000244923 132.891642352058 -280.942208229643</t>
  </si>
  <si>
    <t>-704.359382513643 18.5536655812484 -104.023696465189</t>
  </si>
  <si>
    <t>-701.679358656498 47.6351276138942 298.470666172014</t>
  </si>
  <si>
    <t>-728.115504114719 80.7375233564135 744.407900472147</t>
  </si>
  <si>
    <t>-584.785025446997 105.847444181993 806.963103554344</t>
  </si>
  <si>
    <t>-602.305009465634 -144.010362076708 307.798884027481</t>
  </si>
  <si>
    <t>-620.833568127244 -127.184340142403 754.975863438825</t>
  </si>
  <si>
    <t>-498.952117007212 -198.112569893061 827.096525892195</t>
  </si>
  <si>
    <t>9763-20170724T105036.546284500.bin</t>
  </si>
  <si>
    <t>-743.819794388824 59.2910055915002 -545.117682528274</t>
  </si>
  <si>
    <t>-667.913933196619 118.76218286718 -267.102004936561</t>
  </si>
  <si>
    <t>-428.026005685911 135.404589223939 -282.19156633078</t>
  </si>
  <si>
    <t>-703.526771636618 19.1180645498291 -103.992098761528</t>
  </si>
  <si>
    <t>-701.353551429544 47.9401712875849 298.524043935421</t>
  </si>
  <si>
    <t>-728.180312829653 80.8062446913029 744.446921020723</t>
  </si>
  <si>
    <t>-584.791017769319 105.63677212217 806.978822218499</t>
  </si>
  <si>
    <t>-601.955328183299 -143.908661609676 307.815949664961</t>
  </si>
  <si>
    <t>-620.782555053035 -126.95644728567 754.969662996387</t>
  </si>
  <si>
    <t>-499.115522259892 -198.235674437046 827.106214561557</t>
  </si>
  <si>
    <t>9763-20170724T105036.613967300.bin</t>
  </si>
  <si>
    <t>-739.749193008747 62.2347695442741 -544.720266506774</t>
  </si>
  <si>
    <t>-661.13524661784 121.893670136511 -267.498643117843</t>
  </si>
  <si>
    <t>-421.586787922304 140.945451938589 -284.947317052992</t>
  </si>
  <si>
    <t>-701.375320527143 20.3372147021075 -103.901670270023</t>
  </si>
  <si>
    <t>-700.520759791536 48.4752820032666 298.667779530683</t>
  </si>
  <si>
    <t>-728.155938776931 80.6231522074529 744.544267243986</t>
  </si>
  <si>
    <t>-584.745543612896 105.450374462399 807.029323542217</t>
  </si>
  <si>
    <t>-601.002152088101 -143.941088812274 307.877697712512</t>
  </si>
  <si>
    <t>-620.826321619329 -126.99882939512 754.986590872043</t>
  </si>
  <si>
    <t>-499.180729583501 -198.327938421401 827.110044801989</t>
  </si>
  <si>
    <t>9763-20170724T105036.644574800.bin</t>
  </si>
  <si>
    <t>-737.614699513483 63.6503083279792 -544.510025877701</t>
  </si>
  <si>
    <t>-657.580007580906 123.554968788449 -267.748099494011</t>
  </si>
  <si>
    <t>-418.163370738193 143.624160448621 -285.852713036425</t>
  </si>
  <si>
    <t>-700.205729406717 21.0116387710723 -103.846718378391</t>
  </si>
  <si>
    <t>-699.940195981213 48.7763867256417 298.749494698217</t>
  </si>
  <si>
    <t>-728.158096607847 80.5900536484403 744.603835790715</t>
  </si>
  <si>
    <t>-584.755552829451 105.514810625618 807.06809549888</t>
  </si>
  <si>
    <t>-600.416217980476 -143.918509415919 307.897969740815</t>
  </si>
  <si>
    <t>-620.820127945559 -126.925700007532 754.990614258405</t>
  </si>
  <si>
    <t>-499.344243835755 -198.542602520871 827.114897398116</t>
  </si>
  <si>
    <t>9763-20170724T105036.709817500.bin</t>
  </si>
  <si>
    <t>-733.403080509592 66.5909266877097 -543.990392165457</t>
  </si>
  <si>
    <t>-650.49392171471 126.225631127776 -268.017649534515</t>
  </si>
  <si>
    <t>-411.285935338437 147.845056984917 -287.07064181579</t>
  </si>
  <si>
    <t>-697.681205656984 22.4809408435849 -103.705361835669</t>
  </si>
  <si>
    <t>-698.260744972724 49.5600235748093 298.937240960114</t>
  </si>
  <si>
    <t>-728.209468511885 80.5862189171899 744.738787385081</t>
  </si>
  <si>
    <t>-584.762339839051 105.368490262338 807.157110742482</t>
  </si>
  <si>
    <t>-598.831761606317 -143.723250650485 307.972481846311</t>
  </si>
  <si>
    <t>-620.783718248383 -126.728521697268 755.001068730052</t>
  </si>
  <si>
    <t>-499.452951932076 -198.610603467261 827.105900423327</t>
  </si>
  <si>
    <t>9763-20170724T105036.744402500.bin</t>
  </si>
  <si>
    <t>-731.266571474927 68.2182508382514 -543.691190438915</t>
  </si>
  <si>
    <t>-647.150768500195 127.643383593577 -268.03846640431</t>
  </si>
  <si>
    <t>-407.973107905109 149.801157676114 -286.851725927122</t>
  </si>
  <si>
    <t>-696.448397065892 23.3250019441655 -103.624382126353</t>
  </si>
  <si>
    <t>-697.352931185274 50.0065495773665 299.044229839572</t>
  </si>
  <si>
    <t>-728.204441908216 80.5282784801868 744.813625072624</t>
  </si>
  <si>
    <t>-584.774363335496 105.492115613617 807.198582122408</t>
  </si>
  <si>
    <t>-597.987264906407 -143.520529610048 307.994594046374</t>
  </si>
  <si>
    <t>-620.757660927999 -126.632405817996 754.985532615491</t>
  </si>
  <si>
    <t>-499.561071926846 -198.740835363894 827.090023138835</t>
  </si>
  <si>
    <t>9763-20170724T105036.815127000.bin</t>
  </si>
  <si>
    <t>-727.109846320426 71.879563800371 -543.18405563487</t>
  </si>
  <si>
    <t>-641.418227338399 130.599962164371 -267.865846251108</t>
  </si>
  <si>
    <t>-402.285338852983 153.790043118224 -285.991647868972</t>
  </si>
  <si>
    <t>-694.308100396657 25.4235909437132 -103.49272052283</t>
  </si>
  <si>
    <t>-695.778610847269 51.1763820827518 299.234591149001</t>
  </si>
  <si>
    <t>-728.201913715188 80.452650767561 744.953699678885</t>
  </si>
  <si>
    <t>-584.74820959074 105.421747219581 807.2823585549</t>
  </si>
  <si>
    <t>-596.249152585016 -142.77875733985 307.979774721622</t>
  </si>
  <si>
    <t>-620.666242681505 -126.404242037428 754.888270913249</t>
  </si>
  <si>
    <t>-499.596391682111 -198.680199178472 827.037895860955</t>
  </si>
  <si>
    <t>9763-20170724T105036.845709800.bin</t>
  </si>
  <si>
    <t>-725.198796089652 73.5937189343092 -543.025835126499</t>
  </si>
  <si>
    <t>-639.149800180798 132.044732760557 -267.761920846617</t>
  </si>
  <si>
    <t>-400.0220362767 155.7205594489 -285.318185751037</t>
  </si>
  <si>
    <t>-693.280244733752 26.440845273383 -103.410090181088</t>
  </si>
  <si>
    <t>-695.242773847346 51.7147591757525 299.345493387025</t>
  </si>
  <si>
    <t>-728.187579469215 80.3951242711596 745.041687774542</t>
  </si>
  <si>
    <t>-584.746143275608 105.480427283967 807.351833459894</t>
  </si>
  <si>
    <t>-595.422181964786 -142.411872503858 307.932574990619</t>
  </si>
  <si>
    <t>-620.607434712445 -126.302724884017 754.832375854582</t>
  </si>
  <si>
    <t>-499.640538806082 -198.711944166759 827.021233356731</t>
  </si>
  <si>
    <t>9763-20170724T105036.909449200.bin</t>
  </si>
  <si>
    <t>-722.238471690835 76.4088665951169 -542.82534763261</t>
  </si>
  <si>
    <t>-636.207952196947 134.668865527894 -267.515193957685</t>
  </si>
  <si>
    <t>-396.941491768763 158.320354757524 -283.105662124664</t>
  </si>
  <si>
    <t>-691.516449820393 28.4486555916126 -103.255786785806</t>
  </si>
  <si>
    <t>-694.563232320173 52.7682523225644 299.551816685043</t>
  </si>
  <si>
    <t>-728.155576920797 80.3357915010815 745.256025906206</t>
  </si>
  <si>
    <t>-584.727613317296 105.57403240493 807.535765497775</t>
  </si>
  <si>
    <t>-593.973313637122 -141.77710208646 307.857960201687</t>
  </si>
  <si>
    <t>-620.509660242581 -126.091255081609 754.718339314853</t>
  </si>
  <si>
    <t>-499.863524199511 -198.952727847778 826.988724329396</t>
  </si>
  <si>
    <t>9763-20170724T105036.940530700.bin</t>
  </si>
  <si>
    <t>-721.113941688879 77.6537908198161 -542.733264992072</t>
  </si>
  <si>
    <t>-635.803481108995 135.923110280713 -267.201099998604</t>
  </si>
  <si>
    <t>-396.412623849142 159.135841417887 -281.486540307698</t>
  </si>
  <si>
    <t>-690.800490438229 29.472330349018 -103.173166693471</t>
  </si>
  <si>
    <t>-694.278970604289 53.2935559533819 299.660710253863</t>
  </si>
  <si>
    <t>-728.147723874725 80.295519872783 745.389217178523</t>
  </si>
  <si>
    <t>-584.714993117157 105.582244901077 807.637935658628</t>
  </si>
  <si>
    <t>-593.446416900934 -141.416148724618 307.850469712419</t>
  </si>
  <si>
    <t>-620.478801236424 -126.033984766653 754.669502816406</t>
  </si>
  <si>
    <t>-499.810876664692 -198.833975712185 826.965288156841</t>
  </si>
  <si>
    <t>9763-20170724T105037.014759100.bin</t>
  </si>
  <si>
    <t>-719.716596256451 79.8408075545397 -542.639747393931</t>
  </si>
  <si>
    <t>-636.348092074855 137.421800950522 -266.369252870405</t>
  </si>
  <si>
    <t>-396.682668535062 159.318265066455 -277.854609937344</t>
  </si>
  <si>
    <t>-689.463985475557 31.4039064401754 -103.01410652631</t>
  </si>
  <si>
    <t>-693.57688650301 54.2832096338868 299.868354135905</t>
  </si>
  <si>
    <t>-728.117537886047 80.253168528551 745.61179509395</t>
  </si>
  <si>
    <t>-584.681658524089 105.596188267935 807.830874155078</t>
  </si>
  <si>
    <t>-592.564470387752 -140.673701414596 307.794563211292</t>
  </si>
  <si>
    <t>-620.392774579675 -125.856970030562 754.558321526304</t>
  </si>
  <si>
    <t>-499.821654589882 -198.747884599111 826.924113848537</t>
  </si>
  <si>
    <t>9763-20170724T105037.044340900.bin</t>
  </si>
  <si>
    <t>-719.246891277439 80.7922100930862 -542.607421183245</t>
  </si>
  <si>
    <t>-636.618031952217 137.933665164055 -266.023733390251</t>
  </si>
  <si>
    <t>-396.820765850102 158.975442336579 -276.286782349028</t>
  </si>
  <si>
    <t>-688.852693476498 32.3148207289869 -102.933384683041</t>
  </si>
  <si>
    <t>-693.14166541296 54.7220669521055 299.973838792816</t>
  </si>
  <si>
    <t>-728.151961369721 80.3340591673054 745.716862645771</t>
  </si>
  <si>
    <t>-584.687573538257 105.53881295371 807.926140993018</t>
  </si>
  <si>
    <t>-592.129838519137 -140.262738994422 307.764822893751</t>
  </si>
  <si>
    <t>-620.367393722967 -125.800866182281 754.518326332035</t>
  </si>
  <si>
    <t>-500.010017577409 -199.003219064834 826.925820056035</t>
  </si>
  <si>
    <t>9763-20170724T105037.109026000.bin</t>
  </si>
  <si>
    <t>-718.164799370065 82.5827643096211 -542.629807856065</t>
  </si>
  <si>
    <t>-636.223565432665 139.380023099755 -265.770671811208</t>
  </si>
  <si>
    <t>-396.190190802945 158.481759721275 -274.134157809354</t>
  </si>
  <si>
    <t>-687.948682186335 33.9380449319385 -102.828964147632</t>
  </si>
  <si>
    <t>-692.322135450391 55.5146703998869 300.122625941269</t>
  </si>
  <si>
    <t>-728.101772006685 80.2786525655811 745.877916267615</t>
  </si>
  <si>
    <t>-584.637256086186 105.526710871759 808.069359798003</t>
  </si>
  <si>
    <t>-591.218726330093 -139.670453270826 307.741375250048</t>
  </si>
  <si>
    <t>-620.326205598015 -125.698192322718 754.449250427311</t>
  </si>
  <si>
    <t>-500.087914625906 -199.038031210174 826.915232162464</t>
  </si>
  <si>
    <t>9763-20170724T105037.145636900.bin</t>
  </si>
  <si>
    <t>-717.543654296004 83.3041677458018 -542.689894051823</t>
  </si>
  <si>
    <t>-635.438277729895 140.202535007822 -265.900296780096</t>
  </si>
  <si>
    <t>-395.30627901135 158.327720721288 -273.578234956616</t>
  </si>
  <si>
    <t>-687.449203514541 34.6293018023553 -102.780147997752</t>
  </si>
  <si>
    <t>-691.897108617834 55.9567526137448 300.183853051561</t>
  </si>
  <si>
    <t>-728.116323750991 80.3664005775283 745.930851779158</t>
  </si>
  <si>
    <t>-584.625673379946 105.463959091491 808.122944695913</t>
  </si>
  <si>
    <t>-590.852445088368 -139.26406979144 307.745657793941</t>
  </si>
  <si>
    <t>-620.267680420053 -125.495739062598 754.424905720773</t>
  </si>
  <si>
    <t>-500.338571664345 -199.300828942378 826.930992301169</t>
  </si>
  <si>
    <t>9763-20170724T105037.210384100.bin</t>
  </si>
  <si>
    <t>-716.287668035932 84.2100487937096 -542.931225844332</t>
  </si>
  <si>
    <t>-633.6135559124 141.297308436561 -266.349873346028</t>
  </si>
  <si>
    <t>-393.345210756436 157.938795199304 -273.062158298516</t>
  </si>
  <si>
    <t>-686.592924588499 35.9490893535017 -102.752301009372</t>
  </si>
  <si>
    <t>-691.091696285403 56.6691065644247 300.242906887895</t>
  </si>
  <si>
    <t>-728.163919332457 80.5489599820655 745.985796442807</t>
  </si>
  <si>
    <t>-584.618059880351 105.337353466869 808.174248576999</t>
  </si>
  <si>
    <t>-590.371850566091 -138.699913446593 307.772273110843</t>
  </si>
  <si>
    <t>-620.259797924081 -125.464168980529 754.410312755455</t>
  </si>
  <si>
    <t>-500.346312343626 -199.259319580697 826.952417688608</t>
  </si>
  <si>
    <t>9763-20170724T105037.243480800.bin</t>
  </si>
  <si>
    <t>-715.738603685195 84.5937568717063 -543.094544493333</t>
  </si>
  <si>
    <t>-632.735010021826 141.743351208828 -266.624826819677</t>
  </si>
  <si>
    <t>-392.412998146088 157.706562949278 -273.058150983639</t>
  </si>
  <si>
    <t>-686.230374641191 36.5218732778558 -102.735944555022</t>
  </si>
  <si>
    <t>-690.832388206746 56.9443502377103 300.273250102759</t>
  </si>
  <si>
    <t>-728.149773334636 80.5606467961327 746.006902545745</t>
  </si>
  <si>
    <t>-584.587054723884 105.261079873995 808.191464370703</t>
  </si>
  <si>
    <t>-590.187430616053 -138.479602096617 307.78116044077</t>
  </si>
  <si>
    <t>-620.237939670293 -125.400608850669 754.404904620263</t>
  </si>
  <si>
    <t>-500.425284380344 -199.335803575088 826.97077441819</t>
  </si>
  <si>
    <t>9763-20170724T105037.312172700.bin</t>
  </si>
  <si>
    <t>-714.769247407791 85.0892477764326 -543.51353130976</t>
  </si>
  <si>
    <t>-631.344630292198 142.646349490317 -267.255044023427</t>
  </si>
  <si>
    <t>-390.933941548442 157.400122944239 -273.247503228556</t>
  </si>
  <si>
    <t>-685.453041806093 37.5985183087014 -102.724389396042</t>
  </si>
  <si>
    <t>-690.303791208653 57.5232694484157 300.306808015187</t>
  </si>
  <si>
    <t>-728.189488107192 80.6686451285889 746.057191340871</t>
  </si>
  <si>
    <t>-584.571562358041 105.100771941172 808.220127999306</t>
  </si>
  <si>
    <t>-589.889854321567 -138.053136464452 307.822297267667</t>
  </si>
  <si>
    <t>-620.221753447797 -125.300021443669 754.404105642781</t>
  </si>
  <si>
    <t>-500.729425763553 -199.710579587333 827.012199955775</t>
  </si>
  <si>
    <t>9763-20170724T105037.347276100.bin</t>
  </si>
  <si>
    <t>-714.370974187634 85.2270537431129 -543.738397900358</t>
  </si>
  <si>
    <t>-630.729604570614 142.995696585901 -267.589660509806</t>
  </si>
  <si>
    <t>-390.292143637241 157.442870073 -273.244581660304</t>
  </si>
  <si>
    <t>-685.133054939151 38.048094108934 -102.741963874436</t>
  </si>
  <si>
    <t>-690.015828031042 57.7430543011278 300.300177477972</t>
  </si>
  <si>
    <t>-728.173146059871 80.656918718789 746.056456033733</t>
  </si>
  <si>
    <t>-584.538382607619 105.00787752479 808.212538602992</t>
  </si>
  <si>
    <t>-589.793608279655 -137.889694324572 307.837608814019</t>
  </si>
  <si>
    <t>-620.228132598425 -125.299670049727 754.40692395377</t>
  </si>
  <si>
    <t>-500.890028520952 -199.936653216964 827.036482426798</t>
  </si>
  <si>
    <t>9763-20170724T105037.412514200.bin</t>
  </si>
  <si>
    <t>-713.867964154597 85.1578367076711 -544.174465583153</t>
  </si>
  <si>
    <t>-629.842631045288 143.406386036389 -268.243295730676</t>
  </si>
  <si>
    <t>-389.368789039195 157.509368820355 -273.175714985884</t>
  </si>
  <si>
    <t>-684.67398790522 38.7161685948618 -102.776513248091</t>
  </si>
  <si>
    <t>-689.523281516611 58.0121355090523 300.28531704006</t>
  </si>
  <si>
    <t>-728.196331715955 80.712178393153 746.035650387718</t>
  </si>
  <si>
    <t>-584.531506726764 104.952729431494 808.165470889239</t>
  </si>
  <si>
    <t>-589.675132734013 -137.731895252386 307.86706528636</t>
  </si>
  <si>
    <t>-620.263995629062 -125.336841159964 754.427930969572</t>
  </si>
  <si>
    <t>-500.762181581516 -199.715097133198 827.053421411074</t>
  </si>
  <si>
    <t>9763-20170724T105037.446106300.bin</t>
  </si>
  <si>
    <t>-713.787085903949 84.9987825147532 -544.393090529728</t>
  </si>
  <si>
    <t>-629.624789029599 143.573028606537 -268.572524615787</t>
  </si>
  <si>
    <t>-389.144111327959 157.628262870835 -273.300341088459</t>
  </si>
  <si>
    <t>-684.513203208167 38.9819403228635 -102.798149668801</t>
  </si>
  <si>
    <t>-689.433001865472 58.1511121342041 300.268873045241</t>
  </si>
  <si>
    <t>-728.230097161872 80.7993711424424 746.012754878032</t>
  </si>
  <si>
    <t>-584.510463915857 104.738478958313 808.132727401719</t>
  </si>
  <si>
    <t>-589.645581644586 -137.643975632526 307.882641193996</t>
  </si>
  <si>
    <t>-620.247117603169 -125.232013497932 754.427638119545</t>
  </si>
  <si>
    <t>-500.88940568857 -199.82950545021 827.065188235501</t>
  </si>
  <si>
    <t>9763-20170724T105037.512999200.bin</t>
  </si>
  <si>
    <t>-713.399913715003 84.2958804853845 -544.811473619418</t>
  </si>
  <si>
    <t>-629.190956621755 143.579766963342 -269.156968132315</t>
  </si>
  <si>
    <t>-388.71357751093 157.793728809562 -273.574538656083</t>
  </si>
  <si>
    <t>-684.164893597509 39.0126008512834 -102.877535511844</t>
  </si>
  <si>
    <t>-689.238990206213 58.1775895095407 300.187772186818</t>
  </si>
  <si>
    <t>-728.148456109783 80.7080485571607 745.923748727214</t>
  </si>
  <si>
    <t>-584.437390986171 104.73962740957 808.028002567267</t>
  </si>
  <si>
    <t>-589.553330807835 -137.835904537073 307.916542226799</t>
  </si>
  <si>
    <t>-620.37426839626 -125.497975828025 754.453579184459</t>
  </si>
  <si>
    <t>-500.750133777305 -199.694160151339 827.06420343161</t>
  </si>
  <si>
    <t>9763-20170724T105037.547595900.bin</t>
  </si>
  <si>
    <t>-713.119628964635 84.0186053518814 -545.030148311245</t>
  </si>
  <si>
    <t>-628.909929381141 143.694147800382 -269.460249186658</t>
  </si>
  <si>
    <t>-388.438433907535 158.104950569228 -273.53933474851</t>
  </si>
  <si>
    <t>-684.148545420116 39.1042629272692 -102.92487946367</t>
  </si>
  <si>
    <t>-689.185394527129 58.2142920911756 300.143461835855</t>
  </si>
  <si>
    <t>-728.194385687241 80.8230534517013 745.881737590198</t>
  </si>
  <si>
    <t>-584.445676591412 104.633307133403 807.983779126311</t>
  </si>
  <si>
    <t>-589.541349453504 -137.795106492912 307.935104217775</t>
  </si>
  <si>
    <t>-620.410676505622 -125.52510545517 754.471817216533</t>
  </si>
  <si>
    <t>-500.969689437186 -200.013710749938 827.084565341424</t>
  </si>
  <si>
    <t>9763-20170724T105037.612091000.bin</t>
  </si>
  <si>
    <t>-712.525406444136 83.2961718185138 -545.464575213865</t>
  </si>
  <si>
    <t>-628.242761578101 143.831151656678 -270.104532008832</t>
  </si>
  <si>
    <t>-387.793634303657 158.802731267818 -273.415299440193</t>
  </si>
  <si>
    <t>-683.998708279936 39.0779737737498 -103.010784929895</t>
  </si>
  <si>
    <t>-689.11340094974 58.1979945152673 300.056183793761</t>
  </si>
  <si>
    <t>-728.155636166372 80.8334639520049 745.787424488227</t>
  </si>
  <si>
    <t>-584.406137702617 104.658768812726 807.881908138933</t>
  </si>
  <si>
    <t>-589.459538811102 -137.705594314811 307.940812303283</t>
  </si>
  <si>
    <t>-620.314260402788 -125.072933266842 754.468054711426</t>
  </si>
  <si>
    <t>-501.265753924473 -200.169379782447 827.098987609967</t>
  </si>
  <si>
    <t>9763-20170724T105037.645704900.bin</t>
  </si>
  <si>
    <t>-712.249066269683 82.8387857481737 -545.6469480657</t>
  </si>
  <si>
    <t>-627.78642680046 143.669336958638 -270.40731838188</t>
  </si>
  <si>
    <t>-387.346747419015 158.868737416396 -273.342234255265</t>
  </si>
  <si>
    <t>-683.971175924649 39.0067950851119 -103.052161849637</t>
  </si>
  <si>
    <t>-689.17342042855 58.1367933333365 300.013162966928</t>
  </si>
  <si>
    <t>-728.134993471356 80.83103366057 745.73510278879</t>
  </si>
  <si>
    <t>-584.386305688681 104.65890393216 807.830636497149</t>
  </si>
  <si>
    <t>-589.559799495044 -137.885394133107 307.962572532027</t>
  </si>
  <si>
    <t>-620.41623178438 -125.295607735 754.495373356977</t>
  </si>
  <si>
    <t>-500.974934151815 -199.810036018489 827.081103266154</t>
  </si>
  <si>
    <t>9763-20170724T105037.709937000.bin</t>
  </si>
  <si>
    <t>-711.446333608227 81.9587127313455 -545.961531712626</t>
  </si>
  <si>
    <t>-626.627359186149 143.468102566861 -270.982336319395</t>
  </si>
  <si>
    <t>-386.209483537947 159.073626502273 -273.542878028599</t>
  </si>
  <si>
    <t>-683.782484648495 38.7767521643568 -103.135183983601</t>
  </si>
  <si>
    <t>-689.235418799515 58.013442010669 299.921756415563</t>
  </si>
  <si>
    <t>-728.097928416808 80.8389806173375 745.634410176392</t>
  </si>
  <si>
    <t>-584.365185443293 104.779337872737 807.723226641224</t>
  </si>
  <si>
    <t>-589.702453429612 -138.042270504113 308.002237655223</t>
  </si>
  <si>
    <t>-620.475250986877 -125.322196955298 754.526331492472</t>
  </si>
  <si>
    <t>-501.124221682421 -200.002957033628 827.08949256042</t>
  </si>
  <si>
    <t>9763-20170724T105037.742022000.bin</t>
  </si>
  <si>
    <t>-711.042234987518 81.390522460739 -546.131735134197</t>
  </si>
  <si>
    <t>-626.061932599404 143.170393464296 -271.262891452899</t>
  </si>
  <si>
    <t>-385.656830195307 158.977920575055 -273.790775104218</t>
  </si>
  <si>
    <t>-683.803242380031 38.6459246461818 -103.192111085743</t>
  </si>
  <si>
    <t>-689.182451165472 57.8707083646427 299.866331437127</t>
  </si>
  <si>
    <t>-728.032108685918 80.7430696492368 745.579088332519</t>
  </si>
  <si>
    <t>-584.342060504729 104.95582571077 807.661345538153</t>
  </si>
  <si>
    <t>-589.843780502515 -138.215357303655 308.019954085406</t>
  </si>
  <si>
    <t>-620.583623857138 -125.595109151717 754.551152257014</t>
  </si>
  <si>
    <t>-500.8477350128 -199.693563357006 827.077245876026</t>
  </si>
  <si>
    <t>9763-20170724T105037.807918700.bin</t>
  </si>
  <si>
    <t>-710.15663033396 80.4434934550907 -546.471405316567</t>
  </si>
  <si>
    <t>-624.669800194495 142.951547449759 -271.92455234218</t>
  </si>
  <si>
    <t>-384.276435189994 158.975306924752 -274.178975888731</t>
  </si>
  <si>
    <t>-683.738368089202 38.4592402135256 -103.284266611241</t>
  </si>
  <si>
    <t>-689.112116599106 57.7276051371393 299.772249206304</t>
  </si>
  <si>
    <t>-728.011483140872 80.6921490044226 745.49993332186</t>
  </si>
  <si>
    <t>-584.294322985637 104.79763925794 807.561139885562</t>
  </si>
  <si>
    <t>-590.100666178809 -138.349193224735 308.03861204888</t>
  </si>
  <si>
    <t>-620.68158590354 -125.789860246163 754.573181886661</t>
  </si>
  <si>
    <t>-500.790119969466 -199.651671064805 827.083812655725</t>
  </si>
  <si>
    <t>9763-20170724T105037.848531100.bin</t>
  </si>
  <si>
    <t>-709.761519606717 80.1394318763835 -546.642855396696</t>
  </si>
  <si>
    <t>-623.976191123194 143.140355974703 -272.301858660949</t>
  </si>
  <si>
    <t>-383.592635142341 159.327665671822 -274.448380679591</t>
  </si>
  <si>
    <t>-683.734472221239 38.4757540478711 -103.355732044431</t>
  </si>
  <si>
    <t>-689.222854746233 57.682157445611 299.702147828002</t>
  </si>
  <si>
    <t>-728.036584203276 80.7398457654238 745.447528131422</t>
  </si>
  <si>
    <t>-584.280332721579 104.627550526542 807.502238882599</t>
  </si>
  <si>
    <t>-590.297920741608 -138.413004963149 308.045657314407</t>
  </si>
  <si>
    <t>-620.710430755865 -125.815453075186 754.5813665394</t>
  </si>
  <si>
    <t>-500.759725615878 -199.58729891791 827.085453566981</t>
  </si>
  <si>
    <t>9763-20170724T105037.908193600.bin</t>
  </si>
  <si>
    <t>-709.440533950781 80.0623100072844 -546.803815534638</t>
  </si>
  <si>
    <t>-622.821720224638 143.758818909243 -272.885730294002</t>
  </si>
  <si>
    <t>-382.466814608918 160.327327041941 -275.307034200475</t>
  </si>
  <si>
    <t>-683.573593507836 38.5137672684034 -103.498941158445</t>
  </si>
  <si>
    <t>-689.499714674256 57.7359700440657 299.551917171774</t>
  </si>
  <si>
    <t>-728.007573915699 80.7279715222346 745.31565811504</t>
  </si>
  <si>
    <t>-584.254636923443 104.670861719245 807.356865914282</t>
  </si>
  <si>
    <t>-590.694932808491 -138.335643907138 308.038336723209</t>
  </si>
  <si>
    <t>-620.686824484964 -125.650561319795 754.589421691075</t>
  </si>
  <si>
    <t>-500.999453586242 -199.83329397754 827.10935230572</t>
  </si>
  <si>
    <t>9763-20170724T105037.944287500.bin</t>
  </si>
  <si>
    <t>-709.43950358429 80.0429730745273 -546.82891534322</t>
  </si>
  <si>
    <t>-622.398384741433 143.853965280259 -273.071333236487</t>
  </si>
  <si>
    <t>-382.066148547731 160.720456511497 -275.684468260233</t>
  </si>
  <si>
    <t>-683.518523115626 38.5884516051281 -103.571049022383</t>
  </si>
  <si>
    <t>-689.814760309907 57.759630352946 299.476699054663</t>
  </si>
  <si>
    <t>-728.043265822291 80.8354689742139 745.256993337845</t>
  </si>
  <si>
    <t>-584.258829906723 104.589005206811 807.298034690973</t>
  </si>
  <si>
    <t>-591.070216405584 -138.370697264453 308.03037427437</t>
  </si>
  <si>
    <t>-620.752520022607 -125.771910863263 754.604751975469</t>
  </si>
  <si>
    <t>-500.942002981664 -199.772223299272 827.107688595598</t>
  </si>
  <si>
    <t>9763-20170724T105038.008468800.bin</t>
  </si>
  <si>
    <t>-709.440497756809 80.3081393746095 -546.931266108642</t>
  </si>
  <si>
    <t>-621.927672640733 144.073725970027 -273.313560738505</t>
  </si>
  <si>
    <t>-381.615163827313 161.192839496053 -276.088565389774</t>
  </si>
  <si>
    <t>-683.65166213981 38.7279871951432 -103.725217620593</t>
  </si>
  <si>
    <t>-690.672062860602 57.7677789060936 299.316770158022</t>
  </si>
  <si>
    <t>-727.980147569551 80.8337218442464 745.153404846324</t>
  </si>
  <si>
    <t>-584.222372367188 104.742554007105 807.196641919991</t>
  </si>
  <si>
    <t>-591.705205218696 -138.250280704472 307.965928630121</t>
  </si>
  <si>
    <t>-620.752386785565 -125.604290197054 754.599708425519</t>
  </si>
  <si>
    <t>-501.308374225088 -200.190396867989 827.10719827252</t>
  </si>
  <si>
    <t>9763-20170724T105038.045572200.bin</t>
  </si>
  <si>
    <t>-709.376536450274 80.3248591259271 -546.96824214697</t>
  </si>
  <si>
    <t>-621.761804572476 144.002427189093 -273.362578685996</t>
  </si>
  <si>
    <t>-381.462929000327 161.305596848309 -276.179354152477</t>
  </si>
  <si>
    <t>-683.683387176526 38.6741686050509 -103.793232676739</t>
  </si>
  <si>
    <t>-690.970093475904 57.7802618747598 299.240924904553</t>
  </si>
  <si>
    <t>-727.998732481848 80.9427231876516 745.117846921471</t>
  </si>
  <si>
    <t>-584.195648055256 104.551971576802 807.170464441605</t>
  </si>
  <si>
    <t>-591.968723788278 -138.359314266934 307.925932470213</t>
  </si>
  <si>
    <t>-620.825267783092 -125.699039680131 754.605591379442</t>
  </si>
  <si>
    <t>-501.256319250408 -200.118242878043 827.078670039134</t>
  </si>
  <si>
    <t>9763-20170724T105038.110765900.bin</t>
  </si>
  <si>
    <t>-708.847057402932 80.2133085562291 -546.921952233416</t>
  </si>
  <si>
    <t>-621.000112552518 143.587728168641 -273.32030123815</t>
  </si>
  <si>
    <t>-380.737427101426 161.374417688779 -276.207362505538</t>
  </si>
  <si>
    <t>-683.681647122091 38.2175691202087 -103.871766757678</t>
  </si>
  <si>
    <t>-691.18163642696 57.5556478069605 299.14738027537</t>
  </si>
  <si>
    <t>-727.88797476314 80.8388723397359 745.049747633474</t>
  </si>
  <si>
    <t>-584.145415225151 104.815031419745 807.102269634563</t>
  </si>
  <si>
    <t>-592.568635228765 -138.540161410024 307.927728777557</t>
  </si>
  <si>
    <t>-620.922039823616 -125.694847107006 754.640507768365</t>
  </si>
  <si>
    <t>-501.485776954885 -200.383404900986 827.055265800274</t>
  </si>
  <si>
    <t>9763-20170724T105038.142838500.bin</t>
  </si>
  <si>
    <t>-708.653388117444 80.2715006650569 -546.870637891828</t>
  </si>
  <si>
    <t>-620.623543797349 143.740773056328 -273.350024669257</t>
  </si>
  <si>
    <t>-380.379722536711 161.783540510446 -276.228138644577</t>
  </si>
  <si>
    <t>-683.734292100315 38.0448537035227 -103.895278687634</t>
  </si>
  <si>
    <t>-691.259459465341 57.4985752036405 299.117831964186</t>
  </si>
  <si>
    <t>-727.87763458435 80.8846854045671 745.013446293686</t>
  </si>
  <si>
    <t>-584.134811478398 104.851574995131 807.068999358565</t>
  </si>
  <si>
    <t>-592.759533062269 -138.633990225366 307.933146536003</t>
  </si>
  <si>
    <t>-620.956024975763 -125.732745551787 754.642223389744</t>
  </si>
  <si>
    <t>-501.449721981491 -200.318271695144 827.047389295586</t>
  </si>
  <si>
    <t>9763-20170724T105038.215042200.bin</t>
  </si>
  <si>
    <t>-708.518949650388 80.075416765063 -546.798583961906</t>
  </si>
  <si>
    <t>-620.05026018119 143.780474140574 -273.474146709469</t>
  </si>
  <si>
    <t>-379.832988100005 162.212857358073 -276.076284451965</t>
  </si>
  <si>
    <t>-683.982096214649 37.6878280082753 -103.920911780365</t>
  </si>
  <si>
    <t>-691.547773843078 57.313999742667 299.083112180068</t>
  </si>
  <si>
    <t>-727.866804113409 80.991461738658 744.964482906873</t>
  </si>
  <si>
    <t>-584.074315687044 104.640827934547 807.026765985175</t>
  </si>
  <si>
    <t>-593.02916444561 -138.87126470576 307.920014489846</t>
  </si>
  <si>
    <t>-621.044374623738 -125.876138467223 754.652499426719</t>
  </si>
  <si>
    <t>-501.429095380735 -200.294752173336 827.049664368324</t>
  </si>
  <si>
    <t>9763-20170724T105038.243116200.bin</t>
  </si>
  <si>
    <t>-708.377929755165 79.7279982542505 -546.747013098769</t>
  </si>
  <si>
    <t>-619.664676227889 143.57861670492 -273.535963168718</t>
  </si>
  <si>
    <t>-379.453958630613 162.114920112909 -276.004665534869</t>
  </si>
  <si>
    <t>-684.006814737167 37.3169979565821 -103.932743520351</t>
  </si>
  <si>
    <t>-691.653385570412 57.0507647447378 299.064454999909</t>
  </si>
  <si>
    <t>-727.809997299508 80.9406444059555 744.944487330313</t>
  </si>
  <si>
    <t>-584.080185285877 104.968313099103 807.006926331212</t>
  </si>
  <si>
    <t>-593.256560062718 -139.167736314352 307.925545471137</t>
  </si>
  <si>
    <t>-621.162666418827 -126.145759655804 754.671584292892</t>
  </si>
  <si>
    <t>-501.228869261532 -200.086607166718 827.031342089686</t>
  </si>
  <si>
    <t>9763-20170724T105038.313311700.bin</t>
  </si>
  <si>
    <t>-708.016088606108 79.4161468767716 -546.644646506722</t>
  </si>
  <si>
    <t>-618.505980707903 143.752488927072 -273.807708061075</t>
  </si>
  <si>
    <t>-378.328021950198 162.745745213603 -275.980357177074</t>
  </si>
  <si>
    <t>-683.907883873424 36.923854959043 -103.964723443533</t>
  </si>
  <si>
    <t>-691.808910022966 56.8895359010171 299.016216945303</t>
  </si>
  <si>
    <t>-727.824045259386 81.104665970443 744.895782316377</t>
  </si>
  <si>
    <t>-584.038947564832 104.757068380678 806.974278165271</t>
  </si>
  <si>
    <t>-593.557054411157 -139.40212806027 307.966142649679</t>
  </si>
  <si>
    <t>-621.202115350698 -126.065017580724 754.709295437494</t>
  </si>
  <si>
    <t>-501.499653417569 -200.396725428874 827.051343250937</t>
  </si>
  <si>
    <t>9763-20170724T105038.342397000.bin</t>
  </si>
  <si>
    <t>-707.863115429487 79.2400550127898 -546.642638448867</t>
  </si>
  <si>
    <t>-617.930339950377 143.903695809073 -274.022116278029</t>
  </si>
  <si>
    <t>-377.772369529836 163.160808499682 -276.065131544908</t>
  </si>
  <si>
    <t>-683.909775278542 36.680641784058 -103.974420261795</t>
  </si>
  <si>
    <t>-691.805590989047 56.7526758908286 299.001298122771</t>
  </si>
  <si>
    <t>-727.76494307682 81.0463798082621 744.871497979154</t>
  </si>
  <si>
    <t>-584.008390131636 104.871269774555 806.950132796059</t>
  </si>
  <si>
    <t>-593.699185055556 -139.489131354773 307.97390498558</t>
  </si>
  <si>
    <t>-621.208904957557 -126.031800912628 754.714067216732</t>
  </si>
  <si>
    <t>-501.512273091203 -200.374503390247 827.054555888562</t>
  </si>
  <si>
    <t>9763-20170724T105038.411437300.bin</t>
  </si>
  <si>
    <t>-707.109301177125 78.7958321662684 -546.64872617876</t>
  </si>
  <si>
    <t>-616.303509182893 144.124479392483 -274.4765531134</t>
  </si>
  <si>
    <t>-376.168055789679 163.681315474789 -276.305683678144</t>
  </si>
  <si>
    <t>-683.84467855557 36.2218147244587 -103.992679229588</t>
  </si>
  <si>
    <t>-691.845667305891 56.4585246624829 298.972736296892</t>
  </si>
  <si>
    <t>-727.740807378677 81.1036979520354 744.830951562319</t>
  </si>
  <si>
    <t>-583.956357542604 104.759472648639 806.909212088628</t>
  </si>
  <si>
    <t>-593.985607534518 -139.837673045654 307.972506440035</t>
  </si>
  <si>
    <t>-621.297811341236 -126.200150326775 754.720840700199</t>
  </si>
  <si>
    <t>-501.430615610157 -200.275725916776 827.053084540785</t>
  </si>
  <si>
    <t>9763-20170724T105038.443520900.bin</t>
  </si>
  <si>
    <t>-706.816503033356 78.5419653969439 -546.660945961514</t>
  </si>
  <si>
    <t>-615.516071891572 144.148873653189 -274.721168656172</t>
  </si>
  <si>
    <t>-375.389717428996 163.83444939135 -276.359100420394</t>
  </si>
  <si>
    <t>-683.699333794526 35.9659805881879 -103.999332054297</t>
  </si>
  <si>
    <t>-691.829777835165 56.3087489533093 298.958060076319</t>
  </si>
  <si>
    <t>-727.698947846244 81.067175285046 744.816383106338</t>
  </si>
  <si>
    <t>-583.93959430684 104.890029445417 806.889326519773</t>
  </si>
  <si>
    <t>-594.104579533575 -139.993942321818 307.987259548849</t>
  </si>
  <si>
    <t>-621.310899948283 -126.158975990256 754.737398254424</t>
  </si>
  <si>
    <t>-501.571905124915 -200.443753766133 827.067505175565</t>
  </si>
  <si>
    <t>9763-20170724T105038.512389500.bin</t>
  </si>
  <si>
    <t>-706.407951841596 77.9173916139632 -546.707014275106</t>
  </si>
  <si>
    <t>-614.187408991221 144.011938616481 -275.196285123918</t>
  </si>
  <si>
    <t>-374.08221335063 163.966365021054 -276.688169603885</t>
  </si>
  <si>
    <t>-683.435140601851 35.5286437782536 -104.01725297664</t>
  </si>
  <si>
    <t>-691.724170037933 56.0425160776945 298.928307931139</t>
  </si>
  <si>
    <t>-727.664996237915 81.0886084137167 744.774300286286</t>
  </si>
  <si>
    <t>-583.892473370902 104.869231512296 806.832690747587</t>
  </si>
  <si>
    <t>-594.258840769598 -140.400373109447 308.036476962891</t>
  </si>
  <si>
    <t>-621.422985049214 -126.336937450164 754.782451019178</t>
  </si>
  <si>
    <t>-501.604602804858 -200.534652251077 827.070183295313</t>
  </si>
  <si>
    <t>9763-20170724T105038.541467000.bin</t>
  </si>
  <si>
    <t>-706.150845604048 77.6911580626854 -546.732712315266</t>
  </si>
  <si>
    <t>-613.658455608515 143.913022592063 -275.345530771461</t>
  </si>
  <si>
    <t>-373.560629835676 163.955027712815 -276.848214944293</t>
  </si>
  <si>
    <t>-683.32006834385 35.3965221433875 -104.022996842942</t>
  </si>
  <si>
    <t>-691.623236650833 56.0038447782827 298.917477891855</t>
  </si>
  <si>
    <t>-727.682242523464 81.167795192707 744.748289196149</t>
  </si>
  <si>
    <t>-583.87899186305 104.767916090266 806.804277531037</t>
  </si>
  <si>
    <t>-594.26143293533 -140.451666358496 308.071419539692</t>
  </si>
  <si>
    <t>-621.409533618669 -126.20013178091 754.80741492751</t>
  </si>
  <si>
    <t>-501.862042902277 -200.838999565798 827.089938116743</t>
  </si>
  <si>
    <t>9763-20170724T105038.606667700.bin</t>
  </si>
  <si>
    <t>-705.659021987334 77.2909263885663 -546.778492197487</t>
  </si>
  <si>
    <t>-612.703200087658 143.728261644472 -275.602389388057</t>
  </si>
  <si>
    <t>-372.604233925723 163.762146383709 -277.031362114796</t>
  </si>
  <si>
    <t>-683.127239153626 35.1454253171096 -104.045169919915</t>
  </si>
  <si>
    <t>-691.43442194396 55.8356292166939 298.890978153147</t>
  </si>
  <si>
    <t>-727.609658606588 81.098015381333 744.694941423917</t>
  </si>
  <si>
    <t>-583.842268247897 104.936785324179 806.742645604158</t>
  </si>
  <si>
    <t>-594.315098993015 -140.537812957755 308.120482641042</t>
  </si>
  <si>
    <t>-621.421230072351 -126.071762341984 754.844146727354</t>
  </si>
  <si>
    <t>-502.100889394138 -201.100369110278 827.0982462837</t>
  </si>
  <si>
    <t>9763-20170724T105038.645784300.bin</t>
  </si>
  <si>
    <t>-705.291825890274 76.7767858642269 -546.824833931786</t>
  </si>
  <si>
    <t>-611.725039021609 143.553854151143 -275.942284689512</t>
  </si>
  <si>
    <t>-371.606796350273 163.367828600648 -277.16471921528</t>
  </si>
  <si>
    <t>-682.87471565049 34.7708972568676 -104.066598907144</t>
  </si>
  <si>
    <t>-691.326089435883 55.573406008144 298.860788552676</t>
  </si>
  <si>
    <t>-727.535166557866 81.037597217432 744.640886076943</t>
  </si>
  <si>
    <t>-583.789627785695 105.016668007718 806.685333119372</t>
  </si>
  <si>
    <t>-594.512057095989 -140.875978255061 308.157673905809</t>
  </si>
  <si>
    <t>-621.539914448234 -126.271691483674 754.883086040211</t>
  </si>
  <si>
    <t>-501.889256565365 -200.838068297483 827.069328047868</t>
  </si>
  <si>
    <t>9763-20170724T105038.711664500.bin</t>
  </si>
  <si>
    <t>-705.040657817269 76.0617510123957 -546.909989918554</t>
  </si>
  <si>
    <t>-610.887786221227 143.042622039469 -276.281007428188</t>
  </si>
  <si>
    <t>-370.744518178808 162.543834502981 -277.625826677252</t>
  </si>
  <si>
    <t>-682.662067897047 34.3376730960038 -104.100718642658</t>
  </si>
  <si>
    <t>-691.339815494151 55.3190162033206 298.812619051295</t>
  </si>
  <si>
    <t>-727.52980982292 81.1371905839785 744.574313405116</t>
  </si>
  <si>
    <t>-583.767858352423 105.030167949808 806.614194892334</t>
  </si>
  <si>
    <t>-594.757424006962 -141.360630702693 308.189686279847</t>
  </si>
  <si>
    <t>-621.669013451454 -126.513101195864 754.919820463006</t>
  </si>
  <si>
    <t>-501.582858169157 -200.439329227258 827.041503303836</t>
  </si>
  <si>
    <t>9763-20170724T105038.745756600.bin</t>
  </si>
  <si>
    <t>-704.973308432865 75.7936504585209 -546.955281716294</t>
  </si>
  <si>
    <t>-610.689290357081 142.681671635909 -276.349019392934</t>
  </si>
  <si>
    <t>-370.542291546848 162.120370049567 -277.901739223647</t>
  </si>
  <si>
    <t>-682.566066753841 34.1924703335833 -104.116106538563</t>
  </si>
  <si>
    <t>-691.317271477287 55.232978470654 298.792549975539</t>
  </si>
  <si>
    <t>-727.538418140602 81.204837792696 744.544120393611</t>
  </si>
  <si>
    <t>-583.763903899758 105.028852097432 806.581298468281</t>
  </si>
  <si>
    <t>-594.832270174732 -141.435260334819 308.196994721762</t>
  </si>
  <si>
    <t>-621.667432481654 -126.429583304095 754.923262697736</t>
  </si>
  <si>
    <t>-501.775659763792 -200.664666069689 827.051041799174</t>
  </si>
  <si>
    <t>9763-20170724T105038.811939300.bin</t>
  </si>
  <si>
    <t>-705.055642625693 75.2069289505475 -546.990008581326</t>
  </si>
  <si>
    <t>-610.69882204564 141.679243476693 -276.306865124196</t>
  </si>
  <si>
    <t>-370.567785571388 161.243965943058 -278.585904902109</t>
  </si>
  <si>
    <t>-682.363524262084 33.7646198818625 -104.130394279265</t>
  </si>
  <si>
    <t>-691.201691912299 54.994931984178 298.766404184154</t>
  </si>
  <si>
    <t>-727.471939831895 81.1786552822136 744.491762013857</t>
  </si>
  <si>
    <t>-583.701977352478 105.042992247464 806.523735342322</t>
  </si>
  <si>
    <t>-594.846395030738 -141.684970099534 308.205111510109</t>
  </si>
  <si>
    <t>-621.682947333508 -126.367513902562 754.932186247949</t>
  </si>
  <si>
    <t>-501.980304016847 -200.901810283479 827.065421237109</t>
  </si>
  <si>
    <t>9763-20170724T105038.846029600.bin</t>
  </si>
  <si>
    <t>-705.163513331081 74.8436610568012 -546.924711061034</t>
  </si>
  <si>
    <t>-610.67979151167 141.070729846314 -276.225475300348</t>
  </si>
  <si>
    <t>-370.572505896681 160.888650346865 -278.792104764234</t>
  </si>
  <si>
    <t>-682.206582159492 33.4373443811751 -104.135280668438</t>
  </si>
  <si>
    <t>-691.086960144928 54.7962550424941 298.753805386793</t>
  </si>
  <si>
    <t>-727.418317414789 81.1144419362142 744.468447663624</t>
  </si>
  <si>
    <t>-583.706243800968 105.346426609759 806.492250687343</t>
  </si>
  <si>
    <t>-594.814642925262 -141.952627597377 308.2190277135</t>
  </si>
  <si>
    <t>-621.735344718662 -126.49377264735 754.933831051067</t>
  </si>
  <si>
    <t>-501.883686954534 -200.798477173322 827.056760168517</t>
  </si>
  <si>
    <t>9763-20170724T105038.912212700.bin</t>
  </si>
  <si>
    <t>-705.22899023971 74.3752606512578 -546.722707282088</t>
  </si>
  <si>
    <t>-610.523900971706 140.203974473526 -276.003765657119</t>
  </si>
  <si>
    <t>-370.456346630145 160.441618526233 -278.97780813035</t>
  </si>
  <si>
    <t>-681.995443929902 32.9575005139843 -104.134609748833</t>
  </si>
  <si>
    <t>-690.849656763598 54.4999562038377 298.745293676034</t>
  </si>
  <si>
    <t>-727.414323996686 81.1917781748093 744.421816416121</t>
  </si>
  <si>
    <t>-583.681793396757 105.307866079139 806.4431559426</t>
  </si>
  <si>
    <t>-594.822167801187 -142.184482996968 308.23099872061</t>
  </si>
  <si>
    <t>-621.744155082773 -126.405469345057 754.935007212258</t>
  </si>
  <si>
    <t>-501.98069443928 -200.851396642104 827.058572383413</t>
  </si>
  <si>
    <t>9763-20170724T105038.946303700.bin</t>
  </si>
  <si>
    <t>-705.189008991972 74.1601859554421 -546.615732979956</t>
  </si>
  <si>
    <t>-610.407127731312 139.892596821534 -275.900300400083</t>
  </si>
  <si>
    <t>-370.35615051154 160.305899033989 -279.016483083949</t>
  </si>
  <si>
    <t>-681.876663552875 32.6834035377369 -104.13487908436</t>
  </si>
  <si>
    <t>-690.753331629113 54.2963570979007 298.740727991912</t>
  </si>
  <si>
    <t>-727.38122402365 81.1708870617788 744.39490850631</t>
  </si>
  <si>
    <t>-583.670457508543 105.4216584563 806.414320053997</t>
  </si>
  <si>
    <t>-594.927893023292 -142.397995795904 308.238866800724</t>
  </si>
  <si>
    <t>-621.816663786551 -126.583280062128 754.94324849983</t>
  </si>
  <si>
    <t>-501.862157092102 -200.736742712396 827.05071889864</t>
  </si>
  <si>
    <t>9763-20170724T105039.008475500.bin</t>
  </si>
  <si>
    <t>-704.853974100322 74.1879862589756 -546.440937061033</t>
  </si>
  <si>
    <t>-609.927026077577 139.724944581683 -275.728856574619</t>
  </si>
  <si>
    <t>-369.89572495129 160.358231136783 -278.905314457536</t>
  </si>
  <si>
    <t>-681.704953487251 32.374794579797 -104.147762610915</t>
  </si>
  <si>
    <t>-690.750356529037 54.1337363733521 298.716247936391</t>
  </si>
  <si>
    <t>-727.341177630551 81.1958839364936 744.344148674752</t>
  </si>
  <si>
    <t>-583.612715123427 105.327579324017 806.369166770784</t>
  </si>
  <si>
    <t>-595.042761512647 -142.554298119642 308.236433057826</t>
  </si>
  <si>
    <t>-621.794919375039 -126.437092351095 754.929672345104</t>
  </si>
  <si>
    <t>-502.192022006736 -201.119971112507 827.074889993421</t>
  </si>
  <si>
    <t>9763-20170724T105039.048088800.bin</t>
  </si>
  <si>
    <t>-704.497676077388 74.1799033159296 -546.406638653354</t>
  </si>
  <si>
    <t>-609.583167533055 139.683474671453 -275.682312146874</t>
  </si>
  <si>
    <t>-369.552659189752 160.338316795879 -278.784127134249</t>
  </si>
  <si>
    <t>-681.629827840568 32.2315001640984 -104.165522181139</t>
  </si>
  <si>
    <t>-690.72676176816 54.0243774499274 298.695489655172</t>
  </si>
  <si>
    <t>-727.291787210331 81.1462604432634 744.322642019606</t>
  </si>
  <si>
    <t>-583.592150917387 105.46550753309 806.341248112183</t>
  </si>
  <si>
    <t>-595.131638193943 -142.659278483887 308.231532761531</t>
  </si>
  <si>
    <t>-621.809702483748 -126.460641953413 754.929763443095</t>
  </si>
  <si>
    <t>-502.119150406772 -201.002965797536 827.07484801946</t>
  </si>
  <si>
    <t>9763-20170724T105039.112762000.bin</t>
  </si>
  <si>
    <t>-703.77084095213 73.9419708131745 -546.435879928941</t>
  </si>
  <si>
    <t>-608.841669344702 139.27985034621 -275.67649814423</t>
  </si>
  <si>
    <t>-368.795085901154 159.797243385158 -278.421194039054</t>
  </si>
  <si>
    <t>-681.537516462601 32.0145556192347 -104.187765725147</t>
  </si>
  <si>
    <t>-690.690274983379 53.8833389155102 298.667845575504</t>
  </si>
  <si>
    <t>-727.311514584042 81.2719372900733 744.286793292578</t>
  </si>
  <si>
    <t>-583.584017144856 105.448709247479 806.296365496796</t>
  </si>
  <si>
    <t>-595.413628954407 -142.942112507319 308.225748396683</t>
  </si>
  <si>
    <t>-621.944448576112 -126.789513731309 754.952221329911</t>
  </si>
  <si>
    <t>-502.086550866091 -201.076339879253 827.082964639101</t>
  </si>
  <si>
    <t>9763-20170724T105039.142842000.bin</t>
  </si>
  <si>
    <t>-703.434376391035 73.8775106651728 -546.412952126436</t>
  </si>
  <si>
    <t>-608.486514584003 139.047419717272 -275.619699784979</t>
  </si>
  <si>
    <t>-368.436035789387 159.525505133832 -278.316410279877</t>
  </si>
  <si>
    <t>-681.415492959482 31.8927079319178 -104.200539986923</t>
  </si>
  <si>
    <t>-690.695884129877 53.8084050182867 298.649649892966</t>
  </si>
  <si>
    <t>-727.275405111349 81.2443493903297 744.263838231168</t>
  </si>
  <si>
    <t>-583.560488901097 105.509493453285 806.267878353565</t>
  </si>
  <si>
    <t>-595.539513274554 -143.101548024665 308.234100370327</t>
  </si>
  <si>
    <t>-622.006964245682 -126.950367290419 754.961975098532</t>
  </si>
  <si>
    <t>-502.042073303111 -201.071790236612 827.085067941074</t>
  </si>
  <si>
    <t>9763-20170724T105039.208020200.bin</t>
  </si>
  <si>
    <t>-702.724252687851 74.1307514094253 -546.335328724431</t>
  </si>
  <si>
    <t>-607.705773596855 138.657738109159 -275.41289885283</t>
  </si>
  <si>
    <t>-367.656243530136 159.109391463607 -278.387137430777</t>
  </si>
  <si>
    <t>-681.148155911764 31.9129270638143 -104.215567699107</t>
  </si>
  <si>
    <t>-690.728441337097 53.8876789591723 298.624416038899</t>
  </si>
  <si>
    <t>-727.30335523033 81.3789996606242 744.234067551936</t>
  </si>
  <si>
    <t>-583.561465078429 105.511649489325 806.227299503416</t>
  </si>
  <si>
    <t>-595.534924551055 -143.156525419678 308.233266159354</t>
  </si>
  <si>
    <t>-621.967303322444 -126.746023203224 754.959449463966</t>
  </si>
  <si>
    <t>-502.246697759892 -201.246507003353 827.097970422558</t>
  </si>
  <si>
    <t>9763-20170724T105039.242109800.bin</t>
  </si>
  <si>
    <t>-702.369000389478 74.0938052008557 -546.318738515542</t>
  </si>
  <si>
    <t>-607.368399724837 138.410723078411 -275.34021704642</t>
  </si>
  <si>
    <t>-367.320338936858 158.868250798599 -278.395065074099</t>
  </si>
  <si>
    <t>-680.995867170069 31.8435867656374 -104.21253742249</t>
  </si>
  <si>
    <t>-690.658358975651 53.8366986452465 298.624372450389</t>
  </si>
  <si>
    <t>-727.26500824023 81.3462756302324 744.224225438088</t>
  </si>
  <si>
    <t>-583.540723954689 105.598967551813 806.211610290693</t>
  </si>
  <si>
    <t>-595.505372736578 -143.323730674341 308.232527778979</t>
  </si>
  <si>
    <t>-622.049876615118 -126.98242829768 754.969205579991</t>
  </si>
  <si>
    <t>-502.056942516831 -201.062990848245 827.08737150318</t>
  </si>
  <si>
    <t>9763-20170724T105039.308314400.bin</t>
  </si>
  <si>
    <t>-701.744143583298 74.0662079440972 -546.258770562195</t>
  </si>
  <si>
    <t>-606.817621827874 138.429890102366 -275.265362284107</t>
  </si>
  <si>
    <t>-366.784722687904 159.055067669706 -278.374844953357</t>
  </si>
  <si>
    <t>-680.679631991571 31.7422018556979 -104.213415021342</t>
  </si>
  <si>
    <t>-690.424632093529 53.7801776658255 298.619112519922</t>
  </si>
  <si>
    <t>-727.260532529969 81.427836846482 744.194381014943</t>
  </si>
  <si>
    <t>-583.503827453009 105.478427432733 806.185517108168</t>
  </si>
  <si>
    <t>-595.333725742235 -143.42034467616 308.251492082781</t>
  </si>
  <si>
    <t>-622.05773335358 -126.926096106438 754.967242016387</t>
  </si>
  <si>
    <t>-502.25544617122 -201.303459588699 827.09708728412</t>
  </si>
  <si>
    <t>9763-20170724T105039.340400400.bin</t>
  </si>
  <si>
    <t>-701.533194286724 73.9457649495337 -546.217749983265</t>
  </si>
  <si>
    <t>-606.685751508792 138.342859062685 -275.20455569997</t>
  </si>
  <si>
    <t>-366.659970094749 159.051113242908 -278.318139183686</t>
  </si>
  <si>
    <t>-680.44995393363 31.6236771829388 -104.198937017358</t>
  </si>
  <si>
    <t>-690.299309944433 53.6808734268423 298.629986710588</t>
  </si>
  <si>
    <t>-727.206441015677 81.3632738900592 744.186606360528</t>
  </si>
  <si>
    <t>-583.477212495358 105.592821721362 806.171676371323</t>
  </si>
  <si>
    <t>-595.205137730296 -143.59763204816 308.254809037797</t>
  </si>
  <si>
    <t>-622.077894476003 -126.970843922042 754.962402924719</t>
  </si>
  <si>
    <t>-502.167229915755 -201.17934024604 827.086165788333</t>
  </si>
  <si>
    <t>9763-20170724T105039.411604800.bin</t>
  </si>
  <si>
    <t>-701.233864345422 73.7187749509819 -546.184547465262</t>
  </si>
  <si>
    <t>-606.635760472828 137.947853601585 -275.044177469426</t>
  </si>
  <si>
    <t>-366.598853088182 158.582955665202 -277.753043911883</t>
  </si>
  <si>
    <t>-679.983103402585 31.4797128339803 -104.180640340074</t>
  </si>
  <si>
    <t>-690.050291079092 53.5652275643822 298.641336088095</t>
  </si>
  <si>
    <t>-727.152861282952 81.3396990502426 744.163645418933</t>
  </si>
  <si>
    <t>-583.450208186796 105.728860659017 806.147618415423</t>
  </si>
  <si>
    <t>-594.959596442489 -143.760351251603 308.264435656219</t>
  </si>
  <si>
    <t>-622.091604079807 -126.978644933376 754.950167027255</t>
  </si>
  <si>
    <t>-502.244922573248 -201.280327022208 827.084316637668</t>
  </si>
  <si>
    <t>9763-20170724T105039.444686300.bin</t>
  </si>
  <si>
    <t>-701.087489629675 73.5307971758755 -546.201201121459</t>
  </si>
  <si>
    <t>-606.806104044597 137.639205980335 -274.922193604023</t>
  </si>
  <si>
    <t>-366.752022263983 158.108434593977 -277.35172576863</t>
  </si>
  <si>
    <t>-679.748649823558 31.3982580292902 -104.183972980691</t>
  </si>
  <si>
    <t>-689.913846767359 53.4828742576099 298.635585373079</t>
  </si>
  <si>
    <t>-727.139671612392 81.3404738770703 744.155338393412</t>
  </si>
  <si>
    <t>-583.463442684251 105.907905318267 806.129995151272</t>
  </si>
  <si>
    <t>-594.88577046432 -143.912597998847 308.268627201515</t>
  </si>
  <si>
    <t>-622.140890115818 -127.120854266452 754.949984876185</t>
  </si>
  <si>
    <t>-502.138660597303 -201.177927225851 827.076933509355</t>
  </si>
  <si>
    <t>9763-20170724T105039.509864400.bin</t>
  </si>
  <si>
    <t>-701.005471264501 73.4990770692004 -546.211356645193</t>
  </si>
  <si>
    <t>-607.544538746046 136.880177347931 -274.477840186441</t>
  </si>
  <si>
    <t>-367.488993351129 157.322702483026 -276.992542776103</t>
  </si>
  <si>
    <t>-679.369153258085 31.5383740915283 -104.173896400094</t>
  </si>
  <si>
    <t>-689.67229983415 53.5221517830475 298.647690157231</t>
  </si>
  <si>
    <t>-727.135057364597 81.3592193620054 744.144402869894</t>
  </si>
  <si>
    <t>-583.445156024775 105.898562009215 806.098531155662</t>
  </si>
  <si>
    <t>-594.602457018319 -143.901292071866 308.281971397714</t>
  </si>
  <si>
    <t>-622.1272733223 -127.077243343239 754.934515780669</t>
  </si>
  <si>
    <t>-502.233564813799 -201.288989262848 827.083081239465</t>
  </si>
  <si>
    <t>9763-20170724T105039.541950100.bin</t>
  </si>
  <si>
    <t>-700.999860546526 73.5534927848607 -546.189544503926</t>
  </si>
  <si>
    <t>-607.803445941819 136.556725636207 -274.277258875157</t>
  </si>
  <si>
    <t>-367.749628990266 156.996853633316 -276.971937577579</t>
  </si>
  <si>
    <t>-679.164165255952 31.6732094071092 -104.17207161026</t>
  </si>
  <si>
    <t>-689.593856953768 53.6237573793956 298.648027994414</t>
  </si>
  <si>
    <t>-727.185001721219 81.4982592623999 744.12677095592</t>
  </si>
  <si>
    <t>-583.457276107603 105.816192705399 806.080721587098</t>
  </si>
  <si>
    <t>-594.396204384138 -143.829619503156 308.285538302513</t>
  </si>
  <si>
    <t>-622.083445874351 -126.942447955655 754.922057365682</t>
  </si>
  <si>
    <t>-502.299636808552 -201.317650839356 827.084772385493</t>
  </si>
  <si>
    <t>9763-20170724T105039.608861700.bin</t>
  </si>
  <si>
    <t>-701.042511030905 73.4036701442717 -546.056106472103</t>
  </si>
  <si>
    <t>-607.714757134697 136.315106753181 -274.167673098969</t>
  </si>
  <si>
    <t>-367.687504689005 157.022798474678 -277.164244703051</t>
  </si>
  <si>
    <t>-678.685971904756 31.6072282238017 -104.199143878918</t>
  </si>
  <si>
    <t>-689.278724097106 53.5403153819939 298.617671771503</t>
  </si>
  <si>
    <t>-727.09930400089 81.4064897410892 744.084704257233</t>
  </si>
  <si>
    <t>-583.425804068864 106.061292391435 806.031455406729</t>
  </si>
  <si>
    <t>-594.012471145993 -143.96784239524 308.315884910545</t>
  </si>
  <si>
    <t>-622.157931165526 -127.129103695651 754.927284755355</t>
  </si>
  <si>
    <t>-502.215602081724 -201.260258819949 827.077783224975</t>
  </si>
  <si>
    <t>9763-20170724T105039.645959900.bin</t>
  </si>
  <si>
    <t>-701.108455139203 73.2935876714862 -546.011772532202</t>
  </si>
  <si>
    <t>-607.630001959463 136.31792391941 -274.201370899079</t>
  </si>
  <si>
    <t>-367.610107194891 157.105360052737 -277.23873011546</t>
  </si>
  <si>
    <t>-678.548368610353 31.6326181904828 -104.214468578195</t>
  </si>
  <si>
    <t>-689.126644889015 53.5248046939496 298.604977893423</t>
  </si>
  <si>
    <t>-727.110654924476 81.4671954196483 744.059770692118</t>
  </si>
  <si>
    <t>-583.43304633034 106.088900340088 806.009549705187</t>
  </si>
  <si>
    <t>-593.826185578818 -143.966544056687 308.324983123974</t>
  </si>
  <si>
    <t>-622.156642802827 -127.09683108783 754.922916273911</t>
  </si>
  <si>
    <t>-502.30412893879 -201.366543682423 827.080168511431</t>
  </si>
  <si>
    <t>9763-20170724T105039.707141400.bin</t>
  </si>
  <si>
    <t>-701.132017564121 72.8724091438553 -546.016062131442</t>
  </si>
  <si>
    <t>-607.429614912121 136.131861375633 -274.337496909992</t>
  </si>
  <si>
    <t>-367.423124931176 157.064747062543 -277.427055300445</t>
  </si>
  <si>
    <t>-678.196610763507 31.4409686756294 -104.234604850777</t>
  </si>
  <si>
    <t>-688.832549822966 53.356176500582 298.582079250135</t>
  </si>
  <si>
    <t>-727.040568282385 81.4090829675197 744.006507898805</t>
  </si>
  <si>
    <t>-583.387060121127 106.156844777819 805.962268396854</t>
  </si>
  <si>
    <t>-593.62951414135 -144.17577883459 308.343378710161</t>
  </si>
  <si>
    <t>-622.23613533586 -127.296812603866 754.925177050242</t>
  </si>
  <si>
    <t>-502.144703029593 -201.200847199867 827.060696174922</t>
  </si>
  <si>
    <t>9763-20170724T105039.746245300.bin</t>
  </si>
  <si>
    <t>-701.265697063363 72.7841896156203 -546.012658477384</t>
  </si>
  <si>
    <t>-607.39150560919 136.086916338188 -274.403464799499</t>
  </si>
  <si>
    <t>-367.387600825485 157.047312101147 -277.514863960067</t>
  </si>
  <si>
    <t>-678.072672694353 31.3903678587685 -104.255844178722</t>
  </si>
  <si>
    <t>-688.710819973089 53.3179281104424 298.560126808218</t>
  </si>
  <si>
    <t>-727.009101557175 81.3942174929373 743.978540146642</t>
  </si>
  <si>
    <t>-583.36535645022 106.195516944898 805.935282080267</t>
  </si>
  <si>
    <t>-593.577229156449 -144.300284874774 308.353693706668</t>
  </si>
  <si>
    <t>-622.284190095059 -127.445601530774 754.926746670712</t>
  </si>
  <si>
    <t>-502.080069711626 -201.173122767778 827.055429924548</t>
  </si>
  <si>
    <t>9763-20170724T105039.812134600.bin</t>
  </si>
  <si>
    <t>-701.542655108314 73.0122856099892 -545.991688203189</t>
  </si>
  <si>
    <t>-607.423565651122 136.420154168518 -274.491730083604</t>
  </si>
  <si>
    <t>-367.400772611219 157.131988130022 -277.808728166121</t>
  </si>
  <si>
    <t>-677.95115813109 31.4974782305114 -104.277000194977</t>
  </si>
  <si>
    <t>-688.598560029717 53.412354143499 298.539298371128</t>
  </si>
  <si>
    <t>-727.017000350667 81.4686009185475 743.941605932036</t>
  </si>
  <si>
    <t>-583.372612134802 106.284607806261 805.891139480624</t>
  </si>
  <si>
    <t>-593.401398940534 -144.1512069064 308.343116263258</t>
  </si>
  <si>
    <t>-622.216448698957 -127.171028066809 754.911926523444</t>
  </si>
  <si>
    <t>-502.447470450591 -201.572040123782 827.072756298571</t>
  </si>
  <si>
    <t>9763-20170724T105039.845221800.bin</t>
  </si>
  <si>
    <t>-701.714098252757 73.0454230330645 -545.953639780496</t>
  </si>
  <si>
    <t>-607.777871174593 136.46988475348 -274.394303905222</t>
  </si>
  <si>
    <t>-367.744491685891 156.945713123697 -278.349805194889</t>
  </si>
  <si>
    <t>-677.91778584071 31.4907648057322 -104.283072934132</t>
  </si>
  <si>
    <t>-688.567939355768 53.4383925523703 298.531483695893</t>
  </si>
  <si>
    <t>-727.046702184114 81.5529444810859 743.927992479573</t>
  </si>
  <si>
    <t>-583.366814811154 106.170282561208 805.874629396857</t>
  </si>
  <si>
    <t>-593.439120208644 -144.223920780237 308.346026172268</t>
  </si>
  <si>
    <t>-622.287724076365 -127.370887733929 754.917348815122</t>
  </si>
  <si>
    <t>-502.320663119849 -201.46534216597 827.064664881852</t>
  </si>
  <si>
    <t>9763-20170724T105039.911022300.bin</t>
  </si>
  <si>
    <t>-702.206284637065 72.9872619850655 -545.88676017056</t>
  </si>
  <si>
    <t>-609.138596785218 136.05297565812 -273.944988493109</t>
  </si>
  <si>
    <t>-369.126739261171 156.285890474964 -279.926046912831</t>
  </si>
  <si>
    <t>-677.96477787885 31.3512797774608 -104.30050711172</t>
  </si>
  <si>
    <t>-688.538001878372 53.3693093271063 298.512269641844</t>
  </si>
  <si>
    <t>-727.00154941341 81.5019032145719 743.897604194653</t>
  </si>
  <si>
    <t>-583.363689355888 106.389861981555 805.833543959691</t>
  </si>
  <si>
    <t>-593.506257433575 -144.288765542289 308.344701327267</t>
  </si>
  <si>
    <t>-622.27599642057 -127.292520392042 754.9091001158</t>
  </si>
  <si>
    <t>-502.310909852174 -201.382266653473 827.064086739531</t>
  </si>
  <si>
    <t>9763-20170724T105039.942112900.bin</t>
  </si>
  <si>
    <t>-702.752208467168 72.8415947000981 -545.806580852611</t>
  </si>
  <si>
    <t>-609.840221192348 135.747260162941 -273.774699734905</t>
  </si>
  <si>
    <t>-369.869682490847 156.154263609252 -280.742000408451</t>
  </si>
  <si>
    <t>-678.153645125369 31.1841412787223 -104.302350971063</t>
  </si>
  <si>
    <t>-688.624694922582 53.2842713998209 298.508577831768</t>
  </si>
  <si>
    <t>-726.995534696551 81.5228167219655 743.881442836707</t>
  </si>
  <si>
    <t>-583.351905423327 106.36978362794 805.82058333623</t>
  </si>
  <si>
    <t>-593.535502772171 -144.424850390208 308.34147013148</t>
  </si>
  <si>
    <t>-622.348337489487 -127.498509330512 754.919741610905</t>
  </si>
  <si>
    <t>-502.160801218445 -201.243621965316 827.057623755396</t>
  </si>
  <si>
    <t>9763-20170724T105040.015345200.bin</t>
  </si>
  <si>
    <t>-703.912459594319 72.530706373869 -545.612442846421</t>
  </si>
  <si>
    <t>-610.877276337541 135.352184286197 -273.602971189134</t>
  </si>
  <si>
    <t>-370.959486392432 155.974222079317 -281.669643148976</t>
  </si>
  <si>
    <t>-678.54595015875 30.8356230635986 -104.332245026099</t>
  </si>
  <si>
    <t>-688.922881969188 53.0812739735452 298.473064388936</t>
  </si>
  <si>
    <t>-726.942571076459 81.4934242798142 743.850108035643</t>
  </si>
  <si>
    <t>-583.343772357627 106.563377860086 805.803129696948</t>
  </si>
  <si>
    <t>-593.692413564252 -144.558858064138 308.335684848721</t>
  </si>
  <si>
    <t>-622.418759458618 -127.655815312448 754.935794098996</t>
  </si>
  <si>
    <t>-502.114676954526 -201.235120250396 827.048952823325</t>
  </si>
  <si>
    <t>9763-20170724T105040.043426900.bin</t>
  </si>
  <si>
    <t>-704.449851509508 72.4158210901808 -545.524393886706</t>
  </si>
  <si>
    <t>-611.190338640092 135.164972704177 -273.574999290019</t>
  </si>
  <si>
    <t>-371.286748680319 155.871301985486 -281.843121184423</t>
  </si>
  <si>
    <t>-678.783340190039 30.7024641355881 -104.346662822815</t>
  </si>
  <si>
    <t>-689.06144870756 53.0348360787125 298.456375300847</t>
  </si>
  <si>
    <t>-726.95297529968 81.5630978833458 743.837675122098</t>
  </si>
  <si>
    <t>-583.326074355309 106.432946278734 805.806443767177</t>
  </si>
  <si>
    <t>-593.790067836479 -144.490353093656 308.327894643233</t>
  </si>
  <si>
    <t>-622.361052673111 -127.423682934099 754.92969153599</t>
  </si>
  <si>
    <t>-502.208030440131 -201.245812710532 827.046586338449</t>
  </si>
  <si>
    <t>9763-20170724T105040.110808200.bin</t>
  </si>
  <si>
    <t>-705.288835214957 72.3210338206297 -545.388543220808</t>
  </si>
  <si>
    <t>-611.558028834056 135.028395262471 -273.591683857994</t>
  </si>
  <si>
    <t>-371.644107166876 155.559404423802 -281.996150787347</t>
  </si>
  <si>
    <t>-679.296341080852 30.5098027919912 -104.37614427548</t>
  </si>
  <si>
    <t>-689.294777992658 52.9288935540455 298.429116354973</t>
  </si>
  <si>
    <t>-726.92836572138 81.585339686839 743.830499171151</t>
  </si>
  <si>
    <t>-583.306681135625 106.457010983875 805.810619527176</t>
  </si>
  <si>
    <t>-594.106528339772 -144.454896786226 308.300821737694</t>
  </si>
  <si>
    <t>-622.407012002694 -127.517391212163 754.93347054993</t>
  </si>
  <si>
    <t>-502.208979518562 -201.276091806825 827.04005644783</t>
  </si>
  <si>
    <t>9763-20170724T105040.147908100.bin</t>
  </si>
  <si>
    <t>-705.61453157327 72.3367274553516 -545.3434571554</t>
  </si>
  <si>
    <t>-611.580428539478 135.121751506917 -273.669421231856</t>
  </si>
  <si>
    <t>-371.652472062897 155.46421579969 -282.134287427884</t>
  </si>
  <si>
    <t>-679.453124195317 30.4230529273157 -104.385653491353</t>
  </si>
  <si>
    <t>-689.365968517774 52.9157198005596 298.417630333231</t>
  </si>
  <si>
    <t>-726.905511239213 81.5704829821721 743.82460329328</t>
  </si>
  <si>
    <t>-583.296743454991 106.507370408045 805.808221990645</t>
  </si>
  <si>
    <t>-594.289952528149 -144.50456684232 308.2926822198</t>
  </si>
  <si>
    <t>-622.44172469576 -127.606271927967 754.939625256937</t>
  </si>
  <si>
    <t>-502.207424141477 -201.313596546907 827.038699320895</t>
  </si>
  <si>
    <t>9763-20170724T105040.209661600.bin</t>
  </si>
  <si>
    <t>-706.056253038799 72.7755520761784 -545.357184344467</t>
  </si>
  <si>
    <t>-611.535509346944 135.832415138627 -273.91498573707</t>
  </si>
  <si>
    <t>-371.558739612047 155.711247904807 -282.092521546475</t>
  </si>
  <si>
    <t>-679.783067416654 30.6182340839694 -104.41548251694</t>
  </si>
  <si>
    <t>-689.49156374418 53.1112522621897 298.392809331211</t>
  </si>
  <si>
    <t>-726.925494251591 81.6882573629771 743.81689771932</t>
  </si>
  <si>
    <t>-583.273757715372 106.35619541293 805.808524431982</t>
  </si>
  <si>
    <t>-594.598458663893 -144.34008678612 308.251429672536</t>
  </si>
  <si>
    <t>-622.369009037881 -127.43322308894 754.911035278025</t>
  </si>
  <si>
    <t>-502.353728626702 -201.4419773783 827.066005882543</t>
  </si>
  <si>
    <t>9763-20170724T105040.243751600.bin</t>
  </si>
  <si>
    <t>-706.093825106473 73.1694719935729 -545.362311227543</t>
  </si>
  <si>
    <t>-611.258802924525 136.438481966959 -274.079225220022</t>
  </si>
  <si>
    <t>-371.232015615178 155.890478226037 -281.803349327939</t>
  </si>
  <si>
    <t>-679.955257632719 30.8729649458674 -104.43065149825</t>
  </si>
  <si>
    <t>-689.527510148774 53.3548580823858 298.381520649518</t>
  </si>
  <si>
    <t>-726.998564925686 81.8781325584769 743.809225929325</t>
  </si>
  <si>
    <t>-583.277103951559 106.113196694357 805.810064244298</t>
  </si>
  <si>
    <t>-594.696747991372 -144.220000184487 308.229390142589</t>
  </si>
  <si>
    <t>-622.370717176314 -127.447414600548 754.906515982761</t>
  </si>
  <si>
    <t>-502.460747627331 -201.60399367529 827.084973688086</t>
  </si>
  <si>
    <t>9763-20170724T105040.309530200.bin</t>
  </si>
  <si>
    <t>-706.071367885638 73.6213528466733 -545.374493890748</t>
  </si>
  <si>
    <t>-610.000457275669 137.919367726404 -274.769030609292</t>
  </si>
  <si>
    <t>-369.89837414277 156.820200154225 -281.447700560713</t>
  </si>
  <si>
    <t>-680.116303021074 31.1266766436313 -104.451011183208</t>
  </si>
  <si>
    <t>-689.494419549169 53.4831002778756 298.372651913487</t>
  </si>
  <si>
    <t>-726.9783964251 81.880684082983 743.806145097867</t>
  </si>
  <si>
    <t>-583.26992970563 106.207349565638 805.801333476</t>
  </si>
  <si>
    <t>-594.965794729539 -144.26059172895 308.225120492813</t>
  </si>
  <si>
    <t>-622.445616989292 -127.654409455729 754.924671039813</t>
  </si>
  <si>
    <t>-502.112558815846 -201.142595234547 827.082407695591</t>
  </si>
  <si>
    <t>9763-20170724T105040.340611000.bin</t>
  </si>
  <si>
    <t>-705.983115321545 73.6791777047918 -545.407946221211</t>
  </si>
  <si>
    <t>-609.119845169824 138.873411031185 -275.299842564201</t>
  </si>
  <si>
    <t>-368.965821908898 157.316883564754 -281.363021538723</t>
  </si>
  <si>
    <t>-680.105495965227 31.2347488068187 -104.440464979869</t>
  </si>
  <si>
    <t>-689.426412350825 53.5376789809354 298.387453632359</t>
  </si>
  <si>
    <t>-727.017624319818 81.9733211500679 743.813524479747</t>
  </si>
  <si>
    <t>-583.274456418975 106.106247023043 805.803658152011</t>
  </si>
  <si>
    <t>-595.048028606168 -144.320665823572 308.239234982285</t>
  </si>
  <si>
    <t>-622.530153863689 -127.90560209868 754.942806176595</t>
  </si>
  <si>
    <t>-502.027859542323 -201.128617952341 827.087762648142</t>
  </si>
  <si>
    <t>9763-20170724T105040.411429900.bin</t>
  </si>
  <si>
    <t>-705.884773583097 73.9562141440351 -545.527742095756</t>
  </si>
  <si>
    <t>-607.566763712273 141.158127315477 -276.439140130086</t>
  </si>
  <si>
    <t>-367.312769115853 158.675041428435 -281.133579933647</t>
  </si>
  <si>
    <t>-680.091076094439 31.5944908913507 -104.427636154234</t>
  </si>
  <si>
    <t>-689.267536996811 53.7147726506353 298.413744509355</t>
  </si>
  <si>
    <t>-727.033959832935 82.0260117799949 743.826455096724</t>
  </si>
  <si>
    <t>-583.234532506454 105.853003373828 805.804963184775</t>
  </si>
  <si>
    <t>-594.927005467024 -144.171469129691 308.237900605215</t>
  </si>
  <si>
    <t>-622.487912129953 -127.786380263106 754.933914247362</t>
  </si>
  <si>
    <t>-502.160439460992 -201.268160123609 827.107571333497</t>
  </si>
  <si>
    <t>9763-20170724T105040.443515600.bin</t>
  </si>
  <si>
    <t>-705.848792088329 74.1175997053649 -545.569960047226</t>
  </si>
  <si>
    <t>-606.833412626667 142.215661609682 -276.962567798035</t>
  </si>
  <si>
    <t>-366.532090892553 159.258739934292 -280.918527701184</t>
  </si>
  <si>
    <t>-680.026789200795 31.7289299144657 -104.410011121285</t>
  </si>
  <si>
    <t>-689.184595407861 53.7911032972488 298.434946421345</t>
  </si>
  <si>
    <t>-727.017061600088 82.0029940752836 743.836514125468</t>
  </si>
  <si>
    <t>-583.243767422673 106.011168180493 805.805575064949</t>
  </si>
  <si>
    <t>-594.829267031133 -144.118928753772 308.229537320644</t>
  </si>
  <si>
    <t>-622.497294255632 -127.811752451943 754.932120033458</t>
  </si>
  <si>
    <t>-502.296647626473 -201.489742066354 827.11676263942</t>
  </si>
  <si>
    <t>9763-20170724T105040.511711800.bin</t>
  </si>
  <si>
    <t>-705.735637288406 74.3821243455996 -545.640606898031</t>
  </si>
  <si>
    <t>-605.188213259636 144.105778003462 -278.021531536864</t>
  </si>
  <si>
    <t>-364.824504913057 160.416072035564 -281.210612736199</t>
  </si>
  <si>
    <t>-679.9387266804 32.0846310170791 -104.373632316281</t>
  </si>
  <si>
    <t>-689.174154515812 53.9670481607297 298.479403214225</t>
  </si>
  <si>
    <t>-727.04095550848 82.069026079969 743.873689573428</t>
  </si>
  <si>
    <t>-583.243843539306 105.989758150168 805.820926310742</t>
  </si>
  <si>
    <t>-594.668510009174 -144.015847244773 308.227268320238</t>
  </si>
  <si>
    <t>-622.499500828917 -127.801029103148 754.921420140002</t>
  </si>
  <si>
    <t>-502.273055134849 -201.435670597503 827.107432475986</t>
  </si>
  <si>
    <t>9763-20170724T105040.546803200.bin</t>
  </si>
  <si>
    <t>-705.734875808889 74.4687926562824 -545.698708241517</t>
  </si>
  <si>
    <t>-604.453890406416 144.968147663775 -278.559777746848</t>
  </si>
  <si>
    <t>-364.072350585689 160.994826641994 -281.837859656785</t>
  </si>
  <si>
    <t>-679.884756734326 32.2088408498032 -104.350693091875</t>
  </si>
  <si>
    <t>-689.140145626474 54.0438592616385 298.504380306819</t>
  </si>
  <si>
    <t>-727.008448027129 82.0051881867328 743.902129772277</t>
  </si>
  <si>
    <t>-583.208271264296 105.932585553036 805.839768935664</t>
  </si>
  <si>
    <t>-594.535697864306 -143.998210935689 308.224701707128</t>
  </si>
  <si>
    <t>-622.536126418465 -127.929749030404 754.913647059445</t>
  </si>
  <si>
    <t>-502.194972124897 -201.379114338205 827.097447248813</t>
  </si>
  <si>
    <t>9763-20170724T105040.612026500.bin</t>
  </si>
  <si>
    <t>-705.702612086665 74.6540626565018 -545.918664218281</t>
  </si>
  <si>
    <t>-602.847406453052 146.835443738831 -279.83248132433</t>
  </si>
  <si>
    <t>-362.425942729869 162.24860694093 -283.124349580126</t>
  </si>
  <si>
    <t>-679.878339367198 32.6057457988129 -104.341179851943</t>
  </si>
  <si>
    <t>-689.073719784737 54.2096635883288 298.52776268593</t>
  </si>
  <si>
    <t>-726.973492273462 81.9698496853405 743.935897747327</t>
  </si>
  <si>
    <t>-583.179731599766 105.945289917014 805.869988104632</t>
  </si>
  <si>
    <t>-594.30195836265 -143.774113699932 308.190598217245</t>
  </si>
  <si>
    <t>-622.497968812993 -127.862106544039 754.875733896933</t>
  </si>
  <si>
    <t>-502.219489355654 -201.381951012196 827.092250769606</t>
  </si>
  <si>
    <t>9763-20170724T105040.644116700.bin</t>
  </si>
  <si>
    <t>-705.601498623628 74.7743558692721 -546.04218354642</t>
  </si>
  <si>
    <t>-601.951910220621 147.958599417977 -280.538751033955</t>
  </si>
  <si>
    <t>-361.505988910009 163.074918319292 -283.384986007691</t>
  </si>
  <si>
    <t>-679.799769041085 32.8705155358473 -104.347273287922</t>
  </si>
  <si>
    <t>-689.018228402355 54.371097588368 298.526708875055</t>
  </si>
  <si>
    <t>-726.995752787448 82.0414680498052 743.941662458957</t>
  </si>
  <si>
    <t>-583.201896388176 106.009731989634 805.878421737928</t>
  </si>
  <si>
    <t>-594.111932985855 -143.665599642587 308.180515014295</t>
  </si>
  <si>
    <t>-622.481215333089 -127.836654747249 754.858551967751</t>
  </si>
  <si>
    <t>-502.168597672753 -201.288778276904 827.087039124027</t>
  </si>
  <si>
    <t>9763-20170724T105040.708897500.bin</t>
  </si>
  <si>
    <t>-705.255335115218 74.837424132736 -546.379599064389</t>
  </si>
  <si>
    <t>-600.184903631784 150.125230989488 -282.025359116781</t>
  </si>
  <si>
    <t>-359.699073896885 164.777755390452 -283.685917050126</t>
  </si>
  <si>
    <t>-679.574505980761 33.3767982368538 -104.336286729575</t>
  </si>
  <si>
    <t>-688.756751926555 54.6332023446962 298.551432375073</t>
  </si>
  <si>
    <t>-727.005525697829 82.0902416421604 743.960996077856</t>
  </si>
  <si>
    <t>-583.214063362236 106.053178018835 805.90492957682</t>
  </si>
  <si>
    <t>-593.63538320433 -143.495860336825 308.172181950544</t>
  </si>
  <si>
    <t>-622.481799047193 -127.882393359178 754.835924709199</t>
  </si>
  <si>
    <t>-502.16802843425 -201.311708759202 827.085423665086</t>
  </si>
  <si>
    <t>9763-20170724T105040.749000300.bin</t>
  </si>
  <si>
    <t>-705.002754377537 74.8439399025622 -546.534101686253</t>
  </si>
  <si>
    <t>-599.247394464172 151.172899089385 -282.752147022329</t>
  </si>
  <si>
    <t>-358.745196179542 165.59549306118 -283.973309784197</t>
  </si>
  <si>
    <t>-679.369660765082 33.5531889970398 -104.306025751223</t>
  </si>
  <si>
    <t>-688.507416504915 54.6705955280395 298.590007594305</t>
  </si>
  <si>
    <t>-726.965302280065 82.0027210050318 743.99098953135</t>
  </si>
  <si>
    <t>-583.198157510052 106.146667473306 805.921438125914</t>
  </si>
  <si>
    <t>-593.366639467319 -143.373046487547 308.175065865834</t>
  </si>
  <si>
    <t>-622.405961115768 -127.627075585964 754.824338615464</t>
  </si>
  <si>
    <t>-502.312842796653 -201.401112620644 827.089861944096</t>
  </si>
  <si>
    <t>9763-20170724T105040.811838800.bin</t>
  </si>
  <si>
    <t>-704.511498921446 74.7632986896992 -546.797448673812</t>
  </si>
  <si>
    <t>-597.179409881817 153.544519254728 -284.376823948844</t>
  </si>
  <si>
    <t>-356.648439322874 167.518188231648 -285.075849417294</t>
  </si>
  <si>
    <t>-678.661963434062 33.9120820598441 -104.224665532881</t>
  </si>
  <si>
    <t>-687.983256338333 54.7782879634553 298.680247983097</t>
  </si>
  <si>
    <t>-726.963692315873 81.9729697615956 744.038943677223</t>
  </si>
  <si>
    <t>-583.204242501212 106.228529471597 805.943485280893</t>
  </si>
  <si>
    <t>-592.895013617921 -143.455045830303 308.218807196405</t>
  </si>
  <si>
    <t>-622.507927458271 -127.957653613277 754.833306634869</t>
  </si>
  <si>
    <t>-502.199578200544 -201.40306768682 827.075742162656</t>
  </si>
  <si>
    <t>9763-20170724T105040.844928400.bin</t>
  </si>
  <si>
    <t>-704.146609578277 74.993073505404 -546.93872236837</t>
  </si>
  <si>
    <t>-596.13001112265 154.952220363084 -285.156019630995</t>
  </si>
  <si>
    <t>-355.59616293814 168.877292261559 -285.796167600717</t>
  </si>
  <si>
    <t>-678.284068741255 34.2824634715116 -104.188875887478</t>
  </si>
  <si>
    <t>-687.745253408905 54.9606423614291 298.722522509484</t>
  </si>
  <si>
    <t>-726.961532035752 81.9768788474571 744.059245742713</t>
  </si>
  <si>
    <t>-583.205500924854 106.276824204323 805.95432784408</t>
  </si>
  <si>
    <t>-592.617423252472 -143.339301964071 308.228885451985</t>
  </si>
  <si>
    <t>-622.471704725578 -127.824859767664 754.82729477646</t>
  </si>
  <si>
    <t>-502.319336527621 -201.521685796477 827.073490959329</t>
  </si>
  <si>
    <t>9763-20170724T105040.907780700.bin</t>
  </si>
  <si>
    <t>-703.361948500071 75.6943480268587 -547.140140638585</t>
  </si>
  <si>
    <t>-594.254046613858 157.377537189233 -286.344120444094</t>
  </si>
  <si>
    <t>-353.749056126005 171.769489450694 -287.377939929836</t>
  </si>
  <si>
    <t>-677.491910056501 34.9288749202849 -104.112843032459</t>
  </si>
  <si>
    <t>-687.167835133671 55.2686243778658 298.810655301313</t>
  </si>
  <si>
    <t>-726.946542104615 81.9576832265777 744.11580625934</t>
  </si>
  <si>
    <t>-583.180747815635 106.222286958684 806.002250209344</t>
  </si>
  <si>
    <t>-592.144712988483 -143.249681599877 308.242802321878</t>
  </si>
  <si>
    <t>-622.476757735231 -127.841751097107 754.81514630995</t>
  </si>
  <si>
    <t>-502.199667140328 -201.35330162055 827.042390998897</t>
  </si>
  <si>
    <t>9763-20170724T105040.945885500.bin</t>
  </si>
  <si>
    <t>-702.900376984915 76.1077164686994 -547.202159407161</t>
  </si>
  <si>
    <t>-593.240796874748 158.558921018928 -286.879740999654</t>
  </si>
  <si>
    <t>-352.788113884741 173.766830811125 -288.329107365597</t>
  </si>
  <si>
    <t>-677.107511041386 35.2644698911799 -104.081929602577</t>
  </si>
  <si>
    <t>-686.84261187015 55.3929395018315 298.8507491845</t>
  </si>
  <si>
    <t>-726.901747430314 81.8771508284181 744.1400017766</t>
  </si>
  <si>
    <t>-583.170515348919 106.35827123427 806.021378862303</t>
  </si>
  <si>
    <t>-591.85467099164 -143.055744358658 308.24100648336</t>
  </si>
  <si>
    <t>-622.409427599121 -127.615665355675 754.802936945077</t>
  </si>
  <si>
    <t>-502.563675355574 -201.805254750365 827.053787951973</t>
  </si>
  <si>
    <t>9763-20170724T105041.012065500.bin</t>
  </si>
  <si>
    <t>-702.207848382687 76.9400941433573 -547.202326488708</t>
  </si>
  <si>
    <t>-590.999898022749 161.309549052992 -288.154390732642</t>
  </si>
  <si>
    <t>-350.745791487927 179.242747231693 -290.840564114473</t>
  </si>
  <si>
    <t>-676.448413053776 35.7670836870113 -103.995171054527</t>
  </si>
  <si>
    <t>-686.385130876514 55.5681775912503 298.948757077682</t>
  </si>
  <si>
    <t>-726.925852509948 81.9684926058849 744.186173229626</t>
  </si>
  <si>
    <t>-583.195778241848 106.422981429506 806.081012657155</t>
  </si>
  <si>
    <t>-591.513643558378 -143.098221102927 308.241306666373</t>
  </si>
  <si>
    <t>-622.531467563186 -128.002481264428 754.800264442281</t>
  </si>
  <si>
    <t>-502.23531457686 -201.507945007363 827.002008130914</t>
  </si>
  <si>
    <t>9763-20170724T105041.046157200.bin</t>
  </si>
  <si>
    <t>-701.969834325304 77.3089700581447 -547.178717676823</t>
  </si>
  <si>
    <t>-589.666629282111 163.010447726628 -289.042176823386</t>
  </si>
  <si>
    <t>-349.546534555169 182.536892699518 -292.502857812337</t>
  </si>
  <si>
    <t>-676.138326475807 35.9506346158223 -103.940782780434</t>
  </si>
  <si>
    <t>-686.250936015479 55.640193893875 299.004255747229</t>
  </si>
  <si>
    <t>-726.892906494228 81.9434505199667 744.216636815805</t>
  </si>
  <si>
    <t>-583.206049913674 106.61924151066 806.123578179606</t>
  </si>
  <si>
    <t>-591.203684784059 -143.231510654714 308.24881920347</t>
  </si>
  <si>
    <t>-622.610153859161 -128.264638441858 754.798409831116</t>
  </si>
  <si>
    <t>-502.077967409008 -201.406545362945 826.975587195741</t>
  </si>
  <si>
    <t>9763-20170724T105041.113345200.bin</t>
  </si>
  <si>
    <t>-701.44249176254 78.0759494958011 -547.16601808115</t>
  </si>
  <si>
    <t>-586.456104375608 167.079564464799 -291.338595938807</t>
  </si>
  <si>
    <t>-346.565895088029 189.293772186201 -294.512551874147</t>
  </si>
  <si>
    <t>-675.706718089015 36.4673165037445 -103.803899571534</t>
  </si>
  <si>
    <t>-686.040318608703 55.8447782348212 299.150737404242</t>
  </si>
  <si>
    <t>-726.887210562935 82.0071135491485 744.336973153896</t>
  </si>
  <si>
    <t>-583.226944209463 106.770401594088 806.270920043227</t>
  </si>
  <si>
    <t>-590.443368293345 -143.113906120207 308.216326344929</t>
  </si>
  <si>
    <t>-622.563651891058 -128.121838396336 754.752589637939</t>
  </si>
  <si>
    <t>-502.12471542392 -201.419003077236 826.92824570984</t>
  </si>
  <si>
    <t>9763-20170724T105041.141419900.bin</t>
  </si>
  <si>
    <t>-701.029538228477 78.2844576651614 -547.144362795485</t>
  </si>
  <si>
    <t>-584.587423174732 169.128030242955 -292.625494996248</t>
  </si>
  <si>
    <t>-344.763399631686 192.117362429588 -295.235089325384</t>
  </si>
  <si>
    <t>-675.607913387661 36.6114782759159 -103.71385951955</t>
  </si>
  <si>
    <t>-685.982380277099 55.8160208670422 299.247954030772</t>
  </si>
  <si>
    <t>-726.809170779275 81.872310429274 744.431608948036</t>
  </si>
  <si>
    <t>-583.200135635887 106.929190096912 806.366413820788</t>
  </si>
  <si>
    <t>-590.142916293162 -143.104064010811 308.194957778642</t>
  </si>
  <si>
    <t>-622.587790715117 -128.241385396024 754.722667696103</t>
  </si>
  <si>
    <t>-501.923407179652 -201.172680827468 826.892109810113</t>
  </si>
  <si>
    <t>9763-20170724T105041.209605200.bin</t>
  </si>
  <si>
    <t>-699.746437842588 78.8676462208036 -547.104589866314</t>
  </si>
  <si>
    <t>-580.107286625865 172.760844659673 -295.188381495797</t>
  </si>
  <si>
    <t>-340.33206450451 196.371813912574 -296.294567026465</t>
  </si>
  <si>
    <t>-675.711621614426 37.045785316818 -103.530296572807</t>
  </si>
  <si>
    <t>-686.272999744587 56.0126522966993 299.437924519627</t>
  </si>
  <si>
    <t>-726.784329590622 81.8896509648364 744.632137980183</t>
  </si>
  <si>
    <t>-583.229084427945 107.231873150361 806.575243040957</t>
  </si>
  <si>
    <t>-589.563494882786 -142.957874133193 308.135343460834</t>
  </si>
  <si>
    <t>-622.597676083762 -128.396346390118 754.644927042383</t>
  </si>
  <si>
    <t>-501.905028318934 -201.244648884762 826.851064370075</t>
  </si>
  <si>
    <t>9763-20170724T105041.241695500.bin</t>
  </si>
  <si>
    <t>-699.045321681662 79.4278236746702 -547.117105727743</t>
  </si>
  <si>
    <t>-577.548154558921 174.213165809184 -296.427306086747</t>
  </si>
  <si>
    <t>-337.804397611467 198.166705430657 -296.239281339765</t>
  </si>
  <si>
    <t>-675.938703936024 37.5308286558457 -103.490034242695</t>
  </si>
  <si>
    <t>-686.633127369755 56.3589572286892 299.48115217509</t>
  </si>
  <si>
    <t>-726.779618404099 81.9747415332617 744.711956031983</t>
  </si>
  <si>
    <t>-583.235224456471 107.336336600526 806.672485049989</t>
  </si>
  <si>
    <t>-589.481843350534 -142.60861120137 308.085110466446</t>
  </si>
  <si>
    <t>-622.523718910556 -128.223999708561 754.600053092599</t>
  </si>
  <si>
    <t>-502.029290521857 -201.361578746708 826.844719806744</t>
  </si>
  <si>
    <t>9763-20170724T105041.311881800.bin</t>
  </si>
  <si>
    <t>-697.794570958629 81.0788792308274 -547.203437410599</t>
  </si>
  <si>
    <t>-573.790992612421 176.637583759197 -298.039109454862</t>
  </si>
  <si>
    <t>-334.11258584113 201.150429779817 -295.967058795365</t>
  </si>
  <si>
    <t>-677.071170418094 38.9919051870293 -103.57544558523</t>
  </si>
  <si>
    <t>-688.001440975283 57.6558640863418 299.39711553667</t>
  </si>
  <si>
    <t>-726.872582630399 82.4381689950408 744.825469035078</t>
  </si>
  <si>
    <t>-583.297133980842 107.494828101149 806.83811392851</t>
  </si>
  <si>
    <t>-589.643113149686 -141.898420989402 307.986170975419</t>
  </si>
  <si>
    <t>-622.543415595963 -128.496551924993 754.50409841108</t>
  </si>
  <si>
    <t>-501.797978662056 -201.142202535081 826.826205494088</t>
  </si>
  <si>
    <t>9763-20170724T105041.346974600.bin</t>
  </si>
  <si>
    <t>-697.386933000542 82.2945941441956 -547.079849206317</t>
  </si>
  <si>
    <t>-573.457788792328 177.110871281181 -297.595085663478</t>
  </si>
  <si>
    <t>-333.846835087682 202.278350060782 -295.581866085561</t>
  </si>
  <si>
    <t>-677.92672876189 39.6763097330977 -103.645524540366</t>
  </si>
  <si>
    <t>-688.83939056527 58.2706078541867 299.330687665664</t>
  </si>
  <si>
    <t>-726.942934664979 82.7039532719225 744.864912512538</t>
  </si>
  <si>
    <t>-583.367284620732 107.699163680456 806.90169598122</t>
  </si>
  <si>
    <t>-589.564049194235 -141.145424826537 307.911449548675</t>
  </si>
  <si>
    <t>-622.35469305926 -128.045329056467 754.416058830011</t>
  </si>
  <si>
    <t>-502.121816973169 -201.42123513239 826.854342318675</t>
  </si>
  <si>
    <t>9763-20170724T105041.412792800.bin</t>
  </si>
  <si>
    <t>-697.20973829111 84.5088047777194 -545.919260456113</t>
  </si>
  <si>
    <t>-575.481370017792 175.672941612135 -294.00173468096</t>
  </si>
  <si>
    <t>-335.927700673242 201.453588198107 -293.478163711643</t>
  </si>
  <si>
    <t>-680.176446536754 40.0599438051149 -103.811722270704</t>
  </si>
  <si>
    <t>-690.817465540766 58.9355831746454 299.158698571947</t>
  </si>
  <si>
    <t>-726.929590275297 83.0053239403242 744.875630094321</t>
  </si>
  <si>
    <t>-583.404192938594 108.089327894558 806.993015615524</t>
  </si>
  <si>
    <t>-588.95264675417 -140.416062479305 307.802453754808</t>
  </si>
  <si>
    <t>-622.224955612168 -127.859522582028 754.31549112048</t>
  </si>
  <si>
    <t>-502.283397595801 -201.586156127413 826.880648251012</t>
  </si>
  <si>
    <t>9763-20170724T105041.446883800.bin</t>
  </si>
  <si>
    <t>-697.687604672951 85.1177834552464 -545.006446412084</t>
  </si>
  <si>
    <t>-577.506077956941 173.639906257401 -291.409386278462</t>
  </si>
  <si>
    <t>-338.035678412517 200.181550808946 -292.009666407053</t>
  </si>
  <si>
    <t>-681.119761949224 39.4836975107471 -103.839590098099</t>
  </si>
  <si>
    <t>-691.640917613063 58.65884782846 299.119758333155</t>
  </si>
  <si>
    <t>-726.901607454945 83.124913927712 744.872572845182</t>
  </si>
  <si>
    <t>-583.414471330244 108.303506088964 807.039924289943</t>
  </si>
  <si>
    <t>-589.255403364555 -140.332563246606 307.756318352305</t>
  </si>
  <si>
    <t>-622.259398791829 -127.939149813709 754.319959610791</t>
  </si>
  <si>
    <t>-502.044108328973 -201.235479844762 826.868023449301</t>
  </si>
  <si>
    <t>9763-20170724T105041.512080600.bin</t>
  </si>
  <si>
    <t>-699.617435553377 85.9849285455612 -542.384114706079</t>
  </si>
  <si>
    <t>-581.530436868416 168.451784566648 -285.779702816245</t>
  </si>
  <si>
    <t>-342.340497954519 197.36174054862 -287.593118194662</t>
  </si>
  <si>
    <t>-683.199705350246 37.0675613703945 -103.896148579188</t>
  </si>
  <si>
    <t>-692.757792069446 57.3902957777177 299.030978434638</t>
  </si>
  <si>
    <t>-726.874821483206 83.3141803133631 744.841961692897</t>
  </si>
  <si>
    <t>-583.491842044789 108.854875903954 807.102025813048</t>
  </si>
  <si>
    <t>-589.186524029185 -140.569737322622 307.729644914989</t>
  </si>
  <si>
    <t>-622.183302568714 -127.790285315062 754.285732841715</t>
  </si>
  <si>
    <t>-502.090744596755 -201.241627479741 826.880041512769</t>
  </si>
  <si>
    <t>9763-20170724T105041.545170900.bin</t>
  </si>
  <si>
    <t>-701.015666473154 86.6605396176117 -540.70865798246</t>
  </si>
  <si>
    <t>-583.700673310297 166.059451936118 -282.785695049205</t>
  </si>
  <si>
    <t>-344.649975140779 196.103872577211 -284.504890246154</t>
  </si>
  <si>
    <t>-684.407265361654 35.5491132345412 -103.850179134462</t>
  </si>
  <si>
    <t>-693.213208139892 56.6184854496721 299.055714539494</t>
  </si>
  <si>
    <t>-726.910010294965 83.4219369874722 744.847135572653</t>
  </si>
  <si>
    <t>-583.544273267528 108.98073641598 807.13969241995</t>
  </si>
  <si>
    <t>-588.888947312426 -140.957606607498 307.730975943232</t>
  </si>
  <si>
    <t>-622.149549184861 -127.664452090708 754.289675322093</t>
  </si>
  <si>
    <t>-502.235980131221 -201.397721919109 826.894467164082</t>
  </si>
  <si>
    <t>9763-20170724T105041.612950300.bin</t>
  </si>
  <si>
    <t>-704.01590474642 87.1609527549606 -536.852492168113</t>
  </si>
  <si>
    <t>-588.009360752106 160.58306711218 -276.577861240955</t>
  </si>
  <si>
    <t>-349.345995672912 193.585844301351 -277.804338500314</t>
  </si>
  <si>
    <t>-686.578060118147 31.1545509333039 -103.692397810847</t>
  </si>
  <si>
    <t>-693.94147050912 54.3072708523296 299.128175731421</t>
  </si>
  <si>
    <t>-726.949595934248 83.3820934848868 744.860136494332</t>
  </si>
  <si>
    <t>-583.59626976895 108.919239793148 807.189679959452</t>
  </si>
  <si>
    <t>-588.79624946192 -142.301489261493 307.885535317105</t>
  </si>
  <si>
    <t>-622.253894529464 -127.682071354824 754.439231110961</t>
  </si>
  <si>
    <t>-502.02388498209 -201.019268096648 826.921689722244</t>
  </si>
  <si>
    <t>9763-20170724T105041.646035700.bin</t>
  </si>
  <si>
    <t>-705.389990914342 87.228513229918 -534.735401208878</t>
  </si>
  <si>
    <t>-590.60415188223 156.918311760003 -272.898215285824</t>
  </si>
  <si>
    <t>-352.304045786417 192.461118591727 -273.731955670987</t>
  </si>
  <si>
    <t>-687.319691220011 28.6324803691205 -103.452737440123</t>
  </si>
  <si>
    <t>-693.675899012763 52.7961341707055 299.325617996683</t>
  </si>
  <si>
    <t>-726.979847409949 83.2903391056343 744.933267651423</t>
  </si>
  <si>
    <t>-583.642379007249 108.940726333052 807.252639899235</t>
  </si>
  <si>
    <t>-587.827266987085 -143.563266539566 307.988654861598</t>
  </si>
  <si>
    <t>-622.355989522202 -127.812598616431 754.5531302617</t>
  </si>
  <si>
    <t>-501.985913599831 -201.013970261872 826.940364831178</t>
  </si>
  <si>
    <t>9763-20170724T105041.709760300.bin</t>
  </si>
  <si>
    <t>-708.91957290058 86.3417379925024 -531.436925010098</t>
  </si>
  <si>
    <t>-602.067338994104 146.614934332484 -263.965551241739</t>
  </si>
  <si>
    <t>-363.981207948127 183.2869269299 -259.383052238268</t>
  </si>
  <si>
    <t>-688.325656424259 23.2105971561543 -102.512186195757</t>
  </si>
  <si>
    <t>-692.320532672054 49.742616232847 300.147406414126</t>
  </si>
  <si>
    <t>-727.050182092177 82.977614158862 745.282251978926</t>
  </si>
  <si>
    <t>-583.74551734536 109.004729809791 807.521028632575</t>
  </si>
  <si>
    <t>-585.160725408439 -146.489497391378 308.249703331738</t>
  </si>
  <si>
    <t>-622.417992263521 -128.175141477036 754.60723902993</t>
  </si>
  <si>
    <t>-501.436281596235 -200.466780798263 826.889050234194</t>
  </si>
  <si>
    <t>9763-20170724T105041.742851700.bin</t>
  </si>
  <si>
    <t>-710.023857193259 85.8664970305938 -529.811210853727</t>
  </si>
  <si>
    <t>-611.718936729082 141.274838210113 -258.044258745464</t>
  </si>
  <si>
    <t>-373.038119424814 172.278219536592 -247.040219349093</t>
  </si>
  <si>
    <t>-688.092155812659 20.9536671938358 -101.896495350651</t>
  </si>
  <si>
    <t>-691.761035374578 48.3417195067204 300.708876948467</t>
  </si>
  <si>
    <t>-727.034238522087 82.6653607038575 745.576153210181</t>
  </si>
  <si>
    <t>-583.818701989859 109.304147633747 807.761436749315</t>
  </si>
  <si>
    <t>-583.814406928643 -147.854397167819 308.360115898723</t>
  </si>
  <si>
    <t>-622.405069513718 -128.304108391434 754.579894551515</t>
  </si>
  <si>
    <t>-501.202892731189 -200.247365229907 826.839859822886</t>
  </si>
  <si>
    <t>9763-20170724T105041.813549700.bin</t>
  </si>
  <si>
    <t>-712.204444735196 87.9253978296356 -526.235304456872</t>
  </si>
  <si>
    <t>-633.523955802498 131.111880587869 -245.9934588459</t>
  </si>
  <si>
    <t>-393.956902485552 144.561979782225 -224.139640778883</t>
  </si>
  <si>
    <t>-688.21545536359 18.4495903483032 -100.945793330167</t>
  </si>
  <si>
    <t>-691.932634358281 46.9221434740848 301.583903160273</t>
  </si>
  <si>
    <t>-727.136797670925 82.3654629715559 746.189456978067</t>
  </si>
  <si>
    <t>-583.968975430225 109.467018961717 808.284642811292</t>
  </si>
  <si>
    <t>-583.002940398783 -149.382947236892 308.645389217212</t>
  </si>
  <si>
    <t>-622.359329308851 -128.532621158922 754.59994159864</t>
  </si>
  <si>
    <t>-500.680865477454 -199.737214501397 826.791261633352</t>
  </si>
  <si>
    <t>9763-20170724T105041.846634700.bin</t>
  </si>
  <si>
    <t>-713.944143098287 89.476949937902 -524.381873769859</t>
  </si>
  <si>
    <t>-639.922805371017 124.886707395489 -241.789839071127</t>
  </si>
  <si>
    <t>-400.239190999407 131.514541421442 -218.152325591486</t>
  </si>
  <si>
    <t>-689.380593201119 17.8890031938561 -100.727489331029</t>
  </si>
  <si>
    <t>-692.807661489498 46.645990752048 301.784637575242</t>
  </si>
  <si>
    <t>-727.226385894437 82.3337463515741 746.410294333114</t>
  </si>
  <si>
    <t>-584.051565657215 109.442881384693 808.485618086312</t>
  </si>
  <si>
    <t>-583.700534360185 -149.45275933048 308.751497806253</t>
  </si>
  <si>
    <t>-622.329749387759 -128.646744830465 754.649848662772</t>
  </si>
  <si>
    <t>-500.531391291379 -199.67253724878 826.814718647863</t>
  </si>
  <si>
    <t>9763-20170724T105041.910810400.bin</t>
  </si>
  <si>
    <t>-717.307877296065 91.5841439693738 -521.610442591413</t>
  </si>
  <si>
    <t>-640.802754696743 114.781464017979 -238.414374704484</t>
  </si>
  <si>
    <t>-400.561470147126 116.231186078202 -220.169312428502</t>
  </si>
  <si>
    <t>-691.579796973889 17.1422467575537 -100.682141457611</t>
  </si>
  <si>
    <t>-694.742920641966 46.4068670372001 301.795541112613</t>
  </si>
  <si>
    <t>-727.387309430554 82.2837427433574 746.668961103793</t>
  </si>
  <si>
    <t>-584.208385252106 109.422285049576 808.722152582543</t>
  </si>
  <si>
    <t>-585.1560813241 -148.622473221456 308.696684480025</t>
  </si>
  <si>
    <t>-622.119356989441 -128.343388390467 754.715425542627</t>
  </si>
  <si>
    <t>-500.535013936611 -199.722398246565 826.892851398365</t>
  </si>
  <si>
    <t>9763-20170724T105041.945903900.bin</t>
  </si>
  <si>
    <t>-718.533732170796 92.0211420661292 -521.306667554105</t>
  </si>
  <si>
    <t>-639.208695036892 113.878130742662 -238.780599857523</t>
  </si>
  <si>
    <t>-398.708896966522 114.296589954537 -224.271334312067</t>
  </si>
  <si>
    <t>-692.251124264942 16.9864534860853 -100.791662167428</t>
  </si>
  <si>
    <t>-695.877190443506 46.340249137807 301.675583562572</t>
  </si>
  <si>
    <t>-727.483446811659 82.2805528894992 746.70110318966</t>
  </si>
  <si>
    <t>-584.303124595993 109.410873208627 808.754967713377</t>
  </si>
  <si>
    <t>-585.826230046161 -148.325995894801 308.617867621159</t>
  </si>
  <si>
    <t>-622.075829227029 -128.437013811365 754.745261657308</t>
  </si>
  <si>
    <t>-500.253541969409 -199.415322720863 826.916616457008</t>
  </si>
  <si>
    <t>9763-20170724T105042.022126000.bin</t>
  </si>
  <si>
    <t>-719.070382456998 91.6365223457938 -521.869760874544</t>
  </si>
  <si>
    <t>-636.538778068778 115.535044115077 -240.429755202357</t>
  </si>
  <si>
    <t>-395.690371628655 118.522013841743 -234.600837293836</t>
  </si>
  <si>
    <t>-692.124161721777 16.7386055729814 -100.943263212339</t>
  </si>
  <si>
    <t>-697.274519489772 45.9963725618113 301.514344577924</t>
  </si>
  <si>
    <t>-727.646810555697 82.2342012876279 746.725750972732</t>
  </si>
  <si>
    <t>-584.485893264466 109.432417674725 808.794210339387</t>
  </si>
  <si>
    <t>-586.518597843505 -148.178688985989 308.47926253191</t>
  </si>
  <si>
    <t>-621.906058376961 -128.322219776942 754.768530894499</t>
  </si>
  <si>
    <t>-500.146048433035 -199.389009805361 826.957871763662</t>
  </si>
  <si>
    <t>9763-20170724T105042.045176900.bin</t>
  </si>
  <si>
    <t>-719.314996274345 91.1857617720289 -522.287129225377</t>
  </si>
  <si>
    <t>-636.544243214178 117.391104920895 -241.122557100066</t>
  </si>
  <si>
    <t>-395.646150632752 121.440089655122 -239.514192309795</t>
  </si>
  <si>
    <t>-691.926080279359 16.808896847268 -100.952633721141</t>
  </si>
  <si>
    <t>-697.205442497266 45.9099124433994 301.51471353518</t>
  </si>
  <si>
    <t>-727.713369758436 82.1681009901365 746.765054179619</t>
  </si>
  <si>
    <t>-584.526924020683 109.23036609205 808.834350125772</t>
  </si>
  <si>
    <t>-586.5976065529 -148.227745685699 308.460006454206</t>
  </si>
  <si>
    <t>-621.768220996171 -128.058174562101 754.756336956973</t>
  </si>
  <si>
    <t>-500.064203419129 -199.21250823715 826.953919904018</t>
  </si>
  <si>
    <t>9763-20170724T105042.114368500.bin</t>
  </si>
  <si>
    <t>-720.246369456325 90.4643187723152 -523.006225298225</t>
  </si>
  <si>
    <t>-637.986937926423 121.194233502285 -242.150013033802</t>
  </si>
  <si>
    <t>-397.302941755351 129.259376424783 -249.70306188876</t>
  </si>
  <si>
    <t>-691.350934104882 17.2322479739314 -100.916599139246</t>
  </si>
  <si>
    <t>-695.913919999866 46.2170938043673 301.567833355035</t>
  </si>
  <si>
    <t>-727.913360832858 82.125744426347 746.783408325072</t>
  </si>
  <si>
    <t>-584.67573357411 108.926598119269 808.848145358868</t>
  </si>
  <si>
    <t>-586.815390136653 -148.242876911994 308.541050072283</t>
  </si>
  <si>
    <t>-621.645700391952 -128.009467148626 754.774592781635</t>
  </si>
  <si>
    <t>-500.043349480135 -199.330755712296 826.978584048771</t>
  </si>
  <si>
    <t>9763-20170724T105042.142445300.bin</t>
  </si>
  <si>
    <t>-720.871455007372 89.6477285359822 -523.397947241553</t>
  </si>
  <si>
    <t>-638.095890680286 122.476720439501 -242.931127678892</t>
  </si>
  <si>
    <t>-397.626560274837 132.41787650896 -254.177644751266</t>
  </si>
  <si>
    <t>-690.805261048446 17.4036537734601 -100.937407079436</t>
  </si>
  <si>
    <t>-694.984193951126 46.3864876735247 301.551371034751</t>
  </si>
  <si>
    <t>-728.017134159628 82.1279249149177 746.703493278705</t>
  </si>
  <si>
    <t>-584.763305850045 108.824745605548 808.775348855001</t>
  </si>
  <si>
    <t>-586.92721868426 -148.076809476946 308.604987584343</t>
  </si>
  <si>
    <t>-621.591634239622 -128.010839127538 754.814500116641</t>
  </si>
  <si>
    <t>-499.815878383407 -199.05439377446 827.000356297699</t>
  </si>
  <si>
    <t>9763-20170724T105042.208264900.bin</t>
  </si>
  <si>
    <t>-722.296437578632 88.1165682550202 -524.084060371125</t>
  </si>
  <si>
    <t>-637.23392684227 124.90415592202 -244.795187222813</t>
  </si>
  <si>
    <t>-397.217153471401 137.399483381045 -261.72727081873</t>
  </si>
  <si>
    <t>-689.995826329201 18.0247016779583 -101.153738225168</t>
  </si>
  <si>
    <t>-693.852917170524 46.6566419115109 301.363332941873</t>
  </si>
  <si>
    <t>-728.16216315245 82.0594148063649 746.435692370087</t>
  </si>
  <si>
    <t>-584.893325278988 108.615046186084 808.533486093451</t>
  </si>
  <si>
    <t>-586.799177816834 -147.363449088155 308.68035502028</t>
  </si>
  <si>
    <t>-621.431724374098 -127.854429326135 754.87295815853</t>
  </si>
  <si>
    <t>-499.924563861183 -199.344796550718 827.07015954701</t>
  </si>
  <si>
    <t>9763-20170724T105042.241353400.bin</t>
  </si>
  <si>
    <t>-723.06981445176 87.5417787166455 -524.432884862829</t>
  </si>
  <si>
    <t>-636.49038164325 126.326036419496 -245.881346243171</t>
  </si>
  <si>
    <t>-396.653540386044 139.495715861993 -264.74209354259</t>
  </si>
  <si>
    <t>-689.813954602616 18.5862326980816 -101.324573035661</t>
  </si>
  <si>
    <t>-693.749582375497 46.8841581764166 301.215431287871</t>
  </si>
  <si>
    <t>-728.208437602918 82.0186442363556 746.294726479297</t>
  </si>
  <si>
    <t>-584.954485311406 108.597568113475 808.417125587522</t>
  </si>
  <si>
    <t>-586.442057059877 -147.033420916725 308.686271840562</t>
  </si>
  <si>
    <t>-621.368196779442 -127.832313463656 754.873833339332</t>
  </si>
  <si>
    <t>-499.842403452492 -199.296855445245 827.06519813359</t>
  </si>
  <si>
    <t>9763-20170724T105042.311094800.bin</t>
  </si>
  <si>
    <t>-724.62474680018 86.7511921165164 -525.195093016066</t>
  </si>
  <si>
    <t>-635.502848049147 129.003846975045 -247.952861741948</t>
  </si>
  <si>
    <t>-395.741804395964 142.483667828391 -267.54355471852</t>
  </si>
  <si>
    <t>-689.750380597089 19.8166174530247 -101.680610947096</t>
  </si>
  <si>
    <t>-693.944114015088 47.4546259617564 300.902605068576</t>
  </si>
  <si>
    <t>-728.294000526548 81.9325180261756 746.07591418075</t>
  </si>
  <si>
    <t>-585.058973065152 108.537198816047 808.230712339024</t>
  </si>
  <si>
    <t>-585.755199265827 -146.363602237386 308.637122530753</t>
  </si>
  <si>
    <t>-621.242443543944 -127.794913810428 754.81522467083</t>
  </si>
  <si>
    <t>-499.444882834492 -198.797609825916 827.004413004882</t>
  </si>
  <si>
    <t>9763-20170724T105042.346184800.bin</t>
  </si>
  <si>
    <t>-725.129302197622 86.8219017643296 -525.427583074112</t>
  </si>
  <si>
    <t>-634.909875317388 130.304629307389 -248.731092730641</t>
  </si>
  <si>
    <t>-395.148387007611 143.74912277423 -268.341465259861</t>
  </si>
  <si>
    <t>-689.725532173124 20.4977697721031 -101.824565143296</t>
  </si>
  <si>
    <t>-693.994263476234 47.777125456196 300.782245107189</t>
  </si>
  <si>
    <t>-728.330404893487 81.8461310448133 746.007055526207</t>
  </si>
  <si>
    <t>-585.121581682969 108.589099871561 808.163154298649</t>
  </si>
  <si>
    <t>-585.424707848054 -146.01272036541 308.582003638378</t>
  </si>
  <si>
    <t>-621.187520601443 -127.814635718906 754.772451569008</t>
  </si>
  <si>
    <t>-499.203258595341 -198.493722336688 826.964029350274</t>
  </si>
  <si>
    <t>9763-20170724T105042.409877000.bin</t>
  </si>
  <si>
    <t>-725.159128613476 88.1747532972552 -525.874249809782</t>
  </si>
  <si>
    <t>-633.415304447469 133.343135657342 -249.950159491836</t>
  </si>
  <si>
    <t>-393.727034591137 147.681707391865 -269.820496893267</t>
  </si>
  <si>
    <t>-689.769907474479 22.3063539243224 -102.03247719829</t>
  </si>
  <si>
    <t>-693.936199746748 48.7865438238607 300.628811134359</t>
  </si>
  <si>
    <t>-728.473131094042 81.8461868818697 745.917480789734</t>
  </si>
  <si>
    <t>-585.219217583808 108.288662741302 808.097960863963</t>
  </si>
  <si>
    <t>-585.030809983148 -144.839279823369 308.399268536311</t>
  </si>
  <si>
    <t>-620.989240457744 -127.508031184877 754.651442851067</t>
  </si>
  <si>
    <t>-499.251334954095 -198.545337748259 826.907293352804</t>
  </si>
  <si>
    <t>9763-20170724T105042.443961700.bin</t>
  </si>
  <si>
    <t>-725.024248139772 89.1393505142537 -526.160923965692</t>
  </si>
  <si>
    <t>-632.540371129626 135.339549103016 -250.655036222652</t>
  </si>
  <si>
    <t>-392.926054311816 150.249114206999 -270.992097909046</t>
  </si>
  <si>
    <t>-689.760218737361 23.3319238016409 -102.115582768129</t>
  </si>
  <si>
    <t>-693.816291154742 49.4565963039158 300.57002106851</t>
  </si>
  <si>
    <t>-728.561301095741 81.8787195921907 745.890650175522</t>
  </si>
  <si>
    <t>-585.28077693043 108.151653756792 808.081624345968</t>
  </si>
  <si>
    <t>-584.884478886531 -144.333739106142 308.337034605777</t>
  </si>
  <si>
    <t>-620.904864178869 -127.364616259114 754.605681671985</t>
  </si>
  <si>
    <t>-499.100018419418 -198.272767608502 826.875291320294</t>
  </si>
  <si>
    <t>9763-20170724T105042.513055300.bin</t>
  </si>
  <si>
    <t>-724.30674483622 91.2409753078641 -526.965255953823</t>
  </si>
  <si>
    <t>-630.152722036735 140.655981770641 -252.585264281443</t>
  </si>
  <si>
    <t>-390.661896255185 156.383721396382 -273.74315816775</t>
  </si>
  <si>
    <t>-689.647185251828 25.6850063423801 -102.207766027592</t>
  </si>
  <si>
    <t>-693.631904000631 50.9406594226932 300.534068832422</t>
  </si>
  <si>
    <t>-728.688833217702 81.8329468586167 745.897926777409</t>
  </si>
  <si>
    <t>-585.350326786478 107.777998227025 808.093000710964</t>
  </si>
  <si>
    <t>-584.402297818986 -143.275470235072 308.246028677026</t>
  </si>
  <si>
    <t>-620.793809360463 -127.349549001769 754.511943253669</t>
  </si>
  <si>
    <t>-499.106765951305 -198.39138896931 826.848790155752</t>
  </si>
  <si>
    <t>9763-20170724T105042.545141700.bin</t>
  </si>
  <si>
    <t>-723.710374448688 92.1315608090326 -527.477255783774</t>
  </si>
  <si>
    <t>-628.428819111397 143.385154863435 -253.824830675958</t>
  </si>
  <si>
    <t>-389.008180871782 159.569974818847 -275.427739293557</t>
  </si>
  <si>
    <t>-689.495824976669 26.9019624291473 -102.218999278914</t>
  </si>
  <si>
    <t>-693.550447181113 51.6334805940273 300.55456792747</t>
  </si>
  <si>
    <t>-728.770619258616 81.8626370227396 745.932918877478</t>
  </si>
  <si>
    <t>-585.39987796468 107.631977816922 808.126799405897</t>
  </si>
  <si>
    <t>-584.279624022997 -142.756857279359 308.193221493651</t>
  </si>
  <si>
    <t>-620.744741478759 -127.359553722715 754.466449538702</t>
  </si>
  <si>
    <t>-498.946390789707 -198.188235647133 826.82478499252</t>
  </si>
  <si>
    <t>9763-20170724T105042.611854700.bin</t>
  </si>
  <si>
    <t>-722.013405843919 93.9898067336485 -528.58148001919</t>
  </si>
  <si>
    <t>-624.260642152431 149.406599327337 -256.617300372158</t>
  </si>
  <si>
    <t>-384.858662497501 165.475081970438 -278.511051373936</t>
  </si>
  <si>
    <t>-689.022463393207 29.2572963142538 -102.147215390573</t>
  </si>
  <si>
    <t>-693.483387017675 52.755899284386 300.695938675213</t>
  </si>
  <si>
    <t>-728.91875237865 81.7722145688451 746.121894175092</t>
  </si>
  <si>
    <t>-585.434161548955 106.956068929936 808.292726441504</t>
  </si>
  <si>
    <t>-584.061223966637 -141.58115371743 308.057860706571</t>
  </si>
  <si>
    <t>-620.556213092249 -127.098791787613 754.343242891887</t>
  </si>
  <si>
    <t>-499.05059573159 -198.328051897066 826.800614472311</t>
  </si>
  <si>
    <t>9763-20170724T105042.644941500.bin</t>
  </si>
  <si>
    <t>-720.821470913162 94.8247531656898 -529.114642614743</t>
  </si>
  <si>
    <t>-621.877177547341 152.259268622192 -258.001321844949</t>
  </si>
  <si>
    <t>-382.459246824899 168.216147486821 -279.803957838366</t>
  </si>
  <si>
    <t>-688.725455913467 30.2765979749738 -102.080333522203</t>
  </si>
  <si>
    <t>-693.442458446746 53.128453856883 300.79708722954</t>
  </si>
  <si>
    <t>-728.961107884983 81.6434559613099 746.259145111267</t>
  </si>
  <si>
    <t>-585.4580020678 106.778781324423 808.406903609068</t>
  </si>
  <si>
    <t>-584.038138366636 -141.219130083321 307.990180192214</t>
  </si>
  <si>
    <t>-620.546906392729 -127.220839896856 754.300132676042</t>
  </si>
  <si>
    <t>-498.943955541133 -198.262057697643 826.778652861674</t>
  </si>
  <si>
    <t>9763-20170724T105042.712640500.bin</t>
  </si>
  <si>
    <t>-718.336333438799 96.8983462597873 -530.197782633209</t>
  </si>
  <si>
    <t>-616.213822432429 158.695139947294 -261.230639099502</t>
  </si>
  <si>
    <t>-376.635379472936 173.355595457981 -282.161375070325</t>
  </si>
  <si>
    <t>-687.943736336682 32.839192273475 -102.073867480122</t>
  </si>
  <si>
    <t>-693.350265653543 54.4575839907711 300.862951328395</t>
  </si>
  <si>
    <t>-729.056211386495 81.7219754696469 746.381831501853</t>
  </si>
  <si>
    <t>-585.51742025193 106.591026853791 808.554461113907</t>
  </si>
  <si>
    <t>-583.9258528526 -140.401053845829 307.899880151924</t>
  </si>
  <si>
    <t>-620.441632850105 -127.011325538335 754.226560526424</t>
  </si>
  <si>
    <t>-498.761877033361 -197.900760802083 826.7251629212</t>
  </si>
  <si>
    <t>9763-20170724T105042.741725400.bin</t>
  </si>
  <si>
    <t>-716.741666764417 98.1727287536007 -530.686468561261</t>
  </si>
  <si>
    <t>-612.668528961734 161.995935516966 -262.942937829803</t>
  </si>
  <si>
    <t>-372.944323547817 175.603948211167 -282.892608560254</t>
  </si>
  <si>
    <t>-687.190916233692 34.1561130405676 -102.028651109615</t>
  </si>
  <si>
    <t>-693.275274384261 55.1499423742878 300.931521567198</t>
  </si>
  <si>
    <t>-729.093003758514 81.7342527527337 746.469367481453</t>
  </si>
  <si>
    <t>-585.562900846835 106.61710038449 808.65649007906</t>
  </si>
  <si>
    <t>-583.737316683874 -140.040163959159 307.872630539822</t>
  </si>
  <si>
    <t>-620.437538110092 -127.074279656588 754.197607549644</t>
  </si>
  <si>
    <t>-498.73748147876 -197.920869969838 826.703730866516</t>
  </si>
  <si>
    <t>9763-20170724T105042.812819100.bin</t>
  </si>
  <si>
    <t>-712.582398607043 100.970521356478 -531.571489462967</t>
  </si>
  <si>
    <t>-605.519094340276 167.814386352597 -265.750930444418</t>
  </si>
  <si>
    <t>-365.562985104422 179.714734712294 -283.924468925988</t>
  </si>
  <si>
    <t>-685.623368680157 36.7717449858073 -101.910491369268</t>
  </si>
  <si>
    <t>-692.639385829055 56.5392718723517 301.096533343338</t>
  </si>
  <si>
    <t>-729.160526633427 81.703488660512 746.693824359571</t>
  </si>
  <si>
    <t>-585.587131024883 106.340760549595 808.878886829531</t>
  </si>
  <si>
    <t>-583.32458722302 -139.071525944635 307.846902454817</t>
  </si>
  <si>
    <t>-620.379612857211 -126.978021052542 754.161191603821</t>
  </si>
  <si>
    <t>-498.864244882476 -198.114489259198 826.693433436845</t>
  </si>
  <si>
    <t>9763-20170724T105042.844923800.bin</t>
  </si>
  <si>
    <t>-710.33659394647 102.52761834989 -531.974368256312</t>
  </si>
  <si>
    <t>-602.460765532294 170.442835175613 -266.754626869967</t>
  </si>
  <si>
    <t>-362.448693307839 181.903176380034 -284.467919909233</t>
  </si>
  <si>
    <t>-684.880431573089 38.1798734142224 -101.807898380563</t>
  </si>
  <si>
    <t>-692.143902333735 57.261583901839 301.227814157712</t>
  </si>
  <si>
    <t>-729.240087295988 81.7218640952117 746.832685630279</t>
  </si>
  <si>
    <t>-585.610290807489 106.059785031402 809.005048137371</t>
  </si>
  <si>
    <t>-583.138604750199 -138.570224881997 307.854618121873</t>
  </si>
  <si>
    <t>-620.349246563668 -126.884695831343 754.162311867951</t>
  </si>
  <si>
    <t>-499.012065128111 -198.309808283482 826.709130325477</t>
  </si>
  <si>
    <t>9763-20170724T105042.908711900.bin</t>
  </si>
  <si>
    <t>-705.827214045476 106.120219427404 -532.694314293233</t>
  </si>
  <si>
    <t>-597.78993481108 175.528452936618 -267.927313105825</t>
  </si>
  <si>
    <t>-357.738720399953 186.789843357184 -285.231719957127</t>
  </si>
  <si>
    <t>-683.480192219083 41.2443740780227 -101.551959487402</t>
  </si>
  <si>
    <t>-691.042961137506 58.8936304126439 301.54359801411</t>
  </si>
  <si>
    <t>-729.341888508044 81.6558602393504 747.139832487462</t>
  </si>
  <si>
    <t>-585.62267418567 105.600983865986 809.258366979028</t>
  </si>
  <si>
    <t>-582.5456448911 -137.582541800039 307.902339338602</t>
  </si>
  <si>
    <t>-620.237174562153 -126.562925279814 754.155588274281</t>
  </si>
  <si>
    <t>-499.32143007435 -198.660393564576 826.740999523904</t>
  </si>
  <si>
    <t>9763-20170724T105042.946812200.bin</t>
  </si>
  <si>
    <t>-703.588729604402 108.041662103794 -533.019694064994</t>
  </si>
  <si>
    <t>-595.765633942981 178.297896019143 -268.388824579502</t>
  </si>
  <si>
    <t>-355.66031269117 189.009947967479 -285.28718853146</t>
  </si>
  <si>
    <t>-682.611306756326 42.9846607930601 -101.416546953284</t>
  </si>
  <si>
    <t>-690.397616329011 59.8630982963271 301.707654990646</t>
  </si>
  <si>
    <t>-729.388073365709 81.6653300264506 747.264450093944</t>
  </si>
  <si>
    <t>-585.631150043598 105.414741683991 809.370860875579</t>
  </si>
  <si>
    <t>-582.18184962856 -137.111811984987 307.916500760511</t>
  </si>
  <si>
    <t>-620.275418115414 -126.711644002358 754.164205313162</t>
  </si>
  <si>
    <t>-499.312583339581 -198.732539109147 826.747209057872</t>
  </si>
  <si>
    <t>9763-20170724T105043.011831700.bin</t>
  </si>
  <si>
    <t>-699.197751290348 111.774116920868 -533.565664111897</t>
  </si>
  <si>
    <t>-591.7875173165 183.768098091529 -269.234154814412</t>
  </si>
  <si>
    <t>-351.545983015485 193.005420645118 -285.030725674695</t>
  </si>
  <si>
    <t>-680.695520992787 46.435208352483 -101.123412953454</t>
  </si>
  <si>
    <t>-689.050708667959 61.8685071959969 302.047332253737</t>
  </si>
  <si>
    <t>-729.373795443683 81.6019266500798 747.550540011765</t>
  </si>
  <si>
    <t>-585.594503270009 105.218833805576 809.655578100005</t>
  </si>
  <si>
    <t>-580.956502462046 -135.979302812097 307.940849623715</t>
  </si>
  <si>
    <t>-620.230583600524 -126.738017184631 754.115051499127</t>
  </si>
  <si>
    <t>-499.36288373488 -198.870889319764 826.745326332012</t>
  </si>
  <si>
    <t>9763-20170724T105043.041905300.bin</t>
  </si>
  <si>
    <t>-696.725423122057 113.449263491094 -533.73876534696</t>
  </si>
  <si>
    <t>-589.355230625257 186.273614101888 -269.618563376659</t>
  </si>
  <si>
    <t>-349.062142338532 194.927417633492 -284.954530183096</t>
  </si>
  <si>
    <t>-679.534638070682 47.9167839351205 -100.956821832333</t>
  </si>
  <si>
    <t>-688.206965073266 62.7156184907767 302.231024642763</t>
  </si>
  <si>
    <t>-729.275424985042 81.3989601764763 747.716643220942</t>
  </si>
  <si>
    <t>-585.575816572385 105.536695824798 809.805813843897</t>
  </si>
  <si>
    <t>-579.92567503867 -135.403949312858 307.948331634994</t>
  </si>
  <si>
    <t>-620.139504106008 -126.566757224411 754.048911348451</t>
  </si>
  <si>
    <t>-499.308006810231 -198.716886212992 826.722081880778</t>
  </si>
  <si>
    <t>9763-20170724T105043.111644600.bin</t>
  </si>
  <si>
    <t>-691.618917575699 116.32476699039 -534.098215008913</t>
  </si>
  <si>
    <t>-583.949609860289 190.498422487736 -270.475796105787</t>
  </si>
  <si>
    <t>-343.595800593924 198.276974969379 -285.322486925881</t>
  </si>
  <si>
    <t>-676.78446934955 50.3782204060583 -100.589340194885</t>
  </si>
  <si>
    <t>-686.2506528642 64.0391941637283 302.620790012754</t>
  </si>
  <si>
    <t>-729.133007210494 81.1002549553446 748.01458379474</t>
  </si>
  <si>
    <t>-585.552500964929 105.946114266877 810.100107866772</t>
  </si>
  <si>
    <t>-578.299012267886 -134.269037836741 307.946686227412</t>
  </si>
  <si>
    <t>-619.97083907641 -126.305400911315 753.901894580453</t>
  </si>
  <si>
    <t>-499.541995356319 -199.000575217619 826.70015687694</t>
  </si>
  <si>
    <t>9763-20170724T105043.144727500.bin</t>
  </si>
  <si>
    <t>-689.510052931713 117.762334343807 -534.36045769534</t>
  </si>
  <si>
    <t>-581.711270695408 192.656012162012 -270.994728111838</t>
  </si>
  <si>
    <t>-341.320207927658 199.842949557479 -285.533210533071</t>
  </si>
  <si>
    <t>-675.850481936361 51.7863693794629 -100.440335765569</t>
  </si>
  <si>
    <t>-685.688047945865 64.765703402998 302.783467156058</t>
  </si>
  <si>
    <t>-729.166994285789 81.1854198440444 748.142433084476</t>
  </si>
  <si>
    <t>-585.561016176215 105.855008449585 810.239510583033</t>
  </si>
  <si>
    <t>-577.868493923551 -133.766516194545 307.950531382375</t>
  </si>
  <si>
    <t>-619.933301228815 -126.300717919112 753.848640872451</t>
  </si>
  <si>
    <t>-499.582681459593 -199.078902528218 826.693553928191</t>
  </si>
  <si>
    <t>9763-20170724T105043.212476500.bin</t>
  </si>
  <si>
    <t>-686.251271815828 120.792614864248 -535.06903952118</t>
  </si>
  <si>
    <t>-578.393226510219 197.283098853972 -272.186780274976</t>
  </si>
  <si>
    <t>-337.904782187563 203.167632324482 -285.661752116909</t>
  </si>
  <si>
    <t>-674.835568111553 54.7356530804782 -100.198420870129</t>
  </si>
  <si>
    <t>-685.462146090306 66.2280354853572 303.050459338212</t>
  </si>
  <si>
    <t>-729.160255452937 81.2047841309941 748.429423335675</t>
  </si>
  <si>
    <t>-585.532200370943 105.761151804222 810.520206063947</t>
  </si>
  <si>
    <t>-578.032596170292 -132.446807515145 307.842492597219</t>
  </si>
  <si>
    <t>-619.763607630468 -126.007845882323 753.748331993536</t>
  </si>
  <si>
    <t>-499.953007040898 -199.546882349873 826.719218526207</t>
  </si>
  <si>
    <t>9763-20170724T105043.240551200.bin</t>
  </si>
  <si>
    <t>-684.861943318021 122.205925747268 -535.457174494868</t>
  </si>
  <si>
    <t>-576.901655203683 199.322968581548 -272.800025346176</t>
  </si>
  <si>
    <t>-336.37022922465 204.436453521442 -285.814280651909</t>
  </si>
  <si>
    <t>-674.603963794666 56.2059700891994 -100.117232784483</t>
  </si>
  <si>
    <t>-685.621288998823 67.070019474367 303.138647487651</t>
  </si>
  <si>
    <t>-729.180925266043 81.3133824931697 748.565330084474</t>
  </si>
  <si>
    <t>-585.534240894154 105.746532624085 810.66180503509</t>
  </si>
  <si>
    <t>-578.283257893317 -131.863795185724 307.776966682267</t>
  </si>
  <si>
    <t>-619.726783059136 -125.958553762723 753.707751945999</t>
  </si>
  <si>
    <t>-499.893651850967 -199.425847424357 826.713762145035</t>
  </si>
  <si>
    <t>9763-20170724T105043.309740700.bin</t>
  </si>
  <si>
    <t>-682.377902352104 124.909570045934 -536.212205901</t>
  </si>
  <si>
    <t>-573.724335398168 202.591119332362 -274.007745335533</t>
  </si>
  <si>
    <t>-333.12728886437 206.660930911612 -286.147090357439</t>
  </si>
  <si>
    <t>-674.468119288275 59.1135099780015 -99.9751710770403</t>
  </si>
  <si>
    <t>-685.976666855073 68.7507375462678 303.298133128466</t>
  </si>
  <si>
    <t>-729.236769462834 81.5662984699961 748.842246028823</t>
  </si>
  <si>
    <t>-585.52623833159 105.609491230995 810.942943751788</t>
  </si>
  <si>
    <t>-578.907368633668 -130.66163379571 307.619205511847</t>
  </si>
  <si>
    <t>-619.661298925441 -125.898061248674 753.626379067354</t>
  </si>
  <si>
    <t>-500.152790469741 -199.800082867636 826.725488856926</t>
  </si>
  <si>
    <t>9763-20170724T105043.346839200.bin</t>
  </si>
  <si>
    <t>-681.284741890509 125.882125017203 -536.572390059878</t>
  </si>
  <si>
    <t>-572.121469529747 203.858190751761 -274.66722636334</t>
  </si>
  <si>
    <t>-331.500498049273 207.743884716469 -286.387130181069</t>
  </si>
  <si>
    <t>-674.239828033515 60.1990227296697 -99.8721330067068</t>
  </si>
  <si>
    <t>-686.143024698497 69.3899740224574 303.400136671499</t>
  </si>
  <si>
    <t>-729.238655037365 81.6469805385602 748.982194613679</t>
  </si>
  <si>
    <t>-585.519305879491 105.633735828127 811.084544245728</t>
  </si>
  <si>
    <t>-579.117056586307 -130.275866511363 307.559934315793</t>
  </si>
  <si>
    <t>-619.689903131743 -125.992097591496 753.606131421811</t>
  </si>
  <si>
    <t>-500.037627896018 -199.653175589649 826.713380666321</t>
  </si>
  <si>
    <t>9763-20170724T105043.411553300.bin</t>
  </si>
  <si>
    <t>-680.147288932618 126.918817988042 -537.31127254109</t>
  </si>
  <si>
    <t>-569.474294933535 205.863561197967 -276.331546690087</t>
  </si>
  <si>
    <t>-328.788425786913 209.390345858322 -286.760099357634</t>
  </si>
  <si>
    <t>-674.558961708063 62.0656407158961 -99.7023241416041</t>
  </si>
  <si>
    <t>-686.714980674812 70.3975246923078 303.580996695616</t>
  </si>
  <si>
    <t>-729.209500042585 81.7982557426867 749.25659812562</t>
  </si>
  <si>
    <t>-585.48677160964 105.743049858803 811.367184911791</t>
  </si>
  <si>
    <t>-579.770516405774 -129.467430148753 307.485569251837</t>
  </si>
  <si>
    <t>-619.71630273349 -126.106653381927 753.566613591357</t>
  </si>
  <si>
    <t>-500.211096145378 -199.950457002648 826.730103263065</t>
  </si>
  <si>
    <t>9763-20170724T105043.443646400.bin</t>
  </si>
  <si>
    <t>-679.894461847946 126.968701499939 -537.691900167984</t>
  </si>
  <si>
    <t>-568.285808743522 206.383373450048 -277.253617880468</t>
  </si>
  <si>
    <t>-327.561165222355 209.925553015075 -286.736386356783</t>
  </si>
  <si>
    <t>-674.929962513723 62.6025270004513 -99.6286696124699</t>
  </si>
  <si>
    <t>-686.975637809258 70.7478939064283 303.661763347388</t>
  </si>
  <si>
    <t>-729.170666910257 81.8394125085019 749.397806970301</t>
  </si>
  <si>
    <t>-585.461974616256 105.847934262553 811.51609307078</t>
  </si>
  <si>
    <t>-579.882698212672 -129.159819635076 307.448318801617</t>
  </si>
  <si>
    <t>-619.698294000495 -126.04735586734 753.535350714053</t>
  </si>
  <si>
    <t>-500.308967250613 -200.042096604418 826.73546815771</t>
  </si>
  <si>
    <t>9763-20170724T105043.511444500.bin</t>
  </si>
  <si>
    <t>-679.547398088895 126.163510929913 -538.164176368878</t>
  </si>
  <si>
    <t>-566.844687028767 205.637211833706 -278.215801776748</t>
  </si>
  <si>
    <t>-326.05517790468 209.010323666036 -285.955505805527</t>
  </si>
  <si>
    <t>-675.592689102759 62.664839815608 -99.5266382929667</t>
  </si>
  <si>
    <t>-686.839986855466 70.8058791286689 303.787013655938</t>
  </si>
  <si>
    <t>-729.161708399145 82.0193944597822 749.656232579561</t>
  </si>
  <si>
    <t>-585.390474755769 105.689121905566 811.760276156555</t>
  </si>
  <si>
    <t>-580.17940804063 -128.606628445863 307.415003214824</t>
  </si>
  <si>
    <t>-619.71284141413 -126.016688325882 753.486848816614</t>
  </si>
  <si>
    <t>-500.470906361936 -200.166114180245 826.770478566979</t>
  </si>
  <si>
    <t>9763-20170724T105043.544523900.bin</t>
  </si>
  <si>
    <t>-680.454071065838 125.446881089806 -538.23962523339</t>
  </si>
  <si>
    <t>-568.854081654514 202.52977386043 -277.098144552515</t>
  </si>
  <si>
    <t>-328.052261894438 206.092883651175 -284.358102176165</t>
  </si>
  <si>
    <t>-676.427199920562 62.2636840498114 -99.498803803868</t>
  </si>
  <si>
    <t>-686.77822526859 70.6761476777733 303.833290703328</t>
  </si>
  <si>
    <t>-729.181393443502 82.1231868510579 749.720265176157</t>
  </si>
  <si>
    <t>-585.399880107128 105.740590953056 811.820324364466</t>
  </si>
  <si>
    <t>-579.9447621258 -128.480520144056 307.487908341354</t>
  </si>
  <si>
    <t>-619.674375378944 -125.984867768135 753.468195269869</t>
  </si>
  <si>
    <t>-500.591768734807 -200.323066874672 826.819885954628</t>
  </si>
  <si>
    <t>9763-20170724T105043.610705200.bin</t>
  </si>
  <si>
    <t>-683.814899825971 123.300311628949 -537.931966698939</t>
  </si>
  <si>
    <t>-576.438019014072 196.891797867933 -274.027315393147</t>
  </si>
  <si>
    <t>-335.681384530983 202.356451073962 -281.592971776266</t>
  </si>
  <si>
    <t>-678.715362086701 61.3465996774355 -99.5177264914106</t>
  </si>
  <si>
    <t>-687.30613501848 70.3846786838326 303.842174852034</t>
  </si>
  <si>
    <t>-729.288083236177 82.4465460348563 749.734938078288</t>
  </si>
  <si>
    <t>-585.40703661602 105.456773384724 811.831956928809</t>
  </si>
  <si>
    <t>-579.350184158971 -127.994767604618 307.670496133076</t>
  </si>
  <si>
    <t>-619.488953106434 -125.361431144793 753.527250801998</t>
  </si>
  <si>
    <t>-501.298334424074 -201.032969863606 826.958119254673</t>
  </si>
  <si>
    <t>9763-20170724T105043.645799100.bin</t>
  </si>
  <si>
    <t>-686.012618127342 122.182395775299 -537.547842963203</t>
  </si>
  <si>
    <t>-581.296492619695 192.002880759783 -271.557631880663</t>
  </si>
  <si>
    <t>-340.589889374823 198.968148965653 -279.475844384943</t>
  </si>
  <si>
    <t>-680.314567900078 60.8985776870047 -99.6429778515603</t>
  </si>
  <si>
    <t>-687.846260280061 70.1277362879653 303.733776692031</t>
  </si>
  <si>
    <t>-729.297751499312 82.5430214135286 749.665270554054</t>
  </si>
  <si>
    <t>-585.375056202283 105.279669963801 811.766779671765</t>
  </si>
  <si>
    <t>-579.895029945917 -127.651228444656 307.776388060249</t>
  </si>
  <si>
    <t>-619.493404017851 -125.208429632375 753.619491797248</t>
  </si>
  <si>
    <t>-501.3494227741 -200.998092775474 827.003620468419</t>
  </si>
  <si>
    <t>9763-20170724T105043.711538900.bin</t>
  </si>
  <si>
    <t>-691.134770200835 118.864657944241 -537.329288380962</t>
  </si>
  <si>
    <t>-594.112308150485 183.358209389591 -267.110064448214</t>
  </si>
  <si>
    <t>-353.48893807176 194.760239853068 -271.719327249521</t>
  </si>
  <si>
    <t>-682.355579920151 59.2569192763008 -100.094349744725</t>
  </si>
  <si>
    <t>-688.824974907032 69.2665750411277 303.282129716202</t>
  </si>
  <si>
    <t>-729.284348859952 82.6255754765118 749.351469312771</t>
  </si>
  <si>
    <t>-585.358885317861 105.318643939737 811.462574631576</t>
  </si>
  <si>
    <t>-580.912818122778 -127.569467663057 307.873184891391</t>
  </si>
  <si>
    <t>-619.647765650606 -125.42480799411 753.771699448698</t>
  </si>
  <si>
    <t>-501.324148998755 -201.012516837131 827.074668531551</t>
  </si>
  <si>
    <t>9763-20170724T105043.778743900.bin</t>
  </si>
  <si>
    <t>-693.609026994164 116.91819906215 -537.737187797266</t>
  </si>
  <si>
    <t>-602.727491742919 179.471917195303 -264.939229908361</t>
  </si>
  <si>
    <t>-362.08038729554 191.29551892636 -265.156082382737</t>
  </si>
  <si>
    <t>-683.207549498891 58.313901888886 -100.322697526635</t>
  </si>
  <si>
    <t>-689.206586023229 68.7369495457822 303.050591236446</t>
  </si>
  <si>
    <t>-729.225806245426 82.5757887887314 749.15485905701</t>
  </si>
  <si>
    <t>-585.341446748306 105.495340835826 811.277835421067</t>
  </si>
  <si>
    <t>-581.291616744336 -127.943447298522 307.828351085161</t>
  </si>
  <si>
    <t>-619.719812690268 -125.502855849395 753.838083391501</t>
  </si>
  <si>
    <t>-501.037818982095 -200.597157867257 827.06876918133</t>
  </si>
  <si>
    <t>9763-20170724T105043.812850800.bin</t>
  </si>
  <si>
    <t>-698.175363289041 113.042820535607 -538.743076435899</t>
  </si>
  <si>
    <t>-622.345783061954 174.33767247496 -261.103052247046</t>
  </si>
  <si>
    <t>-381.823040475068 182.748148111724 -249.748307959934</t>
  </si>
  <si>
    <t>-685.600771271865 56.1738216516339 -100.696568138146</t>
  </si>
  <si>
    <t>-689.726704149891 67.7379083469689 302.669185632035</t>
  </si>
  <si>
    <t>-729.147341188482 82.5010878441612 748.783800723562</t>
  </si>
  <si>
    <t>-585.327093255884 105.763471853958 810.928108235413</t>
  </si>
  <si>
    <t>-582.211328132203 -128.999626358558 307.764945852058</t>
  </si>
  <si>
    <t>-619.873210165302 -125.681367589467 753.9433470114</t>
  </si>
  <si>
    <t>-500.943744212863 -200.500111657417 827.054369274324</t>
  </si>
  <si>
    <t>9763-20170724T105043.843918200.bin</t>
  </si>
  <si>
    <t>-700.170292283058 111.342256674688 -539.160287666571</t>
  </si>
  <si>
    <t>-630.526349989168 172.007662150783 -259.766989439424</t>
  </si>
  <si>
    <t>-390.186194475327 179.004484842754 -244.323004199036</t>
  </si>
  <si>
    <t>-687.109608888897 55.1036935530558 -100.829889004941</t>
  </si>
  <si>
    <t>-690.250673482166 67.2538124605358 302.52746446842</t>
  </si>
  <si>
    <t>-729.151039894818 82.5399890505564 748.616477926893</t>
  </si>
  <si>
    <t>-585.350412343002 105.897639490051 810.77024857255</t>
  </si>
  <si>
    <t>-582.956781719395 -129.459514241464 307.754814437075</t>
  </si>
  <si>
    <t>-620.03968063948 -126.020927454148 754.005126869057</t>
  </si>
  <si>
    <t>-500.586183810737 -200.090234987606 827.024908725464</t>
  </si>
  <si>
    <t>9763-20170724T105043.910112200.bin</t>
  </si>
  <si>
    <t>-704.119961286502 107.889378875619 -539.809013554353</t>
  </si>
  <si>
    <t>-638.858327548034 165.652880576646 -258.747685608359</t>
  </si>
  <si>
    <t>-398.575282746975 171.835092306218 -242.112788998161</t>
  </si>
  <si>
    <t>-690.536649440973 52.9349428818286 -101.093321368159</t>
  </si>
  <si>
    <t>-691.935296069489 66.4187032355362 302.23149787843</t>
  </si>
  <si>
    <t>-729.168894329216 82.622989816037 748.355654427536</t>
  </si>
  <si>
    <t>-585.368972952633 105.965211418751 810.516943453167</t>
  </si>
  <si>
    <t>-584.566215303563 -130.403024615992 307.666819200669</t>
  </si>
  <si>
    <t>-620.302122813631 -126.654595541383 754.09370541335</t>
  </si>
  <si>
    <t>-500.345947086432 -200.007573811562 827.012442146212</t>
  </si>
  <si>
    <t>9763-20170724T105043.942196500.bin</t>
  </si>
  <si>
    <t>-705.732571564525 106.136077629428 -540.154724600249</t>
  </si>
  <si>
    <t>-639.817572331498 163.690355598383 -259.202755120873</t>
  </si>
  <si>
    <t>-399.398131475126 167.783004352264 -243.951255424753</t>
  </si>
  <si>
    <t>-691.989432306781 51.7895187059469 -101.242524153056</t>
  </si>
  <si>
    <t>-692.791048849676 66.0789344134462 302.05618293382</t>
  </si>
  <si>
    <t>-729.15349022237 82.6359246348943 748.215002247579</t>
  </si>
  <si>
    <t>-585.384629281195 106.132365149091 810.390016507575</t>
  </si>
  <si>
    <t>-585.394537383989 -130.918722565462 307.619037725668</t>
  </si>
  <si>
    <t>-620.316921163982 -126.672571987321 754.117516862161</t>
  </si>
  <si>
    <t>-500.266441911899 -199.888854570295 827.018531503426</t>
  </si>
  <si>
    <t>9763-20170724T105044.010952900.bin</t>
  </si>
  <si>
    <t>-707.454960316589 103.115006966873 -541.012166989098</t>
  </si>
  <si>
    <t>-639.297175007021 162.268294109949 -260.928893304853</t>
  </si>
  <si>
    <t>-398.636095253502 161.331402862834 -249.431066031123</t>
  </si>
  <si>
    <t>-693.962036843756 49.7895362918323 -101.485390166216</t>
  </si>
  <si>
    <t>-694.000441401838 65.4256976460276 301.764095676493</t>
  </si>
  <si>
    <t>-729.170214981879 82.6758671817777 747.972173601803</t>
  </si>
  <si>
    <t>-585.452765152455 106.403669548955 810.178003234929</t>
  </si>
  <si>
    <t>-586.796546059272 -132.131016421477 307.662006345286</t>
  </si>
  <si>
    <t>-620.566474475434 -127.340799994739 754.30263002099</t>
  </si>
  <si>
    <t>-499.943147071653 -199.73721387602 827.076494138842</t>
  </si>
  <si>
    <t>9763-20170724T105044.044042600.bin</t>
  </si>
  <si>
    <t>-707.965134321753 101.562841476527 -541.383105066779</t>
  </si>
  <si>
    <t>-637.759816233581 160.860432110141 -261.836744802064</t>
  </si>
  <si>
    <t>-397.000068451869 159.937883436179 -252.630557568973</t>
  </si>
  <si>
    <t>-694.46101248803 48.7126428771653 -101.554805128651</t>
  </si>
  <si>
    <t>-694.097261463105 64.9154192767339 301.672172048289</t>
  </si>
  <si>
    <t>-729.214305761558 82.7347005811407 747.863483304149</t>
  </si>
  <si>
    <t>-585.49050757797 106.354356479266 810.095854346555</t>
  </si>
  <si>
    <t>-587.544851008973 -132.748086190721 307.722094999391</t>
  </si>
  <si>
    <t>-620.60505844494 -127.402637018498 754.388685551671</t>
  </si>
  <si>
    <t>-499.851311668639 -199.635059539369 827.109507524125</t>
  </si>
  <si>
    <t>9763-20170724T105044.111868100.bin</t>
  </si>
  <si>
    <t>-709.076481009437 98.6209067132702 -541.937362605647</t>
  </si>
  <si>
    <t>-633.842921968241 160.390105817453 -264.240196805426</t>
  </si>
  <si>
    <t>-392.974973315604 162.964852858885 -259.051780069326</t>
  </si>
  <si>
    <t>-695.034660918558 46.7381161053208 -101.628104747261</t>
  </si>
  <si>
    <t>-693.288228289344 64.0162936273912 301.550635231456</t>
  </si>
  <si>
    <t>-729.365299431447 82.895727484907 747.636754333178</t>
  </si>
  <si>
    <t>-585.574157135069 105.979451804238 809.9150646514</t>
  </si>
  <si>
    <t>-588.706460315535 -134.183901382426 307.908248784128</t>
  </si>
  <si>
    <t>-620.738705925866 -127.76470296654 754.571308351385</t>
  </si>
  <si>
    <t>-499.653879369382 -199.536948307375 827.197454568268</t>
  </si>
  <si>
    <t>9763-20170724T105044.145961300.bin</t>
  </si>
  <si>
    <t>-709.692682479253 97.0540326679397 -542.333071506048</t>
  </si>
  <si>
    <t>-631.195818708577 161.568407498345 -266.167662173507</t>
  </si>
  <si>
    <t>-390.321073894426 166.03220000587 -262.960826056877</t>
  </si>
  <si>
    <t>-695.046453683202 45.6945870472748 -101.633129665067</t>
  </si>
  <si>
    <t>-692.517974229694 63.4844134102409 301.51923310881</t>
  </si>
  <si>
    <t>-729.340201436728 82.6843247133029 747.527188223983</t>
  </si>
  <si>
    <t>-585.583551807299 106.001907100149 809.797581373922</t>
  </si>
  <si>
    <t>-589.248461896928 -135.038777242484 308.039876210332</t>
  </si>
  <si>
    <t>-620.872204850188 -128.187390242005 754.702020330397</t>
  </si>
  <si>
    <t>-499.437224318563 -199.435736059611 827.259038175567</t>
  </si>
  <si>
    <t>9763-20170724T105044.213145800.bin</t>
  </si>
  <si>
    <t>-709.414221540795 93.9303028487991 -543.535884544201</t>
  </si>
  <si>
    <t>-624.5515977992 166.777297936612 -271.354243644598</t>
  </si>
  <si>
    <t>-383.698240184592 173.055897120323 -272.423196806395</t>
  </si>
  <si>
    <t>-694.126629442146 44.1020505084048 -101.640810650463</t>
  </si>
  <si>
    <t>-690.781362831157 62.522301537238 301.477273809286</t>
  </si>
  <si>
    <t>-729.396745320949 82.3326397698268 747.326085827774</t>
  </si>
  <si>
    <t>-585.575139321478 105.39413492496 809.542060210602</t>
  </si>
  <si>
    <t>-590.124306975469 -135.943717403983 308.254156577912</t>
  </si>
  <si>
    <t>-620.857243653394 -128.206659362211 754.87891681427</t>
  </si>
  <si>
    <t>-499.642973865951 -199.85499028892 827.410972497287</t>
  </si>
  <si>
    <t>9763-20170724T105044.241219800.bin</t>
  </si>
  <si>
    <t>-708.641790915745 92.3906361458237 -544.285866238224</t>
  </si>
  <si>
    <t>-620.092397328997 169.357947350441 -274.422567501092</t>
  </si>
  <si>
    <t>-379.251967488691 175.895847043921 -276.427075470426</t>
  </si>
  <si>
    <t>-693.274988482457 43.4643331071115 -101.723727910164</t>
  </si>
  <si>
    <t>-690.023366228464 62.1168426464139 301.384444631588</t>
  </si>
  <si>
    <t>-729.36958292654 82.1706599718646 747.152256672055</t>
  </si>
  <si>
    <t>-585.584795423479 105.5066103534 809.35097168157</t>
  </si>
  <si>
    <t>-590.151882507081 -136.276298804829 308.292012844164</t>
  </si>
  <si>
    <t>-620.857284023764 -128.316540489493 754.925837881553</t>
  </si>
  <si>
    <t>-499.712224986988 -200.078344365852 827.461354366946</t>
  </si>
  <si>
    <t>9763-20170724T105044.313423500.bin</t>
  </si>
  <si>
    <t>-706.560954210489 90.1097622990912 -545.77945397433</t>
  </si>
  <si>
    <t>-612.173101758578 174.147244712324 -280.035539388536</t>
  </si>
  <si>
    <t>-371.283128948168 178.840117613586 -280.956120406102</t>
  </si>
  <si>
    <t>-691.077116642769 43.1803033831386 -101.847108557127</t>
  </si>
  <si>
    <t>-689.221782340292 61.6417192573474 301.278719686178</t>
  </si>
  <si>
    <t>-729.378514125511 82.0216071166333 746.911532052282</t>
  </si>
  <si>
    <t>-585.634891759501 105.720613542812 809.068134479923</t>
  </si>
  <si>
    <t>-589.583071143631 -136.785839263266 308.300704084699</t>
  </si>
  <si>
    <t>-620.787885498427 -128.392631647286 754.907516028412</t>
  </si>
  <si>
    <t>-499.53194814143 -199.942640521702 827.466907953042</t>
  </si>
  <si>
    <t>9763-20170724T105044.379124500.bin</t>
  </si>
  <si>
    <t>-703.894243228489 89.1255356160141 -547.183193122096</t>
  </si>
  <si>
    <t>-608.393859807264 177.477067705706 -283.242200012728</t>
  </si>
  <si>
    <t>-367.47199726499 180.176407177621 -282.759995371621</t>
  </si>
  <si>
    <t>-688.902735866841 43.8965979104087 -102.123295065961</t>
  </si>
  <si>
    <t>-688.910793126629 61.6033339110693 301.040555618059</t>
  </si>
  <si>
    <t>-729.268355946371 81.885430819395 746.672570684592</t>
  </si>
  <si>
    <t>-585.614969697025 106.044077635825 808.860829499015</t>
  </si>
  <si>
    <t>-589.075536546434 -136.91622196449 308.244122178217</t>
  </si>
  <si>
    <t>-620.710508207732 -128.298454082872 754.82260671391</t>
  </si>
  <si>
    <t>-499.418467829158 -199.773018337896 827.396340518414</t>
  </si>
  <si>
    <t>9763-20170724T105044.410206700.bin</t>
  </si>
  <si>
    <t>-702.995388578749 89.0641859482591 -547.675803700405</t>
  </si>
  <si>
    <t>-606.159065693855 178.28915119985 -284.516474208532</t>
  </si>
  <si>
    <t>-365.237553145102 180.96452222545 -283.803849455145</t>
  </si>
  <si>
    <t>-688.249684182411 44.5141969603949 -102.256614751789</t>
  </si>
  <si>
    <t>-688.699736046899 61.7537396331472 300.927365575941</t>
  </si>
  <si>
    <t>-729.236446186605 81.9038885320522 746.569327451763</t>
  </si>
  <si>
    <t>-585.620822570087 106.19168484617 808.794398480745</t>
  </si>
  <si>
    <t>-588.85778058522 -136.719009937928 308.213799324487</t>
  </si>
  <si>
    <t>-620.681508940934 -128.239251736935 754.774734938209</t>
  </si>
  <si>
    <t>-499.436011297393 -199.784393685961 827.356583083723</t>
  </si>
  <si>
    <t>9763-20170724T105044.444295900.bin</t>
  </si>
  <si>
    <t>-701.983523743078 88.7773402277046 -548.044432757322</t>
  </si>
  <si>
    <t>-603.127909494675 177.958776581439 -285.622197528499</t>
  </si>
  <si>
    <t>-362.210359278636 181.027237353609 -285.192716305528</t>
  </si>
  <si>
    <t>-687.524569201689 44.8849856454117 -102.367855786085</t>
  </si>
  <si>
    <t>-688.525307465035 61.8230302088587 300.827821022582</t>
  </si>
  <si>
    <t>-729.187571368004 81.8644351565044 746.492624289121</t>
  </si>
  <si>
    <t>-585.621951910274 106.372715546179 808.746407546419</t>
  </si>
  <si>
    <t>-588.579651365368 -136.631045342102 308.175969893767</t>
  </si>
  <si>
    <t>-620.734902048981 -128.439929386466 754.736086400518</t>
  </si>
  <si>
    <t>-499.332871186271 -199.731614254949 827.305889897254</t>
  </si>
  <si>
    <t>9763-20170724T105044.511986800.bin</t>
  </si>
  <si>
    <t>-698.901083969271 88.3820735263062 -548.85016478608</t>
  </si>
  <si>
    <t>-596.945933755289 177.97166418352 -287.756158993333</t>
  </si>
  <si>
    <t>-356.041145467706 181.619140030869 -286.187098913312</t>
  </si>
  <si>
    <t>-685.91859316579 45.7034442675213 -102.581956570774</t>
  </si>
  <si>
    <t>-687.905707461899 62.1898178577435 300.628789838716</t>
  </si>
  <si>
    <t>-729.177679136308 81.8939716590478 746.342107112459</t>
  </si>
  <si>
    <t>-585.600225283389 106.250755189581 808.628055790718</t>
  </si>
  <si>
    <t>-588.160375322562 -136.285488780163 308.157282072782</t>
  </si>
  <si>
    <t>-620.712840683801 -128.305236518135 754.681200009467</t>
  </si>
  <si>
    <t>-499.273697187499 -199.541844210462 827.242823900515</t>
  </si>
  <si>
    <t>9763-20170724T105044.547079600.bin</t>
  </si>
  <si>
    <t>-697.397352766329 88.3837947470056 -549.364595682382</t>
  </si>
  <si>
    <t>-595.108112517029 179.160981701021 -288.812076240519</t>
  </si>
  <si>
    <t>-354.215937422095 182.865048661342 -285.964964566387</t>
  </si>
  <si>
    <t>-685.332890784349 46.2403453142988 -102.64338670774</t>
  </si>
  <si>
    <t>-687.519264722315 62.3563476038726 300.581286828708</t>
  </si>
  <si>
    <t>-729.150578209467 81.7762916170052 746.304079729405</t>
  </si>
  <si>
    <t>-585.596990829483 106.340918624031 808.563370109928</t>
  </si>
  <si>
    <t>-587.96612618697 -136.254514411731 308.16776009461</t>
  </si>
  <si>
    <t>-620.768661549984 -128.414778293353 754.680227261043</t>
  </si>
  <si>
    <t>-499.196864320337 -199.447362387577 827.219597121878</t>
  </si>
  <si>
    <t>9763-20170724T105044.612258500.bin</t>
  </si>
  <si>
    <t>-694.518384595396 88.9863957678576 -550.478491401286</t>
  </si>
  <si>
    <t>-592.707465662699 182.739111774359 -290.793913438987</t>
  </si>
  <si>
    <t>-351.868378586547 186.32612139748 -284.919327237668</t>
  </si>
  <si>
    <t>-684.198262047386 47.9375085909342 -102.66545144989</t>
  </si>
  <si>
    <t>-686.75582614501 63.1336922511193 300.592753385558</t>
  </si>
  <si>
    <t>-729.211952958924 81.7865959146116 746.272067493079</t>
  </si>
  <si>
    <t>-585.534320397021 105.737050408317 808.484648861384</t>
  </si>
  <si>
    <t>-587.71427822712 -135.875797528313 308.219968754029</t>
  </si>
  <si>
    <t>-620.81655343684 -128.328540220898 754.712967645327</t>
  </si>
  <si>
    <t>-499.736824577688 -200.210844798494 827.238388245243</t>
  </si>
  <si>
    <t>9763-20170724T105044.648354500.bin</t>
  </si>
  <si>
    <t>-693.148239239365 89.3699240629883 -551.047669505228</t>
  </si>
  <si>
    <t>-591.188060652681 183.860217799246 -291.689077857121</t>
  </si>
  <si>
    <t>-350.379695897643 187.42107902059 -284.650592617663</t>
  </si>
  <si>
    <t>-683.532800509572 48.9529180933971 -102.686918310517</t>
  </si>
  <si>
    <t>-686.358947526285 63.6963778056559 300.58634749763</t>
  </si>
  <si>
    <t>-729.252131947875 81.8860350344121 746.225134347765</t>
  </si>
  <si>
    <t>-585.533871666177 105.624886610979 808.425207864636</t>
  </si>
  <si>
    <t>-587.765942909651 -135.608137215917 308.261974160587</t>
  </si>
  <si>
    <t>-620.834833842705 -128.299093262081 754.734788515532</t>
  </si>
  <si>
    <t>-499.725775203814 -200.153016625876 827.239349060905</t>
  </si>
  <si>
    <t>9763-20170724T105044.712064700.bin</t>
  </si>
  <si>
    <t>-689.648762188599 90.2847468935395 -552.135765663575</t>
  </si>
  <si>
    <t>-587.55905192119 185.458963516251 -293.078191094355</t>
  </si>
  <si>
    <t>-346.824689628996 188.535347717977 -283.679414620528</t>
  </si>
  <si>
    <t>-681.817277082577 51.1755282411832 -102.701238673366</t>
  </si>
  <si>
    <t>-684.978529236476 65.1667439075366 300.596357961761</t>
  </si>
  <si>
    <t>-729.190608381754 81.8088642266584 746.17937126246</t>
  </si>
  <si>
    <t>-585.441510947994 105.489854587052 808.330216221984</t>
  </si>
  <si>
    <t>-587.409434752181 -134.859554824058 308.337356670138</t>
  </si>
  <si>
    <t>-620.884301916409 -128.138275156714 754.799943491735</t>
  </si>
  <si>
    <t>-500.104933480003 -200.599285939263 827.250346280802</t>
  </si>
  <si>
    <t>9763-20170724T105044.744146500.bin</t>
  </si>
  <si>
    <t>-687.397130573019 90.81269075503 -552.730229179932</t>
  </si>
  <si>
    <t>-585.51578058968 186.287603090964 -293.701427203994</t>
  </si>
  <si>
    <t>-344.839025700415 188.953110020783 -282.816613862315</t>
  </si>
  <si>
    <t>-680.925055088799 52.4837027229487 -102.792940938999</t>
  </si>
  <si>
    <t>-683.627254988445 66.2417050154927 300.516056771513</t>
  </si>
  <si>
    <t>-729.200723188226 81.9004622628418 746.096054846256</t>
  </si>
  <si>
    <t>-585.409157751894 105.315348311849 808.249506620336</t>
  </si>
  <si>
    <t>-587.715393802559 -134.804261315471 308.416768696075</t>
  </si>
  <si>
    <t>-621.131093852224 -128.486109976233 754.962056919745</t>
  </si>
  <si>
    <t>-500.106696324246 -200.698239026826 827.251685730127</t>
  </si>
  <si>
    <t>9763-20170724T105044.813384700.bin</t>
  </si>
  <si>
    <t>-682.272714466859 92.0034642198295 -554.026870337438</t>
  </si>
  <si>
    <t>-581.307804783685 187.851661521876 -294.777102716188</t>
  </si>
  <si>
    <t>-340.822423550734 189.923780388047 -280.171470899611</t>
  </si>
  <si>
    <t>-679.939064118202 55.0926831335421 -103.313220781237</t>
  </si>
  <si>
    <t>-676.756652598971 69.2705292756518 299.977715997072</t>
  </si>
  <si>
    <t>-729.373576915157 82.6464470453518 745.237435489224</t>
  </si>
  <si>
    <t>-585.446274759074 104.640505571399 807.595105971399</t>
  </si>
  <si>
    <t>-591.037365171933 -133.752119496943 309.0687672061</t>
  </si>
  <si>
    <t>-621.85731987118 -129.832828663023 755.51893074199</t>
  </si>
  <si>
    <t>-500.151664018946 -201.253737034344 827.449877775477</t>
  </si>
  <si>
    <t>9763-20170724T105044.842462900.bin</t>
  </si>
  <si>
    <t>-680.240654486124 92.8285074560863 -554.511562190517</t>
  </si>
  <si>
    <t>-579.633452002903 188.883268924211 -295.199234377192</t>
  </si>
  <si>
    <t>-339.273738885946 190.986150418384 -278.656201186071</t>
  </si>
  <si>
    <t>-680.533227902813 55.6303652963454 -103.438212881471</t>
  </si>
  <si>
    <t>-672.097968672541 70.4570395302651 299.753647779559</t>
  </si>
  <si>
    <t>-729.981388510842 84.5538117953943 744.544375644794</t>
  </si>
  <si>
    <t>-585.790359160469 104.303756342461 807.043759736617</t>
  </si>
  <si>
    <t>-592.835310181046 -133.097240335652 309.47781086298</t>
  </si>
  <si>
    <t>-622.041533070914 -130.348030649098 755.854875115251</t>
  </si>
  <si>
    <t>-500.066238313451 -201.422152306223 827.672772526816</t>
  </si>
  <si>
    <t>9763-20170724T105044.914699000.bin</t>
  </si>
  <si>
    <t>-677.239645816146 101.01686202616 -555.364914081616</t>
  </si>
  <si>
    <t>-578.142968776588 198.564543874183 -296.028186288255</t>
  </si>
  <si>
    <t>-338.082871479104 201.611928694704 -275.712202340293</t>
  </si>
  <si>
    <t>-684.610638029187 66.5047616984405 -104.097825723645</t>
  </si>
  <si>
    <t>-667.377947366247 86.2215881072455 298.604267077405</t>
  </si>
  <si>
    <t>-735.318601790133 121.203026598313 740.198727623398</t>
  </si>
  <si>
    <t>-590.238493266287 127.020956167167 803.485778093818</t>
  </si>
  <si>
    <t>-595.590616735812 -129.015082046911 309.777748341233</t>
  </si>
  <si>
    <t>-622.133503593769 -130.820346290208 756.300437463135</t>
  </si>
  <si>
    <t>-500.332606549067 -202.285776968074 828.025694609587</t>
  </si>
  <si>
    <t>9763-20170724T105044.943782900.bin</t>
  </si>
  <si>
    <t>-676.796784931708 110.027644751355 -556.372424571975</t>
  </si>
  <si>
    <t>-578.932433581681 208.631840559293 -296.967478557298</t>
  </si>
  <si>
    <t>-339.049147780967 211.967893697221 -274.70308519805</t>
  </si>
  <si>
    <t>-688.981227727649 78.3682442260665 -105.214979707619</t>
  </si>
  <si>
    <t>-668.825949137793 101.749617200939 297.155144805238</t>
  </si>
  <si>
    <t>-737.953734333089 150.643591213685 736.930348977595</t>
  </si>
  <si>
    <t>-593.336796411209 145.361597402746 801.314694847219</t>
  </si>
  <si>
    <t>-597.808195477588 -123.758748452349 309.524524249381</t>
  </si>
  <si>
    <t>-622.062088737501 -130.509580942497 756.289538496609</t>
  </si>
  <si>
    <t>-500.871124728626 -202.985633119474 828.033918952329</t>
  </si>
  <si>
    <t>9763-20170724T105045.012564100.bin</t>
  </si>
  <si>
    <t>-672.441604597229 2.35102318898862 -97.9040446864401</t>
  </si>
  <si>
    <t>-674.497810379894 124.771772584845 -558.308801429329</t>
  </si>
  <si>
    <t>-579.777995232108 226.188736695328 -298.820979628695</t>
  </si>
  <si>
    <t>-340.238579505361 228.940761646907 -273.049249780213</t>
  </si>
  <si>
    <t>-696.709886530286 95.006000793677 -106.639546968562</t>
  </si>
  <si>
    <t>-672.882983020019 125.999792463887 295.014958639567</t>
  </si>
  <si>
    <t>-735.962697390507 199.334891133243 732.204934570943</t>
  </si>
  <si>
    <t>-595.791395126145 169.500221413276 799.652887240002</t>
  </si>
  <si>
    <t>-602.709839583858 -113.944659537703 309.089489533102</t>
  </si>
  <si>
    <t>-621.969942551164 -129.792825544835 756.216687926268</t>
  </si>
  <si>
    <t>-502.025203485914 -204.285528448133 827.989820629334</t>
  </si>
  <si>
    <t>9763-20170724T105045.041641900.bin</t>
  </si>
  <si>
    <t>-676.022465656077 9.48102326860385 -97.7206520837378</t>
  </si>
  <si>
    <t>-672.694425356797 130.970915288513 -558.784618606129</t>
  </si>
  <si>
    <t>-579.260581752002 233.535200824904 -299.281458774012</t>
  </si>
  <si>
    <t>-339.838914474986 235.238696947448 -272.352041140956</t>
  </si>
  <si>
    <t>-699.32580142107 102.195947192674 -106.683282000169</t>
  </si>
  <si>
    <t>-675.615635684362 136.066613210861 294.745747632973</t>
  </si>
  <si>
    <t>-734.679858866241 216.026981471936 731.353589861532</t>
  </si>
  <si>
    <t>-597.420838311038 176.960901593737 800.063662921692</t>
  </si>
  <si>
    <t>-604.917037748451 -109.329044176255 309.06939307043</t>
  </si>
  <si>
    <t>-621.996682672826 -129.666253086673 756.196472476864</t>
  </si>
  <si>
    <t>-502.472726800777 -204.820196075326 827.982283906536</t>
  </si>
  <si>
    <t>9763-20170724T105045.111839900.bin</t>
  </si>
  <si>
    <t>-680.193927257279 25.4304179942358 -96.3575074610357</t>
  </si>
  <si>
    <t>-687.495758683447 14.04031809092 -211.393020516232</t>
  </si>
  <si>
    <t>-682.587074561332 4.79069905325423 -309.459372718495</t>
  </si>
  <si>
    <t>-653.296781080125 8.73343616457146 -557.248930366498</t>
  </si>
  <si>
    <t>-667.462748938935 145.44070727196 -558.534552326879</t>
  </si>
  <si>
    <t>-575.974336177043 248.726780048305 -298.624876658369</t>
  </si>
  <si>
    <t>-336.597060252038 246.284373734917 -271.358842516328</t>
  </si>
  <si>
    <t>-701.620978965241 118.471122565151 -105.270432720288</t>
  </si>
  <si>
    <t>-680.171273884547 151.640940284516 296.344189965336</t>
  </si>
  <si>
    <t>-733.795887405607 229.599099749849 734.012038234954</t>
  </si>
  <si>
    <t>-599.362652772124 181.163483032927 802.341985421477</t>
  </si>
  <si>
    <t>-606.617574066221 -99.2255619578141 309.360993692296</t>
  </si>
  <si>
    <t>-621.843951911317 -128.932751817188 756.141362927307</t>
  </si>
  <si>
    <t>-503.768115670085 -206.199623024629 828.080225849586</t>
  </si>
  <si>
    <t>9763-20170724T105045.144935900.bin</t>
  </si>
  <si>
    <t>-682.650164602316 34.9801121494988 -95.4935160922371</t>
  </si>
  <si>
    <t>-689.678590969796 23.9245687248829 -210.578639142451</t>
  </si>
  <si>
    <t>-684.454162412602 14.619652494204 -308.623395934966</t>
  </si>
  <si>
    <t>-675.820141795495 6.06758945486627 -396.887615558421</t>
  </si>
  <si>
    <t>-653.829186747217 17.7578112446511 -556.285512169711</t>
  </si>
  <si>
    <t>-666.266347892974 154.674393900184 -558.02115678714</t>
  </si>
  <si>
    <t>-575.704386243846 256.964324326634 -297.394034879205</t>
  </si>
  <si>
    <t>-336.23535968171 251.702579707268 -271.360310914148</t>
  </si>
  <si>
    <t>-703.717160723367 128.718701458889 -104.468070956516</t>
  </si>
  <si>
    <t>-682.619187099712 157.566145990199 297.498826409663</t>
  </si>
  <si>
    <t>-735.3676227335 229.701952472306 735.859960923745</t>
  </si>
  <si>
    <t>-600.49717912045 180.758873951401 802.955612578299</t>
  </si>
  <si>
    <t>-606.30007955567 -93.5661595277152 309.52672417321</t>
  </si>
  <si>
    <t>-621.855431472027 -128.870767972782 756.078228678396</t>
  </si>
  <si>
    <t>-504.338270094637 -206.909640770575 828.098595024317</t>
  </si>
  <si>
    <t>9763-20170724T105045.213664900.bin</t>
  </si>
  <si>
    <t>-686.410123613383 51.6060144518663 -93.8186694634039</t>
  </si>
  <si>
    <t>-693.021821472771 40.8366932855868 -208.955581194706</t>
  </si>
  <si>
    <t>-687.299225881433 31.3028201117204 -306.950698711436</t>
  </si>
  <si>
    <t>-678.167380739575 22.3529723287861 -395.125102189945</t>
  </si>
  <si>
    <t>-664.75219402279 13.0621366218847 -482.714973710588</t>
  </si>
  <si>
    <t>-654.434525239686 32.9107361695064 -554.365494535472</t>
  </si>
  <si>
    <t>-663.673626225633 170.060830372438 -556.182422213495</t>
  </si>
  <si>
    <t>-574.417580601031 269.005937899964 -293.819254534167</t>
  </si>
  <si>
    <t>-335.079166382704 255.717363379385 -269.500203686427</t>
  </si>
  <si>
    <t>-706.236838878691 145.499123744503 -103.187573843507</t>
  </si>
  <si>
    <t>-681.232110216554 167.062401834467 299.01197008599</t>
  </si>
  <si>
    <t>-734.856116277073 231.274295740886 738.575833384824</t>
  </si>
  <si>
    <t>-600.03798161644 180.379940764215 804.311217777811</t>
  </si>
  <si>
    <t>-601.216113158892 -82.7280838455317 309.91966575086</t>
  </si>
  <si>
    <t>-621.548926101588 -128.203476155206 755.6689160724</t>
  </si>
  <si>
    <t>-505.027434602292 -207.411805161728 828.029635922729</t>
  </si>
  <si>
    <t>9763-20170724T105045.244747000.bin</t>
  </si>
  <si>
    <t>-689.068520214576 59.9674929161517 -92.7035072516767</t>
  </si>
  <si>
    <t>-695.538745039257 49.4409675432801 -207.870899658674</t>
  </si>
  <si>
    <t>-689.660196510402 39.9094779898671 -305.856863008085</t>
  </si>
  <si>
    <t>-680.377587879939 30.8794866238879 -394.007453837706</t>
  </si>
  <si>
    <t>-666.803881915486 21.4203752124624 -481.554771215422</t>
  </si>
  <si>
    <t>-643.361999518283 7.68788768153945 -603.138992799243</t>
  </si>
  <si>
    <t>-594.872256051842 4.12797543300212 -670.526698247673</t>
  </si>
  <si>
    <t>-656.040894864524 41.1102013206309 -553.183865460658</t>
  </si>
  <si>
    <t>-663.876690010962 178.282096795153 -554.867332965226</t>
  </si>
  <si>
    <t>-575.561724433686 275.387055246221 -291.50010415025</t>
  </si>
  <si>
    <t>-336.324566310732 257.570454956824 -269.160916764847</t>
  </si>
  <si>
    <t>-709.667411168515 155.900825469586 -102.159075905953</t>
  </si>
  <si>
    <t>-679.27349019359 171.305822371627 299.952338148746</t>
  </si>
  <si>
    <t>-734.395807145799 232.49989492767 739.787951764495</t>
  </si>
  <si>
    <t>-600.275913621792 179.493641476438 805.281821885263</t>
  </si>
  <si>
    <t>-596.996329073205 -76.6869635102612 309.955910985573</t>
  </si>
  <si>
    <t>-621.171808510796 -127.394168884432 755.232875483769</t>
  </si>
  <si>
    <t>-505.641049525841 -207.743917681745 827.922861120967</t>
  </si>
  <si>
    <t>9763-20170724T105045.308957600.bin</t>
  </si>
  <si>
    <t>-692.069013249701 75.8617589098703 -89.883886159377</t>
  </si>
  <si>
    <t>-698.332435211219 65.9903650696901 -205.120804636751</t>
  </si>
  <si>
    <t>-692.264927294453 56.637821379991 -303.112485369258</t>
  </si>
  <si>
    <t>-682.813386958976 47.6408480102104 -391.248525612004</t>
  </si>
  <si>
    <t>-669.073702980336 38.0790814256777 -478.758694670167</t>
  </si>
  <si>
    <t>-645.405420817187 24.0645561253539 -600.266723566412</t>
  </si>
  <si>
    <t>-596.804754803798 19.5445717865462 -667.516840445892</t>
  </si>
  <si>
    <t>-657.394989809345 57.6770269533688 -550.269215721887</t>
  </si>
  <si>
    <t>-661.315179565828 195.129910656964 -551.149581929478</t>
  </si>
  <si>
    <t>-575.981694384734 287.298522030963 -285.040000710989</t>
  </si>
  <si>
    <t>-336.98820658731 260.32070991663 -270.715392988445</t>
  </si>
  <si>
    <t>-654.24616040408 2.78607992781235 -543.324943866168</t>
  </si>
  <si>
    <t>-711.042783089923 173.62032627424 -99.2867281427085</t>
  </si>
  <si>
    <t>-675.135559963237 179.791668162801 302.617854105988</t>
  </si>
  <si>
    <t>-733.801223462957 233.555788206294 743.049133004354</t>
  </si>
  <si>
    <t>-600.188314450266 178.924679870534 808.243932637423</t>
  </si>
  <si>
    <t>-587.977166152608 -65.2169927372288 309.790096366504</t>
  </si>
  <si>
    <t>-619.876208530955 -125.087489210748 753.694396620163</t>
  </si>
  <si>
    <t>-507.436606607604 -208.617828671772 827.635862707979</t>
  </si>
  <si>
    <t>9763-20170724T105045.343057100.bin</t>
  </si>
  <si>
    <t>-692.962507583516 82.3110646596915 -88.708572240772</t>
  </si>
  <si>
    <t>-699.017854062211 72.7183692983879 -203.980152561565</t>
  </si>
  <si>
    <t>-692.766989730252 63.5138835614423 -301.974279411325</t>
  </si>
  <si>
    <t>-683.14997921647 54.6260315043692 -390.103492839544</t>
  </si>
  <si>
    <t>-669.245470077828 45.1430622230891 -477.596297775942</t>
  </si>
  <si>
    <t>-645.34788828731 31.2077521047506 -599.068577033655</t>
  </si>
  <si>
    <t>-596.676821087652 26.2330775456137 -666.235645587741</t>
  </si>
  <si>
    <t>-656.954544580668 64.8221678540506 -548.981864414556</t>
  </si>
  <si>
    <t>-658.506496685201 202.270457316384 -549.369152941185</t>
  </si>
  <si>
    <t>-575.080988854314 291.354969361091 -281.609286186089</t>
  </si>
  <si>
    <t>-336.426250151766 260.344321832633 -270.071917503248</t>
  </si>
  <si>
    <t>-654.773549330568 9.85801279837233 -542.247448812495</t>
  </si>
  <si>
    <t>-711.050397263022 181.165891226055 -98.0090127707816</t>
  </si>
  <si>
    <t>-673.425701424342 183.457623946462 303.779250631056</t>
  </si>
  <si>
    <t>-733.443567380972 234.124000922465 744.61156989712</t>
  </si>
  <si>
    <t>-600.143672903201 178.652981846839 809.737475559128</t>
  </si>
  <si>
    <t>-584.224158345641 -60.0101768452623 309.352240799237</t>
  </si>
  <si>
    <t>-618.551508893393 -123.482185211389 752.429031138078</t>
  </si>
  <si>
    <t>-508.280271935074 -208.758765494921 827.63171633612</t>
  </si>
  <si>
    <t>9763-20170724T105045.413262100.bin</t>
  </si>
  <si>
    <t>-694.901417951328 93.2294425916707 -86.6917915572685</t>
  </si>
  <si>
    <t>-701.030103817293 84.6350501545448 -202.038267708835</t>
  </si>
  <si>
    <t>-694.703745969949 76.0127106734005 -300.080644521731</t>
  </si>
  <si>
    <t>-684.967817938847 67.5615232149082 -388.239701451809</t>
  </si>
  <si>
    <t>-670.895484445909 58.414544070275 -475.741441239223</t>
  </si>
  <si>
    <t>-646.714551895521 44.8440452461214 -597.198927505026</t>
  </si>
  <si>
    <t>-598.008794885197 39.168448307016 -664.285096768592</t>
  </si>
  <si>
    <t>-657.585695267493 78.3474198849719 -546.873370548939</t>
  </si>
  <si>
    <t>-654.88535084534 215.783709631098 -546.099780802044</t>
  </si>
  <si>
    <t>-573.108713676164 299.931919606093 -276.242692928128</t>
  </si>
  <si>
    <t>-335.327483169996 261.773986324592 -268.83200931459</t>
  </si>
  <si>
    <t>-657.125139825324 23.2840631250056 -540.629530888237</t>
  </si>
  <si>
    <t>-711.120170817559 193.623662825394 -94.775751113422</t>
  </si>
  <si>
    <t>-671.650784499518 189.584814265385 306.82170320298</t>
  </si>
  <si>
    <t>-732.582357197686 235.063586732485 748.991844885719</t>
  </si>
  <si>
    <t>-599.899928571125 178.117912924147 814.105988103876</t>
  </si>
  <si>
    <t>-582.508622593403 -48.1798983812644 308.272421559737</t>
  </si>
  <si>
    <t>-617.388981811986 -112.952678787849 750.25410865646</t>
  </si>
  <si>
    <t>-512.050852730483 -201.837927767055 828.296317798291</t>
  </si>
  <si>
    <t>9763-20170724T105045.446332700.bin</t>
  </si>
  <si>
    <t>-700.870617139088 102.324349255874 -86.4704074902712</t>
  </si>
  <si>
    <t>-707.272218813072 94.3867077785367 -201.849038070318</t>
  </si>
  <si>
    <t>-701.129007767063 86.0920491097477 -299.931135213153</t>
  </si>
  <si>
    <t>-691.541644645277 77.848329876683 -388.126231297168</t>
  </si>
  <si>
    <t>-677.602118189986 68.8150273001975 -475.660927203562</t>
  </si>
  <si>
    <t>-653.592291437163 55.3037849692641 -597.15908821911</t>
  </si>
  <si>
    <t>-604.933673108376 49.3355435277795 -664.254060329096</t>
  </si>
  <si>
    <t>-664.033091991883 88.7910608012321 -546.731981218528</t>
  </si>
  <si>
    <t>-659.629130250412 226.190589951739 -545.364819651149</t>
  </si>
  <si>
    <t>-577.727973762853 307.874891386271 -274.789344921643</t>
  </si>
  <si>
    <t>-340.34808232457 267.081796128085 -268.659328438267</t>
  </si>
  <si>
    <t>-664.282564801701 33.7075932673322 -540.655520149489</t>
  </si>
  <si>
    <t>-713.115374174285 200.559793848799 -93.9313273001279</t>
  </si>
  <si>
    <t>-674.639212362582 195.01267390174 307.744495120831</t>
  </si>
  <si>
    <t>-732.177353869847 235.697033744417 750.379675759793</t>
  </si>
  <si>
    <t>-599.702611291709 178.294288107452 815.515137886958</t>
  </si>
  <si>
    <t>-690.615515752 6.21009812287411 -81.4911460697143</t>
  </si>
  <si>
    <t>-593.432229383123 -34.2245218891048 308.092167852675</t>
  </si>
  <si>
    <t>-633.168629211031 -89.9256109700336 750.616389111836</t>
  </si>
  <si>
    <t>-529.869204707937 -180.746278888428 829.153911187652</t>
  </si>
  <si>
    <t>9763-20170724T105045.497982300.bin</t>
  </si>
  <si>
    <t>-708.041737302607 114.364143827981 -87.1476856669759</t>
  </si>
  <si>
    <t>-714.967139766374 107.461565071333 -202.562666082396</t>
  </si>
  <si>
    <t>-709.331509442583 99.7480146181501 -300.7227080631</t>
  </si>
  <si>
    <t>-700.229875975389 91.9119503555214 -389.006206791129</t>
  </si>
  <si>
    <t>-686.804560416354 83.1609433973733 -476.650052613196</t>
  </si>
  <si>
    <t>-663.544974651286 69.9109274960902 -598.32276568588</t>
  </si>
  <si>
    <t>-615.145152383558 63.6337328180805 -665.576604733813</t>
  </si>
  <si>
    <t>-673.220846004861 103.293422794886 -547.674000792389</t>
  </si>
  <si>
    <t>-666.835713550216 240.582487173579 -545.385046158464</t>
  </si>
  <si>
    <t>-584.706998736862 318.484229951267 -273.76496054949</t>
  </si>
  <si>
    <t>-347.777216046103 274.913859596206 -269.675291822884</t>
  </si>
  <si>
    <t>-674.339879685223 48.1895726708342 -541.887138706386</t>
  </si>
  <si>
    <t>-525.759844138659 4.60376766212858 -291.368073110588</t>
  </si>
  <si>
    <t>-715.275901049497 209.704221454128 -93.7573047081038</t>
  </si>
  <si>
    <t>-679.7623992777 203.167744436726 308.176498995725</t>
  </si>
  <si>
    <t>-731.697853889551 236.876460069886 751.374226103233</t>
  </si>
  <si>
    <t>-599.552757795359 178.757421276726 816.544523524601</t>
  </si>
  <si>
    <t>-701.35732871162 19.8384631731985 -83.0630618790912</t>
  </si>
  <si>
    <t>-607.473390974735 -15.7179688759452 307.802836464661</t>
  </si>
  <si>
    <t>-655.889881364445 -54.3854402911661 751.449960568668</t>
  </si>
  <si>
    <t>-555.607541611964 -148.160494739696 830.424519078939</t>
  </si>
  <si>
    <t>9763-20170724T105045.546110700.bin</t>
  </si>
  <si>
    <t>-709.200887750286 119.594742233906 -88.2811708798567</t>
  </si>
  <si>
    <t>-716.753581894664 113.692896531263 -203.71240765106</t>
  </si>
  <si>
    <t>-711.803611155147 106.693244255941 -301.962808474674</t>
  </si>
  <si>
    <t>-703.382076263178 99.4508122286261 -390.364591874914</t>
  </si>
  <si>
    <t>-690.695685385664 91.2368901181155 -478.170203957702</t>
  </si>
  <si>
    <t>-668.530173415848 78.6770683752552 -600.119902931789</t>
  </si>
  <si>
    <t>-620.58944527037 72.3112654519502 -667.693612236784</t>
  </si>
  <si>
    <t>-677.436588163547 111.769702661745 -549.140899592661</t>
  </si>
  <si>
    <t>-669.68731918002 248.981897609097 -545.760350310348</t>
  </si>
  <si>
    <t>-587.471834996087 323.200474689126 -273.137023744246</t>
  </si>
  <si>
    <t>-350.657082561241 278.876241216692 -270.900046359421</t>
  </si>
  <si>
    <t>-679.131735583991 56.6383280079458 -543.771009822109</t>
  </si>
  <si>
    <t>-532.490148582534 12.5798645226696 -295.72185909163</t>
  </si>
  <si>
    <t>-714.54123301607 214.077546875685 -94.0365390170291</t>
  </si>
  <si>
    <t>-681.814054276444 207.438864131489 308.131947698382</t>
  </si>
  <si>
    <t>-731.385309638955 237.65493350687 751.764138148885</t>
  </si>
  <si>
    <t>-599.3560937781 179.330626871705 816.985667344539</t>
  </si>
  <si>
    <t>-703.577360277695 24.9027179701393 -85.0833823628949</t>
  </si>
  <si>
    <t>-614.109504823808 -5.63168436355568 307.24026341499</t>
  </si>
  <si>
    <t>-670.108007521481 -26.0985519769833 751.387332171715</t>
  </si>
  <si>
    <t>-570.038973747398 -119.911418750229 830.587384078026</t>
  </si>
  <si>
    <t>9763-20170724T105045.612802200.bin</t>
  </si>
  <si>
    <t>-706.917109161449 119.866731884577 -89.1356423989986</t>
  </si>
  <si>
    <t>-715.215740243187 114.640147303125 -204.548013130005</t>
  </si>
  <si>
    <t>-711.184431117873 108.35681217427 -302.88887631789</t>
  </si>
  <si>
    <t>-703.701099723241 101.82318911324 -391.430228043312</t>
  </si>
  <si>
    <t>-692.057197347637 94.375974971342 -479.448441510969</t>
  </si>
  <si>
    <t>-671.452885758408 82.948662011423 -601.782741454521</t>
  </si>
  <si>
    <t>-624.365944296644 76.7988024854949 -669.97370661861</t>
  </si>
  <si>
    <t>-679.475877129149 115.562272294738 -550.350316362878</t>
  </si>
  <si>
    <t>-670.622621946574 252.670168602725 -545.339490290054</t>
  </si>
  <si>
    <t>-589.437520061075 322.396449536915 -271.225644733461</t>
  </si>
  <si>
    <t>-352.613212497784 278.067116157023 -270.996190988816</t>
  </si>
  <si>
    <t>-681.563887377911 60.392155734125 -545.54855734374</t>
  </si>
  <si>
    <t>-533.870985030064 15.7758764256375 -300.230670051047</t>
  </si>
  <si>
    <t>-711.861726001013 214.626988973767 -94.1632518965208</t>
  </si>
  <si>
    <t>-680.087762516274 207.837606937343 308.07924231679</t>
  </si>
  <si>
    <t>-731.133803291252 238.213078010498 751.880804695041</t>
  </si>
  <si>
    <t>-598.980564332007 180.227641055385 817.153206498794</t>
  </si>
  <si>
    <t>-701.422532161264 24.1503977529628 -86.427734475344</t>
  </si>
  <si>
    <t>-618.396808088606 -2.07356170802041 307.620087631635</t>
  </si>
  <si>
    <t>-679.621520150284 -8.50249270507015 751.294658869295</t>
  </si>
  <si>
    <t>-578.532694588667 -101.341406530633 830.346964358033</t>
  </si>
  <si>
    <t>9763-20170724T105045.645890400.bin</t>
  </si>
  <si>
    <t>-705.388856998412 118.587238711383 -89.0876149913247</t>
  </si>
  <si>
    <t>-714.05232934601 113.414675949377 -204.475788124595</t>
  </si>
  <si>
    <t>-710.493671609602 107.370589592856 -302.849839327546</t>
  </si>
  <si>
    <t>-703.49887413849 101.130669343602 -391.452155472283</t>
  </si>
  <si>
    <t>-692.401527506632 94.0534189479088 -479.571487413131</t>
  </si>
  <si>
    <t>-672.619518244462 83.2228210830542 -602.095663742122</t>
  </si>
  <si>
    <t>-625.976405074985 77.3036272280617 -670.611405697583</t>
  </si>
  <si>
    <t>-680.265987624374 115.584575017756 -550.447266278125</t>
  </si>
  <si>
    <t>-671.267201132397 252.635359184625 -544.628603938997</t>
  </si>
  <si>
    <t>-590.663286605014 320.212360681783 -269.805784306764</t>
  </si>
  <si>
    <t>-353.608518437034 277.132799435085 -270.044115533973</t>
  </si>
  <si>
    <t>-682.383045509851 60.3931679683574 -545.910327441224</t>
  </si>
  <si>
    <t>-533.304554049467 15.1871128581324 -302.210659245803</t>
  </si>
  <si>
    <t>-710.596248574708 213.656291395309 -93.9925604319271</t>
  </si>
  <si>
    <t>-678.38157741653 206.557751089636 308.209459228656</t>
  </si>
  <si>
    <t>-731.089251240576 238.286577810425 751.877873641356</t>
  </si>
  <si>
    <t>-598.866411656023 180.49091700827 817.177688567822</t>
  </si>
  <si>
    <t>-700.047173216945 22.7654463344329 -86.4870069639233</t>
  </si>
  <si>
    <t>-619.544420871621 -2.23359745033667 308.163510380544</t>
  </si>
  <si>
    <t>-679.881177277391 -8.56847464713292 751.984028490578</t>
  </si>
  <si>
    <t>-578.313669575547 -101.196320114383 830.669718945041</t>
  </si>
  <si>
    <t>9763-20170724T105045.708601600.bin</t>
  </si>
  <si>
    <t>-705.04576732042 118.166920266935 -89.8253007055482</t>
  </si>
  <si>
    <t>-714.283175832766 112.835740052318 -205.161628489317</t>
  </si>
  <si>
    <t>-711.667650704261 107.105360986591 -303.584057826514</t>
  </si>
  <si>
    <t>-705.699012020152 101.329341916508 -392.292820492718</t>
  </si>
  <si>
    <t>-695.794471067667 94.8988690190347 -480.603744574434</t>
  </si>
  <si>
    <t>-677.848054542778 85.1644543365837 -603.501924954373</t>
  </si>
  <si>
    <t>-632.168951027581 79.9700941627584 -672.72230128731</t>
  </si>
  <si>
    <t>-684.841952452165 117.066046955276 -551.476071592392</t>
  </si>
  <si>
    <t>-676.689962649623 254.113256725765 -544.406043410136</t>
  </si>
  <si>
    <t>-597.703393222912 317.664939296615 -268.157025672634</t>
  </si>
  <si>
    <t>-360.2961404467 276.591047115612 -269.417835571073</t>
  </si>
  <si>
    <t>-686.64870869869 61.8302256066709 -547.364918059298</t>
  </si>
  <si>
    <t>-534.148783768878 15.1557334821064 -306.657722295857</t>
  </si>
  <si>
    <t>-710.193897063211 212.843458107407 -94.5000595859191</t>
  </si>
  <si>
    <t>-677.252368349125 205.067777455446 307.630657787252</t>
  </si>
  <si>
    <t>-731.147732054593 238.496803866037 751.174664074377</t>
  </si>
  <si>
    <t>-599.035863749627 180.502679390843 816.523326604923</t>
  </si>
  <si>
    <t>-700.139642772456 23.9864444781879 -87.0637648660617</t>
  </si>
  <si>
    <t>-622.615758446657 -2.83605040323482 308.063106936828</t>
  </si>
  <si>
    <t>-681.795180423989 -11.1787721284636 752.177325834863</t>
  </si>
  <si>
    <t>-578.171139890148 -102.868739632456 829.263605971819</t>
  </si>
  <si>
    <t>9763-20170724T105045.741689800.bin</t>
  </si>
  <si>
    <t>-705.164251639367 117.965222734047 -90.1830245269695</t>
  </si>
  <si>
    <t>-714.612859100181 112.560349035318 -205.498810627474</t>
  </si>
  <si>
    <t>-712.445851322255 106.958592995211 -303.939497280283</t>
  </si>
  <si>
    <t>-706.986588863555 101.373385637678 -392.693399625952</t>
  </si>
  <si>
    <t>-697.692833166709 95.210663344091 -481.089584108646</t>
  </si>
  <si>
    <t>-680.703136201909 85.9313683641881 -604.158857585813</t>
  </si>
  <si>
    <t>-635.525157116283 81.154265572781 -673.737353408486</t>
  </si>
  <si>
    <t>-687.42399812135 117.642738554929 -551.98089823985</t>
  </si>
  <si>
    <t>-680.130364936545 254.71124586178 -544.441055972118</t>
  </si>
  <si>
    <t>-602.779187575724 316.161122124113 -267.255195593413</t>
  </si>
  <si>
    <t>-365.175682455396 276.229426836363 -268.20802843107</t>
  </si>
  <si>
    <t>-688.935057550646 62.3867878265564 -548.023392908223</t>
  </si>
  <si>
    <t>-535.098396062966 16.1143848924594 -308.760577703362</t>
  </si>
  <si>
    <t>-710.472551742524 212.420646664148 -94.8696977466476</t>
  </si>
  <si>
    <t>-678.032781790303 204.85187999301 307.305695830294</t>
  </si>
  <si>
    <t>-731.222452801425 238.567947081528 750.825214311682</t>
  </si>
  <si>
    <t>-599.112611415808 180.557279251245 816.163101315592</t>
  </si>
  <si>
    <t>-700.365352307147 23.7820164446971 -87.5886067564004</t>
  </si>
  <si>
    <t>-624.976133799779 -1.63181868048832 308.04416055734</t>
  </si>
  <si>
    <t>-681.547097367294 -10.5135001700576 752.201922719584</t>
  </si>
  <si>
    <t>-578.58087205367 -103.237045343469 828.932667096015</t>
  </si>
  <si>
    <t>9763-20170724T105045.814992300.bin</t>
  </si>
  <si>
    <t>-705.004383116002 117.98254146174 -91.0753967354854</t>
  </si>
  <si>
    <t>-714.796231882877 112.312491035286 -206.349806617329</t>
  </si>
  <si>
    <t>-713.545363225099 106.941763198364 -304.819346889807</t>
  </si>
  <si>
    <t>-709.156313358598 101.745273293041 -393.656161115857</t>
  </si>
  <si>
    <t>-701.168777709827 96.158232548006 -482.218079259929</t>
  </si>
  <si>
    <t>-686.245568460789 87.8817188001287 -605.62632800318</t>
  </si>
  <si>
    <t>-642.177272367072 84.0480749035119 -675.970673537918</t>
  </si>
  <si>
    <t>-692.464933398847 119.171295888945 -553.132670501756</t>
  </si>
  <si>
    <t>-687.363260360416 256.274774937947 -544.596698778664</t>
  </si>
  <si>
    <t>-614.831626305716 313.961902328909 -265.307349640186</t>
  </si>
  <si>
    <t>-377.392058550805 273.126277922571 -262.898796454778</t>
  </si>
  <si>
    <t>-693.160057593994 63.8762296651316 -549.508296153266</t>
  </si>
  <si>
    <t>-536.406135829149 18.831103083138 -313.090776957478</t>
  </si>
  <si>
    <t>-710.142167995094 210.890013732909 -95.8932900207683</t>
  </si>
  <si>
    <t>-680.861442866636 205.501103579498 306.559565936974</t>
  </si>
  <si>
    <t>-731.425769149456 238.693787194939 750.121466473033</t>
  </si>
  <si>
    <t>-599.110225290981 181.063034333436 815.379645228315</t>
  </si>
  <si>
    <t>-699.99591272229 25.5539769389727 -88.2609329417627</t>
  </si>
  <si>
    <t>-626.897407297897 -2.22100042519423 307.642940084613</t>
  </si>
  <si>
    <t>-681.488891272198 -10.2254843574488 752.308945126417</t>
  </si>
  <si>
    <t>-579.1020223512 -103.925551668281 828.627469992085</t>
  </si>
  <si>
    <t>9763-20170724T105045.846081500.bin</t>
  </si>
  <si>
    <t>-704.225570247594 118.190459967399 -91.3759959627162</t>
  </si>
  <si>
    <t>-714.090303422088 112.391975176127 -206.637759390332</t>
  </si>
  <si>
    <t>-713.200142333396 107.135507700888 -305.117400522446</t>
  </si>
  <si>
    <t>-709.253141082314 102.132152103261 -393.986002351759</t>
  </si>
  <si>
    <t>-701.820891665157 96.8334728155171 -482.613997261596</t>
  </si>
  <si>
    <t>-687.789745616022 89.0615038914816 -606.159784040725</t>
  </si>
  <si>
    <t>-644.240222709364 85.7120092842704 -676.850925055855</t>
  </si>
  <si>
    <t>-693.841817746308 120.136606076695 -553.519141519139</t>
  </si>
  <si>
    <t>-689.831078685625 257.226826395408 -544.407617808337</t>
  </si>
  <si>
    <t>-620.548496829502 314.111088648356 -264.130359632487</t>
  </si>
  <si>
    <t>-383.349730755392 272.0924477719 -259.436745415699</t>
  </si>
  <si>
    <t>-694.086541990175 64.8265673993974 -550.067509083795</t>
  </si>
  <si>
    <t>-536.069950972989 21.1026497442376 -315.190216773054</t>
  </si>
  <si>
    <t>-709.308228627473 210.126607108919 -96.2688707926977</t>
  </si>
  <si>
    <t>-682.246080106561 206.067741810986 306.35482390594</t>
  </si>
  <si>
    <t>-731.544150645505 238.747876809087 749.883264960531</t>
  </si>
  <si>
    <t>-599.076958534167 181.441854035591 815.119382146791</t>
  </si>
  <si>
    <t>-698.358716644719 26.4180536534025 -88.3289103434537</t>
  </si>
  <si>
    <t>-627.070909212859 -3.21168681831023 307.770565896311</t>
  </si>
  <si>
    <t>-681.811235997104 -10.6104106954267 752.558695224666</t>
  </si>
  <si>
    <t>-578.854003809849 -103.993624367131 828.497281987819</t>
  </si>
  <si>
    <t>9763-20170724T105045.915768200.bin</t>
  </si>
  <si>
    <t>-702.80459060187 114.580578530095 -91.8967465078185</t>
  </si>
  <si>
    <t>-712.718235719209 108.606591933637 -207.145307756169</t>
  </si>
  <si>
    <t>-712.328033940869 103.609019657277 -305.641778758825</t>
  </si>
  <si>
    <t>-709.010625269609 99.0026585038058 -394.55757479714</t>
  </si>
  <si>
    <t>-702.3815822594 94.2724385943488 -483.28134407443</t>
  </si>
  <si>
    <t>-689.649787220707 87.4788353635647 -607.02529409677</t>
  </si>
  <si>
    <t>-647.016316583096 85.0911304067697 -678.311480307137</t>
  </si>
  <si>
    <t>-695.556102135305 118.132290258072 -554.12177128871</t>
  </si>
  <si>
    <t>-693.42027272877 255.213966597099 -543.996643577311</t>
  </si>
  <si>
    <t>-630.706590535271 308.447830573089 -261.46465483823</t>
  </si>
  <si>
    <t>-393.907289203021 265.196992285621 -251.152486298285</t>
  </si>
  <si>
    <t>-694.948727500607 62.8042719785217 -551.021666095314</t>
  </si>
  <si>
    <t>-533.269156353306 19.8711137330315 -318.304972711765</t>
  </si>
  <si>
    <t>-708.500281746001 206.576221423608 -96.8118664660218</t>
  </si>
  <si>
    <t>-683.377809842214 204.435874560257 305.952263248034</t>
  </si>
  <si>
    <t>-731.785593157773 238.835002299936 749.370060347246</t>
  </si>
  <si>
    <t>-598.968125501458 182.329451065836 814.592252391789</t>
  </si>
  <si>
    <t>-696.865261218351 21.4695725876172 -88.8731527301086</t>
  </si>
  <si>
    <t>-628.114951791388 -4.02943704253494 307.961654057272</t>
  </si>
  <si>
    <t>-682.049550152539 -10.905203758613 752.941083263692</t>
  </si>
  <si>
    <t>-578.466824365178 -104.089529903184 828.271003858863</t>
  </si>
  <si>
    <t>9763-20170724T105045.943844600.bin</t>
  </si>
  <si>
    <t>-702.627060609204 111.544430895607 -92.0579204556058</t>
  </si>
  <si>
    <t>-712.629726637521 105.522229392988 -207.29645154588</t>
  </si>
  <si>
    <t>-712.468408399265 100.646026233996 -305.799372707044</t>
  </si>
  <si>
    <t>-709.416729669819 96.2119003410046 -394.733546907603</t>
  </si>
  <si>
    <t>-703.110631574466 91.7200449027878 -483.493392285595</t>
  </si>
  <si>
    <t>-690.888937942933 85.3296209120326 -607.310000159798</t>
  </si>
  <si>
    <t>-648.621456920594 83.3457391551044 -678.826133289881</t>
  </si>
  <si>
    <t>-696.777865243002 115.806510256746 -554.302708194244</t>
  </si>
  <si>
    <t>-695.582791635489 252.867679848764 -543.752006007488</t>
  </si>
  <si>
    <t>-633.668346699247 304.652876246854 -260.774908643024</t>
  </si>
  <si>
    <t>-397.28407743785 260.120964550295 -246.980252385931</t>
  </si>
  <si>
    <t>-695.756342734903 60.4768127825976 -551.346178846573</t>
  </si>
  <si>
    <t>-532.887852168302 18.152125928877 -319.508773490255</t>
  </si>
  <si>
    <t>-709.023436458459 204.380511111746 -96.9987026134891</t>
  </si>
  <si>
    <t>-683.69386620995 202.833222119866 305.755136657977</t>
  </si>
  <si>
    <t>-731.897852798541 238.86260213072 749.093079080307</t>
  </si>
  <si>
    <t>-598.974616337125 182.625992796219 814.332290597225</t>
  </si>
  <si>
    <t>-696.310958061785 18.0520990297302 -89.0982961894148</t>
  </si>
  <si>
    <t>-628.010615041623 -5.10005934578794 307.957997757391</t>
  </si>
  <si>
    <t>-682.024437228923 -10.8952806974039 753.048368745327</t>
  </si>
  <si>
    <t>-578.399143188726 -104.179049407049 828.196343408508</t>
  </si>
  <si>
    <t>9763-20170724T105046.013097600.bin</t>
  </si>
  <si>
    <t>-702.630671118291 106.275719975547 -92.2226525796895</t>
  </si>
  <si>
    <t>-712.982811480595 100.142626699152 -207.424272448717</t>
  </si>
  <si>
    <t>-713.342684154982 95.4181231782936 -305.934311295155</t>
  </si>
  <si>
    <t>-710.847229024598 91.2110382111082 -394.896744733845</t>
  </si>
  <si>
    <t>-705.180766661177 87.0401581300605 -483.715261884346</t>
  </si>
  <si>
    <t>-693.93769280513 81.1957464970164 -607.651756418721</t>
  </si>
  <si>
    <t>-652.189662011281 79.7245343297 -679.484690144255</t>
  </si>
  <si>
    <t>-699.727570601377 111.42939169572 -554.494270340909</t>
  </si>
  <si>
    <t>-699.841601928231 248.412326178195 -543.139491335169</t>
  </si>
  <si>
    <t>-636.225883266833 299.576888987347 -260.426860105944</t>
  </si>
  <si>
    <t>-400.695707615555 252.544094563102 -241.339689154816</t>
  </si>
  <si>
    <t>-698.042836804 56.1058024445824 -551.732606702462</t>
  </si>
  <si>
    <t>-533.099671509707 14.8543590330553 -321.056016680595</t>
  </si>
  <si>
    <t>-709.956099715863 199.832004617105 -97.2004190121899</t>
  </si>
  <si>
    <t>-685.091219615614 199.887064186569 305.585339070887</t>
  </si>
  <si>
    <t>-732.192565482763 238.641132863098 748.711817040337</t>
  </si>
  <si>
    <t>-598.891092263154 183.330655091815 813.971142992013</t>
  </si>
  <si>
    <t>-695.213760078814 12.6480656216477 -89.225553072111</t>
  </si>
  <si>
    <t>-627.444229718337 -8.18034514569604 308.050363223809</t>
  </si>
  <si>
    <t>-682.132494502034 -11.2424555598177 753.227817118539</t>
  </si>
  <si>
    <t>-577.490579886733 -103.668032357775 828.026751576625</t>
  </si>
  <si>
    <t>9763-20170724T105046.047189000.bin</t>
  </si>
  <si>
    <t>-702.441618208442 104.060294940196 -92.2056593425716</t>
  </si>
  <si>
    <t>-712.926498061534 97.8958726628043 -207.393751107552</t>
  </si>
  <si>
    <t>-713.494902796805 93.2426991927878 -305.906064244844</t>
  </si>
  <si>
    <t>-711.224291390252 89.1352260549802 -394.879200743868</t>
  </si>
  <si>
    <t>-705.818017802266 85.0993338590026 -483.720267634439</t>
  </si>
  <si>
    <t>-694.97514626694 79.4802782838706 -607.702650161812</t>
  </si>
  <si>
    <t>-653.447963338287 78.1660380056392 -679.666586945012</t>
  </si>
  <si>
    <t>-700.691214468178 109.613566773943 -554.480415050154</t>
  </si>
  <si>
    <t>-701.111389355186 246.578621138382 -542.876371057428</t>
  </si>
  <si>
    <t>-636.184584555778 296.891265010765 -260.308981467973</t>
  </si>
  <si>
    <t>-400.771990056004 250.022771751442 -239.4484977341</t>
  </si>
  <si>
    <t>-698.801808893549 54.2922071257085 -551.807941138261</t>
  </si>
  <si>
    <t>-533.525449867422 14.054471897731 -321.596107728411</t>
  </si>
  <si>
    <t>-709.991598869585 197.601890706237 -97.1988017450115</t>
  </si>
  <si>
    <t>-685.941465685629 198.634622453952 305.635116063416</t>
  </si>
  <si>
    <t>-732.389561372523 238.443376365299 748.66107839279</t>
  </si>
  <si>
    <t>-598.896041876181 183.585958013115 813.910096187334</t>
  </si>
  <si>
    <t>-694.709308185151 10.5045123958307 -89.1787550730841</t>
  </si>
  <si>
    <t>-626.929564987992 -10.0455977678093 308.10992595807</t>
  </si>
  <si>
    <t>-682.249283111774 -11.6491796733712 753.282681360254</t>
  </si>
  <si>
    <t>-576.845451789567 -103.322973399155 827.936970595352</t>
  </si>
  <si>
    <t>9763-20170724T105046.112379400.bin</t>
  </si>
  <si>
    <t>-702.335775424508 101.413534641345 -92.0284891198729</t>
  </si>
  <si>
    <t>-712.961580493706 95.2609167096239 -207.204186274914</t>
  </si>
  <si>
    <t>-713.817044509678 90.7504703905372 -305.721193800502</t>
  </si>
  <si>
    <t>-711.870607643829 86.8227721508017 -394.71011723481</t>
  </si>
  <si>
    <t>-706.852050044607 83.0198148204333 -483.584009147395</t>
  </si>
  <si>
    <t>-696.615860171591 77.7823379762326 -607.634903094638</t>
  </si>
  <si>
    <t>-655.461304226809 76.6094684228583 -679.814939139016</t>
  </si>
  <si>
    <t>-702.200032113258 107.746620185043 -554.303065724857</t>
  </si>
  <si>
    <t>-702.913609256251 244.675961739241 -542.304126681077</t>
  </si>
  <si>
    <t>-633.752868585529 292.682068470186 -260.34067924711</t>
  </si>
  <si>
    <t>-397.500804573656 249.98311165471 -240.025999098035</t>
  </si>
  <si>
    <t>-700.040687524775 52.4275806208968 -551.789386166018</t>
  </si>
  <si>
    <t>-535.637983064348 15.4837850652827 -321.906010477678</t>
  </si>
  <si>
    <t>-710.300985017271 194.472495391639 -97.0098797660831</t>
  </si>
  <si>
    <t>-687.172762108308 196.945677001071 305.871792494531</t>
  </si>
  <si>
    <t>-732.83178560595 238.113182763923 748.760595875595</t>
  </si>
  <si>
    <t>-599.034349341755 183.896989680138 813.923343664696</t>
  </si>
  <si>
    <t>-694.276959195228 8.29486411212179 -89.0025273151164</t>
  </si>
  <si>
    <t>-626.392532701634 -12.6298510373454 308.248694079043</t>
  </si>
  <si>
    <t>-682.147075392407 -11.8991866383381 753.347090311484</t>
  </si>
  <si>
    <t>-576.802359365243 -103.753290945521 827.862793107018</t>
  </si>
  <si>
    <t>9763-20170724T105046.144458800.bin</t>
  </si>
  <si>
    <t>-702.662068082515 100.492914537264 -91.9632127193263</t>
  </si>
  <si>
    <t>-713.276711404935 94.356550510118 -207.140796317582</t>
  </si>
  <si>
    <t>-714.210352775593 89.8853523545197 -305.658718252331</t>
  </si>
  <si>
    <t>-712.369393587718 86.0048243779543 -394.652071891312</t>
  </si>
  <si>
    <t>-707.490600484133 82.2615174071684 -483.536464934899</t>
  </si>
  <si>
    <t>-697.485779566608 77.1212712705767 -607.61011610332</t>
  </si>
  <si>
    <t>-656.461211322603 75.95043693772 -679.864100043397</t>
  </si>
  <si>
    <t>-702.991009455655 107.042678412706 -554.246268489738</t>
  </si>
  <si>
    <t>-703.575223827308 243.977597326573 -542.197493060708</t>
  </si>
  <si>
    <t>-631.331066312334 291.219601782341 -260.878936525962</t>
  </si>
  <si>
    <t>-394.558338791424 250.973581035389 -241.648615258042</t>
  </si>
  <si>
    <t>-700.785837274655 51.7235745829444 -551.776585553898</t>
  </si>
  <si>
    <t>-537.152890269095 16.5913220589134 -321.822810322142</t>
  </si>
  <si>
    <t>-710.866791051417 193.522729226384 -96.9030224663597</t>
  </si>
  <si>
    <t>-687.67050603092 196.143332002013 305.973711199202</t>
  </si>
  <si>
    <t>-733.042489155167 238.113188406815 748.815830347623</t>
  </si>
  <si>
    <t>-599.230115139585 183.850973123951 813.909337873103</t>
  </si>
  <si>
    <t>-694.50269032805 7.28788211148549 -88.9958983721028</t>
  </si>
  <si>
    <t>-626.813531785876 -13.0036710137369 308.321464155561</t>
  </si>
  <si>
    <t>-681.991126970834 -11.8456317957312 753.404287895466</t>
  </si>
  <si>
    <t>-576.899116055619 -104.019038038518 827.882729989756</t>
  </si>
  <si>
    <t>9763-20170724T105046.213647900.bin</t>
  </si>
  <si>
    <t>-703.430974451917 99.2237699741463 -91.8892957825969</t>
  </si>
  <si>
    <t>-713.960096599062 93.1991958151057 -207.080721787192</t>
  </si>
  <si>
    <t>-714.926557010514 88.6881523533227 -305.596524231435</t>
  </si>
  <si>
    <t>-713.159853955037 84.7210157719676 -394.587490311898</t>
  </si>
  <si>
    <t>-708.400407533594 80.840809696223 -483.472435033749</t>
  </si>
  <si>
    <t>-698.610572913485 75.4578484567664 -607.55305309019</t>
  </si>
  <si>
    <t>-657.808361005598 74.0543549584502 -679.92871998673</t>
  </si>
  <si>
    <t>-703.93892345038 105.487198910653 -554.231865395196</t>
  </si>
  <si>
    <t>-703.64169721528 242.458070075054 -542.668914728042</t>
  </si>
  <si>
    <t>-625.206950655752 291.533117557727 -263.328921900316</t>
  </si>
  <si>
    <t>-388.168058484539 252.242261834028 -245.450653106561</t>
  </si>
  <si>
    <t>-701.898066335174 50.1660466961162 -551.67074188553</t>
  </si>
  <si>
    <t>-540.41669477124 18.264445178412 -321.934469621072</t>
  </si>
  <si>
    <t>-711.519495905039 191.898380125997 -96.7500862463603</t>
  </si>
  <si>
    <t>-688.931609790885 194.709295138807 306.1600603532</t>
  </si>
  <si>
    <t>-733.628314353913 237.861795089205 749.01424721666</t>
  </si>
  <si>
    <t>-599.775883266203 183.334334210848 813.802784133696</t>
  </si>
  <si>
    <t>-695.264659103641 6.46839786954388 -89.1178778745128</t>
  </si>
  <si>
    <t>-628.26689822908 -13.79468593447 308.318127925828</t>
  </si>
  <si>
    <t>-681.915814539041 -12.2648640325513 753.508986516096</t>
  </si>
  <si>
    <t>-576.239609202959 -103.82067945282 827.92253308545</t>
  </si>
  <si>
    <t>9763-20170724T105046.247739000.bin</t>
  </si>
  <si>
    <t>-703.645156053055 99.2192287045054 -91.7984344241618</t>
  </si>
  <si>
    <t>-714.151145702419 93.2955914583524 -206.997103716024</t>
  </si>
  <si>
    <t>-715.095945537 88.7384849055882 -305.511072358927</t>
  </si>
  <si>
    <t>-713.311085119685 84.6801786597337 -394.497514902133</t>
  </si>
  <si>
    <t>-708.535486380096 80.6578992271384 -483.375279361324</t>
  </si>
  <si>
    <t>-698.726209302881 75.0230877475394 -607.443219876949</t>
  </si>
  <si>
    <t>-657.961286271765 73.4072364661772 -679.835491924643</t>
  </si>
  <si>
    <t>-703.965918696167 105.164379439795 -554.176368176036</t>
  </si>
  <si>
    <t>-702.961882581799 242.174562047774 -542.95674589092</t>
  </si>
  <si>
    <t>-622.006931737047 291.978850772819 -264.466212170921</t>
  </si>
  <si>
    <t>-384.968738447805 252.370664624355 -247.291755290295</t>
  </si>
  <si>
    <t>-702.119646834603 49.8409530659465 -551.517731437955</t>
  </si>
  <si>
    <t>-541.619749694912 19.3197935557371 -321.894980861528</t>
  </si>
  <si>
    <t>-711.620483225739 191.401792416137 -96.5820747920018</t>
  </si>
  <si>
    <t>-689.540878901756 194.284428536503 306.355749863763</t>
  </si>
  <si>
    <t>-734.036712983034 237.644171414745 749.240744144153</t>
  </si>
  <si>
    <t>-600.19383345526 182.795469991439 813.777732317386</t>
  </si>
  <si>
    <t>-695.563721341428 7.04676483185381 -89.1283281665097</t>
  </si>
  <si>
    <t>-628.969105210143 -13.9940448080204 308.335008000072</t>
  </si>
  <si>
    <t>-681.699757180738 -12.1955438215832 753.538308105267</t>
  </si>
  <si>
    <t>-576.363968065906 -104.11139275021 827.990753411925</t>
  </si>
  <si>
    <t>9763-20170724T105046.310444900.bin</t>
  </si>
  <si>
    <t>-703.858186580925 99.3601644500825 -91.8163015893048</t>
  </si>
  <si>
    <t>-714.300828853289 93.5197205466034 -207.025080024287</t>
  </si>
  <si>
    <t>-715.179287645712 88.794881949369 -305.531773926217</t>
  </si>
  <si>
    <t>-713.332655417921 84.4966683088439 -394.505721217312</t>
  </si>
  <si>
    <t>-708.49543349811 80.1461862558253 -483.364553409026</t>
  </si>
  <si>
    <t>-698.60156384651 73.96205583254 -607.39955837815</t>
  </si>
  <si>
    <t>-657.791416046308 71.8855211175469 -679.754673631482</t>
  </si>
  <si>
    <t>-703.71024602019 104.344687794542 -554.257293944152</t>
  </si>
  <si>
    <t>-701.463267225199 241.410673583754 -543.82825923113</t>
  </si>
  <si>
    <t>-617.126547180927 291.853387021357 -266.458335488763</t>
  </si>
  <si>
    <t>-380.063705172485 251.96337355032 -250.308457944367</t>
  </si>
  <si>
    <t>-702.20060966445 49.0219527739412 -551.378592328276</t>
  </si>
  <si>
    <t>-543.057457189596 20.3656504176643 -321.699099667021</t>
  </si>
  <si>
    <t>-711.561973141503 191.19171798685 -96.5590142795603</t>
  </si>
  <si>
    <t>-689.549153019429 193.859552771039 306.383944133229</t>
  </si>
  <si>
    <t>-734.532949724723 237.655583184461 749.226534559468</t>
  </si>
  <si>
    <t>-600.856584047897 182.133288890923 813.532228577742</t>
  </si>
  <si>
    <t>-696.15191324993 7.30517298661266 -89.2031536609529</t>
  </si>
  <si>
    <t>-630.281543458259 -13.8971078790019 308.372270163175</t>
  </si>
  <si>
    <t>-681.43753457879 -12.405141615892 753.599346518145</t>
  </si>
  <si>
    <t>-576.149958829422 -104.330280530586 828.108228559655</t>
  </si>
  <si>
    <t>9763-20170724T105046.347543800.bin</t>
  </si>
  <si>
    <t>-703.778735193583 99.3051047290962 -91.8364274058101</t>
  </si>
  <si>
    <t>-714.218920306929 93.5041191869468 -207.047354596121</t>
  </si>
  <si>
    <t>-715.092237436077 88.7028944440497 -305.550408507601</t>
  </si>
  <si>
    <t>-713.241088431129 84.2961287055434 -394.518931282031</t>
  </si>
  <si>
    <t>-708.400070915593 79.7978281563023 -483.370255547354</t>
  </si>
  <si>
    <t>-698.502209447482 73.3680642005361 -607.392561398997</t>
  </si>
  <si>
    <t>-657.630161295415 71.101980726984 -679.706969597898</t>
  </si>
  <si>
    <t>-703.568911135134 103.857310298999 -554.307270995421</t>
  </si>
  <si>
    <t>-700.935904710823 240.926898964664 -544.250292519421</t>
  </si>
  <si>
    <t>-615.502469917713 291.989282480271 -267.329929540929</t>
  </si>
  <si>
    <t>-378.47243779607 251.913358903072 -251.15640643145</t>
  </si>
  <si>
    <t>-702.14670207561 48.5377607723528 -551.32577021112</t>
  </si>
  <si>
    <t>-543.217177807022 20.3589896886806 -321.28160552389</t>
  </si>
  <si>
    <t>-711.235240875193 190.965617028314 -96.558008256275</t>
  </si>
  <si>
    <t>-689.24276001063 193.412679892946 306.387323864969</t>
  </si>
  <si>
    <t>-734.783008732551 237.52471529469 749.147487869702</t>
  </si>
  <si>
    <t>-601.091821557461 181.973854378503 813.39769829907</t>
  </si>
  <si>
    <t>-696.284951964855 7.45591955407895 -89.2455593261633</t>
  </si>
  <si>
    <t>-630.675882287426 -13.9415847993068 308.36263779702</t>
  </si>
  <si>
    <t>-681.358438724334 -12.6231181857047 753.615664654959</t>
  </si>
  <si>
    <t>-575.757311899705 -104.179606598327 828.134956708391</t>
  </si>
  <si>
    <t>9763-20170724T105046.413225100.bin</t>
  </si>
  <si>
    <t>-703.54673397867 99.4974125266701 -91.8021279244153</t>
  </si>
  <si>
    <t>-713.955633190677 93.8079266264531 -207.021452067448</t>
  </si>
  <si>
    <t>-714.839231551393 88.8531831543089 -305.516855742659</t>
  </si>
  <si>
    <t>-713.015301189173 84.215534642947 -394.474270369388</t>
  </si>
  <si>
    <t>-708.220518916592 79.3958123118175 -483.311245199377</t>
  </si>
  <si>
    <t>-698.408704122041 72.4236431955264 -607.310949639783</t>
  </si>
  <si>
    <t>-657.388420052371 69.7587873872715 -679.527700613452</t>
  </si>
  <si>
    <t>-703.361551615646 103.147003475504 -554.349958754906</t>
  </si>
  <si>
    <t>-699.934844604057 240.258506052839 -544.924945738166</t>
  </si>
  <si>
    <t>-612.162090313267 293.349207115017 -269.119642782053</t>
  </si>
  <si>
    <t>-375.304937082729 252.53825363088 -252.26663323578</t>
  </si>
  <si>
    <t>-702.091319979112 47.8364735355124 -551.139531807448</t>
  </si>
  <si>
    <t>-542.795386063193 20.2469105049177 -320.270340666894</t>
  </si>
  <si>
    <t>-710.947993637567 190.82185464733 -96.4270820262207</t>
  </si>
  <si>
    <t>-689.096189364936 192.302277437801 306.530696678759</t>
  </si>
  <si>
    <t>-735.535678995775 236.740988944872 749.275873895107</t>
  </si>
  <si>
    <t>-601.794186787325 181.038055535493 813.289256891733</t>
  </si>
  <si>
    <t>-696.109941271996 8.04871275762162 -89.2489184804588</t>
  </si>
  <si>
    <t>-631.077837324645 -13.9034219891016 308.423768659716</t>
  </si>
  <si>
    <t>-681.147768005305 -12.8770206567315 753.645115633903</t>
  </si>
  <si>
    <t>-575.5922767961 -104.457654866445 828.19916449442</t>
  </si>
  <si>
    <t>9763-20170724T105046.446312200.bin</t>
  </si>
  <si>
    <t>-703.419495746849 99.4007809899681 -91.7897364873453</t>
  </si>
  <si>
    <t>-713.836560104505 93.7424084949801 -207.009840319718</t>
  </si>
  <si>
    <t>-714.738638892296 88.6859651890513 -305.49979408361</t>
  </si>
  <si>
    <t>-712.937512588231 83.907085350208 -394.450153945003</t>
  </si>
  <si>
    <t>-708.172250779744 78.8962881669045 -483.278378169038</t>
  </si>
  <si>
    <t>-698.40991876439 71.6057281616236 -607.263571506766</t>
  </si>
  <si>
    <t>-657.34442661359 68.7281383762436 -679.446530110819</t>
  </si>
  <si>
    <t>-703.273065995063 102.466817860985 -554.374566351721</t>
  </si>
  <si>
    <t>-699.339717874324 239.587754791715 -545.228221538112</t>
  </si>
  <si>
    <t>-610.226068463291 293.315963682098 -269.976992738629</t>
  </si>
  <si>
    <t>-373.427771853474 252.288671722321 -252.824510145493</t>
  </si>
  <si>
    <t>-702.138519558345 47.1611839774982 -551.03306025099</t>
  </si>
  <si>
    <t>-542.625484479589 19.7819295462348 -319.824218797946</t>
  </si>
  <si>
    <t>-710.916299186448 190.643077788649 -96.3861933743621</t>
  </si>
  <si>
    <t>-688.86857040354 191.679639193791 306.562257131959</t>
  </si>
  <si>
    <t>-735.876889051137 236.408969292634 749.282255844625</t>
  </si>
  <si>
    <t>-602.130468868717 180.582836821774 813.177973038556</t>
  </si>
  <si>
    <t>-695.951867265531 7.93775938820181 -89.2780634013594</t>
  </si>
  <si>
    <t>-631.349796893359 -13.928210730814 308.469492557081</t>
  </si>
  <si>
    <t>-681.102891312168 -13.0758384858032 753.670622811178</t>
  </si>
  <si>
    <t>-575.387641355001 -104.478073579853 828.217380174576</t>
  </si>
  <si>
    <t>9763-20170724T105046.511012200.bin</t>
  </si>
  <si>
    <t>-702.644214074959 99.1979978245574 -91.8846963374534</t>
  </si>
  <si>
    <t>-713.156705046753 93.5794673124112 -207.098162017474</t>
  </si>
  <si>
    <t>-714.148166723754 88.3120297754463 -305.576298433223</t>
  </si>
  <si>
    <t>-712.433848346484 83.2474674457926 -394.512374529861</t>
  </si>
  <si>
    <t>-707.763157606847 77.8528109920835 -483.323158289246</t>
  </si>
  <si>
    <t>-698.142437137488 69.9228558878845 -607.280219091318</t>
  </si>
  <si>
    <t>-657.086954599979 66.5331022383532 -679.446537268665</t>
  </si>
  <si>
    <t>-702.73845523593 101.060810288987 -554.5296103089</t>
  </si>
  <si>
    <t>-697.549384657997 238.167367254792 -545.999699959093</t>
  </si>
  <si>
    <t>-606.005476781892 293.069637745983 -271.779510173036</t>
  </si>
  <si>
    <t>-369.186738368935 252.171208253948 -254.602052930863</t>
  </si>
  <si>
    <t>-702.013791831316 45.7641250103682 -550.935869255139</t>
  </si>
  <si>
    <t>-542.70074569704 19.3774912433557 -319.775427948782</t>
  </si>
  <si>
    <t>-709.854275372021 190.317573858544 -96.4995396690193</t>
  </si>
  <si>
    <t>-688.115369055905 190.830542046899 306.466741411328</t>
  </si>
  <si>
    <t>-736.319384695099 236.145806660822 749.016665125772</t>
  </si>
  <si>
    <t>-602.645839945488 180.050229473384 812.828681281683</t>
  </si>
  <si>
    <t>-695.38308810717 7.77284239911114 -89.3708860979506</t>
  </si>
  <si>
    <t>-631.514251068183 -14.0910182204234 308.495219215606</t>
  </si>
  <si>
    <t>-680.912378445725 -13.2541457205259 753.671220494832</t>
  </si>
  <si>
    <t>-575.406745961295 -104.870254311814 828.25228896449</t>
  </si>
  <si>
    <t>9763-20170724T105046.545100100.bin</t>
  </si>
  <si>
    <t>-701.786161428308 99.0558582104838 -91.971444194182</t>
  </si>
  <si>
    <t>-712.386206874715 93.4368992689413 -207.176830617346</t>
  </si>
  <si>
    <t>-713.443932228636 88.0622829314111 -305.648446789834</t>
  </si>
  <si>
    <t>-711.787185031841 82.8599728373551 -394.577804487047</t>
  </si>
  <si>
    <t>-707.172765748155 77.2853854483189 -483.380274572525</t>
  </si>
  <si>
    <t>-697.629504589438 69.0593323436078 -607.323979276208</t>
  </si>
  <si>
    <t>-656.619571563685 65.3765720287568 -679.501957154967</t>
  </si>
  <si>
    <t>-702.078722928624 100.325105624384 -554.63660190379</t>
  </si>
  <si>
    <t>-696.27455988016 237.421383848247 -546.424222793679</t>
  </si>
  <si>
    <t>-603.579054570168 292.844448188097 -272.696227670761</t>
  </si>
  <si>
    <t>-366.743496878853 252.161478776576 -255.240546797334</t>
  </si>
  <si>
    <t>-701.57940194381 45.0333902340351 -550.928444001331</t>
  </si>
  <si>
    <t>-542.609780700173 19.1389131951541 -319.790498542759</t>
  </si>
  <si>
    <t>-708.704033100086 190.184267134763 -96.6207826743877</t>
  </si>
  <si>
    <t>-687.621478237867 190.644120168919 306.380420462694</t>
  </si>
  <si>
    <t>-736.464444400991 236.124306525916 748.827998330905</t>
  </si>
  <si>
    <t>-602.78701145084 180.03237077344 812.634971208529</t>
  </si>
  <si>
    <t>-694.707905792497 7.77250363634562 -89.4151189880392</t>
  </si>
  <si>
    <t>-631.229382621095 -14.265081376464 308.503809667065</t>
  </si>
  <si>
    <t>-680.691611984494 -13.0741625439532 753.658860582158</t>
  </si>
  <si>
    <t>-575.375577429181 -104.892970654093 828.258554559865</t>
  </si>
  <si>
    <t>9763-20170724T105046.613587800.bin</t>
  </si>
  <si>
    <t>-699.630643202428 98.8618532964042 -92.0999411268452</t>
  </si>
  <si>
    <t>-710.338482926886 93.2653850144427 -207.296489663978</t>
  </si>
  <si>
    <t>-711.464674562836 87.7231600789696 -305.75795632432</t>
  </si>
  <si>
    <t>-709.862676608808 82.2990199889284 -394.675220522348</t>
  </si>
  <si>
    <t>-705.296894545281 76.4294568751425 -483.461092681406</t>
  </si>
  <si>
    <t>-695.816017408413 67.7145073027577 -607.37626511435</t>
  </si>
  <si>
    <t>-654.902449245929 63.4961581688463 -679.579586817301</t>
  </si>
  <si>
    <t>-700.023710805269 99.1900770982588 -554.793962506185</t>
  </si>
  <si>
    <t>-692.983165898085 236.252470291917 -547.135408766781</t>
  </si>
  <si>
    <t>-598.296458152107 292.833968201594 -274.327428132305</t>
  </si>
  <si>
    <t>-361.492015701567 252.133845089462 -256.494778554097</t>
  </si>
  <si>
    <t>-699.952360106672 43.9089756157814 -550.90054447181</t>
  </si>
  <si>
    <t>-541.311516011237 18.3752360579745 -319.010580074601</t>
  </si>
  <si>
    <t>-706.055346235561 190.044496798794 -96.7774273487888</t>
  </si>
  <si>
    <t>-685.956952552734 190.248466278144 306.274247085609</t>
  </si>
  <si>
    <t>-736.664275937421 236.26800832984 748.455605435613</t>
  </si>
  <si>
    <t>-603.105102211688 179.958034533621 812.318219760694</t>
  </si>
  <si>
    <t>-693.145569327867 7.67243834412284 -89.4476580072916</t>
  </si>
  <si>
    <t>-630.400261234995 -15.1032345814583 308.545943369643</t>
  </si>
  <si>
    <t>-680.675115112772 -13.4891720418577 753.659213669632</t>
  </si>
  <si>
    <t>-575.348429148022 -105.310021378155 828.24171092802</t>
  </si>
  <si>
    <t>9763-20170724T105046.641660800.bin</t>
  </si>
  <si>
    <t>-698.545352385962 98.846590935781 -92.0645491391355</t>
  </si>
  <si>
    <t>-709.312243290182 93.2667419053766 -207.256385465261</t>
  </si>
  <si>
    <t>-710.45486312034 87.6506853880819 -305.713520793391</t>
  </si>
  <si>
    <t>-708.854813028042 82.1266411579124 -394.624612613021</t>
  </si>
  <si>
    <t>-704.278709619485 76.1233840226523 -483.401106057967</t>
  </si>
  <si>
    <t>-694.771834217819 67.1856518034278 -607.298308391258</t>
  </si>
  <si>
    <t>-653.902826497291 62.7385113194939 -679.51318145749</t>
  </si>
  <si>
    <t>-698.901835433801 98.7560731430851 -554.766854010626</t>
  </si>
  <si>
    <t>-691.311778529123 235.814328788591 -547.389112618694</t>
  </si>
  <si>
    <t>-595.844306844247 292.769691040548 -274.931424063026</t>
  </si>
  <si>
    <t>-359.060020764767 252.098818554768 -256.76547404197</t>
  </si>
  <si>
    <t>-699.008879483078 43.4811744986421 -550.787691730766</t>
  </si>
  <si>
    <t>-540.657160732338 18.1278271129243 -318.554319624788</t>
  </si>
  <si>
    <t>-704.757198189871 189.962492034874 -96.7796719830087</t>
  </si>
  <si>
    <t>-685.015970136495 190.029420866224 306.289783067223</t>
  </si>
  <si>
    <t>-736.766935439585 236.214673714982 748.303537657489</t>
  </si>
  <si>
    <t>-603.183102762179 180.022352499019 812.218008696799</t>
  </si>
  <si>
    <t>-692.3682623998 7.62259035049169 -89.3679154366664</t>
  </si>
  <si>
    <t>-629.693483961892 -15.7718841547621 308.600982052309</t>
  </si>
  <si>
    <t>-680.68581446004 -13.7824591126714 753.644227801066</t>
  </si>
  <si>
    <t>-575.034480868353 -105.246973132803 828.205231233788</t>
  </si>
  <si>
    <t>9763-20170724T105046.710653500.bin</t>
  </si>
  <si>
    <t>-695.844257478087 98.6745806750043 -91.9960807076046</t>
  </si>
  <si>
    <t>-706.685158890514 93.1122797069302 -207.181788422323</t>
  </si>
  <si>
    <t>-707.835428909321 87.3107399482572 -305.628141501894</t>
  </si>
  <si>
    <t>-706.222040071395 81.5451160555867 -394.523538700384</t>
  </si>
  <si>
    <t>-701.613337575551 75.2249285436458 -483.276328906179</t>
  </si>
  <si>
    <t>-692.041405024994 65.767014407895 -607.129994615063</t>
  </si>
  <si>
    <t>-651.205623488464 60.8725802023193 -679.334619966679</t>
  </si>
  <si>
    <t>-696.040961961443 97.5580121297576 -554.72162279039</t>
  </si>
  <si>
    <t>-687.476287249146 234.583708048622 -547.869043452334</t>
  </si>
  <si>
    <t>-590.503106242111 291.884669722612 -276.015988934392</t>
  </si>
  <si>
    <t>-353.722314741274 251.509043043159 -257.161058343214</t>
  </si>
  <si>
    <t>-696.466210054069 42.3000200000595 -550.53467618823</t>
  </si>
  <si>
    <t>-538.427170479685 17.1487901492878 -317.783251194438</t>
  </si>
  <si>
    <t>-701.414744840316 189.697601944906 -96.7936591951448</t>
  </si>
  <si>
    <t>-682.808655420301 189.752317283018 306.329748314506</t>
  </si>
  <si>
    <t>-736.931475992069 236.24288988052 748.009964632078</t>
  </si>
  <si>
    <t>-603.307590069001 180.270263112692 812.03352353306</t>
  </si>
  <si>
    <t>-690.148560030222 7.45006384304725 -89.2918380310257</t>
  </si>
  <si>
    <t>-628.276932787826 -16.4918427502555 308.77010911701</t>
  </si>
  <si>
    <t>-680.513350136821 -13.8823791937591 753.62684954134</t>
  </si>
  <si>
    <t>-575.128023198065 -105.663561897559 828.175060557382</t>
  </si>
  <si>
    <t>9763-20170724T105046.743731500.bin</t>
  </si>
  <si>
    <t>-694.43120568249 98.679900368704 -92.0705721534379</t>
  </si>
  <si>
    <t>-705.269988266774 93.1106372309935 -207.256245033921</t>
  </si>
  <si>
    <t>-706.392813947303 87.1963064739198 -305.696160725522</t>
  </si>
  <si>
    <t>-704.745357539616 81.288850925403 -394.581588492669</t>
  </si>
  <si>
    <t>-700.094040967452 74.7858695981661 -483.318942861353</t>
  </si>
  <si>
    <t>-690.454026710033 65.0301726994048 -607.144259197028</t>
  </si>
  <si>
    <t>-649.588424335434 59.8873711792808 -679.314784252639</t>
  </si>
  <si>
    <t>-694.386318592435 96.9468174814187 -554.807038565631</t>
  </si>
  <si>
    <t>-685.294985924286 233.957116424216 -548.219658572771</t>
  </si>
  <si>
    <t>-587.396498300979 291.602761567756 -276.771573081166</t>
  </si>
  <si>
    <t>-350.593699825049 251.559657992985 -257.488731447772</t>
  </si>
  <si>
    <t>-695.005778328999 41.6995894183715 -550.502628009386</t>
  </si>
  <si>
    <t>-537.124797814371 16.6140423403417 -317.71258405242</t>
  </si>
  <si>
    <t>-699.756378435514 189.877551251358 -96.8828183532469</t>
  </si>
  <si>
    <t>-681.586262989939 189.775218779395 306.260451229179</t>
  </si>
  <si>
    <t>-736.963606648619 236.284501669054 747.797858120864</t>
  </si>
  <si>
    <t>-603.377728276806 180.335922611401 811.921737595878</t>
  </si>
  <si>
    <t>-689.031918953081 7.37182540493359 -89.341958559458</t>
  </si>
  <si>
    <t>-627.99265125373 -16.4754686973281 308.85416083386</t>
  </si>
  <si>
    <t>-680.454155761525 -13.962569591276 753.635986354116</t>
  </si>
  <si>
    <t>-575.104480985676 -105.803413563218 828.160928475736</t>
  </si>
  <si>
    <t>9763-20170724T105046.779843000.bin</t>
  </si>
  <si>
    <t>-692.953067930004 98.6274533867488 -92.1643770069632</t>
  </si>
  <si>
    <t>-703.69737785598 93.04454354786 -207.358210549537</t>
  </si>
  <si>
    <t>-704.715134035579 86.9896461516421 -305.790668675166</t>
  </si>
  <si>
    <t>-702.96465937991 80.9060458860599 -394.662322690096</t>
  </si>
  <si>
    <t>-698.20304323918 74.1772212355481 -483.377002705982</t>
  </si>
  <si>
    <t>-688.401835832395 64.0532851542296 -607.160108390419</t>
  </si>
  <si>
    <t>-647.473846145968 58.6362446202027 -679.275169090645</t>
  </si>
  <si>
    <t>-692.289005470915 96.1246063819533 -554.91425597135</t>
  </si>
  <si>
    <t>-682.571881964624 233.109730490757 -548.642706862975</t>
  </si>
  <si>
    <t>-583.784937235547 291.250035661133 -277.622368296688</t>
  </si>
  <si>
    <t>-346.987043504435 251.452741034942 -257.777824534894</t>
  </si>
  <si>
    <t>-693.14065555209 40.8920065878283 -550.464268869789</t>
  </si>
  <si>
    <t>-535.560974428756 15.7981496603441 -317.732892801545</t>
  </si>
  <si>
    <t>-697.890006774164 189.853698071571 -96.9995619622562</t>
  </si>
  <si>
    <t>-680.126330404657 189.766319455899 306.161881983756</t>
  </si>
  <si>
    <t>-736.986983832451 236.26924002437 747.545185645057</t>
  </si>
  <si>
    <t>-603.378210840588 180.5234781838 811.797675002698</t>
  </si>
  <si>
    <t>-687.927508423375 7.22562925179432 -89.3864494708482</t>
  </si>
  <si>
    <t>-627.77904392471 -16.7075929114244 308.940089600546</t>
  </si>
  <si>
    <t>-680.515460211435 -14.2566320256865 753.679273558691</t>
  </si>
  <si>
    <t>-574.906286143543 -105.843013725731 828.150313536277</t>
  </si>
  <si>
    <t>9763-20170724T105046.841005500.bin</t>
  </si>
  <si>
    <t>-690.491614449907 99.309422767393 -92.3996012295528</t>
  </si>
  <si>
    <t>-700.882419373925 93.7316921163153 -207.626073440031</t>
  </si>
  <si>
    <t>-701.50369330324 87.3043064455662 -306.038367421411</t>
  </si>
  <si>
    <t>-699.361371548158 80.7382499598657 -394.866973058151</t>
  </si>
  <si>
    <t>-694.177535395281 73.377131393838 -483.507784284234</t>
  </si>
  <si>
    <t>-683.757405225806 62.2125784084189 -607.150758736356</t>
  </si>
  <si>
    <t>-642.58438008517 56.0747763989457 -679.068260676603</t>
  </si>
  <si>
    <t>-687.615964611784 94.7182296100566 -555.171867605703</t>
  </si>
  <si>
    <t>-676.41146951699 231.625529068415 -549.795029428869</t>
  </si>
  <si>
    <t>-576.142406468019 291.788717505238 -279.762164922791</t>
  </si>
  <si>
    <t>-339.460022228175 252.413127027306 -257.810390014349</t>
  </si>
  <si>
    <t>-689.069429992297 39.5328887340179 -550.311269933565</t>
  </si>
  <si>
    <t>-532.592163780869 14.4852676118196 -317.815942906635</t>
  </si>
  <si>
    <t>-694.667803802958 190.686243411445 -97.2321167274181</t>
  </si>
  <si>
    <t>-676.874157497168 189.726717973643 305.926845327566</t>
  </si>
  <si>
    <t>-737.078437601255 236.089017621049 747.007700197703</t>
  </si>
  <si>
    <t>-603.381038840634 180.845748092203 811.50970119413</t>
  </si>
  <si>
    <t>-686.274582296659 7.97661253291244 -89.5053644633388</t>
  </si>
  <si>
    <t>-627.721590417367 -16.4787255832846 309.027124183645</t>
  </si>
  <si>
    <t>-680.41706324015 -14.4928096828532 753.689000538744</t>
  </si>
  <si>
    <t>-575.149464307209 -106.472879481042 828.158675917282</t>
  </si>
  <si>
    <t>9763-20170724T105046.908709800.bin</t>
  </si>
  <si>
    <t>-688.57868119934 101.218979378035 -92.6649315314858</t>
  </si>
  <si>
    <t>-698.586808974673 95.5701676907167 -207.921733902754</t>
  </si>
  <si>
    <t>-698.669983937514 88.6325805959466 -306.301277282787</t>
  </si>
  <si>
    <t>-695.962519299021 81.4277204510204 -395.065003451415</t>
  </si>
  <si>
    <t>-690.138760908171 73.245842843965 -483.594021405424</t>
  </si>
  <si>
    <t>-678.750082186732 60.7422560446507 -607.023233916736</t>
  </si>
  <si>
    <t>-637.129069571145 53.7048127866169 -678.599651046589</t>
  </si>
  <si>
    <t>-682.738913019569 93.8029575727421 -555.405589063211</t>
  </si>
  <si>
    <t>-670.288148335125 230.669055937334 -551.310087596857</t>
  </si>
  <si>
    <t>-570.041520927406 292.71376687096 -281.695023784562</t>
  </si>
  <si>
    <t>-333.491949454964 253.999896956059 -257.273629333146</t>
  </si>
  <si>
    <t>-684.784464725183 38.686128673585 -550.010737008076</t>
  </si>
  <si>
    <t>-529.543010796581 14.4584456859316 -317.761164865802</t>
  </si>
  <si>
    <t>-692.402626638234 192.547327544941 -97.6055838251669</t>
  </si>
  <si>
    <t>-673.387393624864 190.353882304156 305.492798471066</t>
  </si>
  <si>
    <t>-737.117092811947 236.248706116812 746.271340153761</t>
  </si>
  <si>
    <t>-603.335537164691 181.373350575406 810.912182821441</t>
  </si>
  <si>
    <t>-684.579747891504 10.1111969385624 -89.7005734609148</t>
  </si>
  <si>
    <t>-627.948369972576 -15.8122518788186 309.016884521861</t>
  </si>
  <si>
    <t>-680.30846001131 -14.8107910765029 753.640850399517</t>
  </si>
  <si>
    <t>-575.247000005418 -106.960963303273 828.190928986364</t>
  </si>
  <si>
    <t>9763-20170724T105046.944806900.bin</t>
  </si>
  <si>
    <t>-687.875939650957 102.072289139327 -92.8544920053687</t>
  </si>
  <si>
    <t>-697.740923067175 96.3168469755824 -208.118458175445</t>
  </si>
  <si>
    <t>-697.599742286193 89.1072639451143 -306.478308102293</t>
  </si>
  <si>
    <t>-694.651560973227 81.5837545765478 -395.207967128554</t>
  </si>
  <si>
    <t>-688.550299016144 73.009204275776 -483.681014586344</t>
  </si>
  <si>
    <t>-676.73763536265 59.8783135378737 -607.00514123703</t>
  </si>
  <si>
    <t>-634.864047622978 52.4359889940042 -678.393196205708</t>
  </si>
  <si>
    <t>-680.841221510622 93.1992977504115 -555.564193136744</t>
  </si>
  <si>
    <t>-668.22818824615 230.062629314914 -552.122343060263</t>
  </si>
  <si>
    <t>-568.95650135044 292.989979211306 -282.3511967121</t>
  </si>
  <si>
    <t>-332.661427063295 253.649125522315 -256.509561518477</t>
  </si>
  <si>
    <t>-683.030399551344 38.114000240852 -549.908511738358</t>
  </si>
  <si>
    <t>-528.219592556452 15.0731839144125 -318.037576518044</t>
  </si>
  <si>
    <t>-691.652116113843 193.220725116386 -97.9172905564041</t>
  </si>
  <si>
    <t>-672.481853770295 190.881994144397 305.172929046243</t>
  </si>
  <si>
    <t>-737.095411855343 236.495036406846 745.822143488585</t>
  </si>
  <si>
    <t>-603.326849161916 181.671073628123 810.533766528963</t>
  </si>
  <si>
    <t>-683.937864072229 10.9091691646188 -89.8184794168129</t>
  </si>
  <si>
    <t>-628.025456022845 -15.2758565642141 308.983269086145</t>
  </si>
  <si>
    <t>-680.126528217708 -14.7316918562474 753.594319562296</t>
  </si>
  <si>
    <t>-575.200255309748 -106.986485079036 828.205512024068</t>
  </si>
  <si>
    <t>9763-20170724T105047.008480000.bin</t>
  </si>
  <si>
    <t>-687.358145377757 103.311130114227 -93.4710924332215</t>
  </si>
  <si>
    <t>-696.763229208404 97.2090743443464 -208.755618235008</t>
  </si>
  <si>
    <t>-696.162103313533 89.4499453854523 -307.07193967773</t>
  </si>
  <si>
    <t>-692.776007507573 81.3209066905533 -395.732474954553</t>
  </si>
  <si>
    <t>-686.218790808622 72.0312691833619 -484.100754665617</t>
  </si>
  <si>
    <t>-673.752950011912 57.7837842382801 -607.236441591367</t>
  </si>
  <si>
    <t>-631.375862703092 49.7250801036446 -678.25964415254</t>
  </si>
  <si>
    <t>-678.17153304928 91.5704819104021 -556.126478028039</t>
  </si>
  <si>
    <t>-666.529554672349 228.538311814424 -553.794297764512</t>
  </si>
  <si>
    <t>-572.38569884373 292.89050577774 -282.525232993495</t>
  </si>
  <si>
    <t>-336.543821086678 252.610994206608 -254.11667473839</t>
  </si>
  <si>
    <t>-680.305551300444 36.536204801783 -549.97473735459</t>
  </si>
  <si>
    <t>-525.559139627245 16.3131008539369 -318.993839590114</t>
  </si>
  <si>
    <t>-691.935828580533 194.703632060969 -98.8613417454865</t>
  </si>
  <si>
    <t>-672.550151259618 192.817642287326 304.220928072887</t>
  </si>
  <si>
    <t>-736.880434679263 237.274386776294 744.973769697787</t>
  </si>
  <si>
    <t>-603.313775232439 182.172485904881 809.866193374056</t>
  </si>
  <si>
    <t>-682.719291592882 12.0084144548534 -90.0955412434321</t>
  </si>
  <si>
    <t>-627.77704255201 -14.0669545846365 308.848187279596</t>
  </si>
  <si>
    <t>-679.805996573188 -14.6317248576945 753.475190818759</t>
  </si>
  <si>
    <t>-575.738414868611 -107.736275762527 828.233233749138</t>
  </si>
  <si>
    <t>9763-20170724T105047.040567200.bin</t>
  </si>
  <si>
    <t>-687.659706024527 103.439175212292 -93.7329072036339</t>
  </si>
  <si>
    <t>-696.732411727231 97.2134467281946 -209.037574117003</t>
  </si>
  <si>
    <t>-695.841700746147 89.2521943521444 -307.33549913836</t>
  </si>
  <si>
    <t>-692.195020800019 80.8947343459245 -395.964497610289</t>
  </si>
  <si>
    <t>-685.380394756455 71.3301050498503 -484.28386478013</t>
  </si>
  <si>
    <t>-672.560302372852 56.6474003637022 -607.332113214415</t>
  </si>
  <si>
    <t>-629.962994811019 48.4151899282947 -678.203360711419</t>
  </si>
  <si>
    <t>-677.181491340952 90.6160260720208 -556.360752782058</t>
  </si>
  <si>
    <t>-666.261713204865 227.625072932901 -554.399354935171</t>
  </si>
  <si>
    <t>-577.29354490044 291.16090314032 -281.197836002665</t>
  </si>
  <si>
    <t>-341.274073625729 251.245951051738 -253.766193090025</t>
  </si>
  <si>
    <t>-679.222101446929 35.6010313108663 -550.008704210018</t>
  </si>
  <si>
    <t>-524.246275524706 16.4542042203964 -319.273470446218</t>
  </si>
  <si>
    <t>-692.745668362439 195.124794468982 -99.2497610644772</t>
  </si>
  <si>
    <t>-672.922292238075 193.241365209357 303.811226178434</t>
  </si>
  <si>
    <t>-736.783560085313 237.494840558497 744.637603207961</t>
  </si>
  <si>
    <t>-603.118384438766 182.719914050934 809.603753040597</t>
  </si>
  <si>
    <t>-682.597872153485 11.6435161743989 -90.1998615612646</t>
  </si>
  <si>
    <t>-627.313644411878 -13.8122496496155 308.736645934646</t>
  </si>
  <si>
    <t>-679.777406332473 -14.8373715024702 753.390936205904</t>
  </si>
  <si>
    <t>-575.689704338103 -107.884552157801 828.192550302644</t>
  </si>
  <si>
    <t>9763-20170724T105047.108751700.bin</t>
  </si>
  <si>
    <t>-687.817309435271 103.097982062459 -94.1680255405606</t>
  </si>
  <si>
    <t>-696.31984817276 96.6997580830391 -209.506670589001</t>
  </si>
  <si>
    <t>-694.982216350894 88.5846221784939 -307.786887655708</t>
  </si>
  <si>
    <t>-690.950228396769 80.0764040668389 -396.384860899694</t>
  </si>
  <si>
    <t>-683.770765225828 70.3490284623911 -484.657533140704</t>
  </si>
  <si>
    <t>-670.463760445618 55.42414825469 -607.625003231019</t>
  </si>
  <si>
    <t>-627.680952645039 47.2126860102092 -678.386800430959</t>
  </si>
  <si>
    <t>-675.427377829614 89.4961478035098 -556.754897214324</t>
  </si>
  <si>
    <t>-666.036782946866 226.655104354861 -555.041114480198</t>
  </si>
  <si>
    <t>-590.887228216227 284.618293131728 -276.502062094087</t>
  </si>
  <si>
    <t>-354.349762673293 247.001411099674 -250.313038569547</t>
  </si>
  <si>
    <t>-677.211795220229 34.4874343469673 -550.271445658704</t>
  </si>
  <si>
    <t>-521.767872133099 16.7560760147696 -320.102483214688</t>
  </si>
  <si>
    <t>-693.710765481523 195.272451940943 -99.9439327331348</t>
  </si>
  <si>
    <t>-674.20150120946 193.950416322174 303.134668662142</t>
  </si>
  <si>
    <t>-736.620560871941 238.108381057104 744.169265603826</t>
  </si>
  <si>
    <t>-602.995744944707 183.372788793727 809.251676026384</t>
  </si>
  <si>
    <t>-681.928067521695 10.6550934115587 -90.5611593891094</t>
  </si>
  <si>
    <t>-626.844904210892 -13.4734870044126 308.485595358582</t>
  </si>
  <si>
    <t>-679.552235691248 -14.8033310428393 753.213703546542</t>
  </si>
  <si>
    <t>-575.411444800328 -107.751755640457 828.064127991396</t>
  </si>
  <si>
    <t>9763-20170724T105047.145856200.bin</t>
  </si>
  <si>
    <t>-687.783489853281 102.786070413633 -94.4173179946644</t>
  </si>
  <si>
    <t>-696.157568266167 96.2780132912087 -209.759236669888</t>
  </si>
  <si>
    <t>-694.758802055033 88.143917778943 -308.036972918473</t>
  </si>
  <si>
    <t>-690.690331348498 79.6466544106836 -396.634411310043</t>
  </si>
  <si>
    <t>-683.49250477731 69.9596934930023 -484.910055818221</t>
  </si>
  <si>
    <t>-670.178377341096 55.1214611641387 -607.887098746096</t>
  </si>
  <si>
    <t>-627.441113830103 47.046162502829 -678.692170163199</t>
  </si>
  <si>
    <t>-675.234262968654 89.1591822605556 -557.003035161657</t>
  </si>
  <si>
    <t>-666.717932304296 226.361125099053 -555.203182981554</t>
  </si>
  <si>
    <t>-598.282617737375 283.490427437848 -274.767779699046</t>
  </si>
  <si>
    <t>-362.173291288151 244.895619784914 -246.242305916757</t>
  </si>
  <si>
    <t>-676.840360198969 34.1428166824089 -550.53882331457</t>
  </si>
  <si>
    <t>-520.998376746835 16.64312389425 -320.860311740386</t>
  </si>
  <si>
    <t>-693.987748810806 195.145531250665 -100.312544322366</t>
  </si>
  <si>
    <t>-675.273877856336 194.422183811631 302.805198284323</t>
  </si>
  <si>
    <t>-736.546080271871 238.395244677603 743.994692619472</t>
  </si>
  <si>
    <t>-602.903356192805 183.741341124159 809.108945808282</t>
  </si>
  <si>
    <t>-681.673190040795 10.2554732348729 -90.7606869306037</t>
  </si>
  <si>
    <t>-627.126214363008 -13.381517978577 308.389203699677</t>
  </si>
  <si>
    <t>-679.562000286425 -14.9671733171467 753.178755618237</t>
  </si>
  <si>
    <t>-575.435363527391 -107.938597623458 828.0204597154</t>
  </si>
  <si>
    <t>9763-20170724T105047.210541700.bin</t>
  </si>
  <si>
    <t>-687.918446589087 102.659443918419 -94.8929207948922</t>
  </si>
  <si>
    <t>-696.203984403854 96.0711335299166 -210.23664613521</t>
  </si>
  <si>
    <t>-694.833598091088 87.9892162245048 -308.519185207825</t>
  </si>
  <si>
    <t>-690.829462744269 79.5876809372428 -397.128441887359</t>
  </si>
  <si>
    <t>-683.733275394207 70.0490606515011 -485.428470241926</t>
  </si>
  <si>
    <t>-670.597750669886 55.4755144991705 -608.456439102796</t>
  </si>
  <si>
    <t>-628.06046621276 47.8243329109314 -679.428843504832</t>
  </si>
  <si>
    <t>-675.794463104132 89.4063665928652 -557.515362403007</t>
  </si>
  <si>
    <t>-668.424465862326 226.630936244223 -555.355159137857</t>
  </si>
  <si>
    <t>-617.730110997557 284.602593809121 -271.347127981969</t>
  </si>
  <si>
    <t>-383.296770667839 242.700159548743 -234.795184271635</t>
  </si>
  <si>
    <t>-676.961717041894 34.3708498820342 -551.120632285304</t>
  </si>
  <si>
    <t>-519.895618346461 16.7219494999488 -322.970273630328</t>
  </si>
  <si>
    <t>-694.586417014778 194.973828916408 -100.796318265078</t>
  </si>
  <si>
    <t>-677.325352171234 195.1177244848 302.386877843995</t>
  </si>
  <si>
    <t>-736.461328694064 239.014960833564 743.857178103818</t>
  </si>
  <si>
    <t>-602.995089983976 183.959207534861 808.994861218715</t>
  </si>
  <si>
    <t>-681.456169662198 10.4198824119085 -91.0893438589878</t>
  </si>
  <si>
    <t>-627.173513382169 -13.7382976728049 308.065278573423</t>
  </si>
  <si>
    <t>-679.237420831157 -14.6748736238396 753.052621453103</t>
  </si>
  <si>
    <t>-575.668161836731 -108.247728096668 827.918018368958</t>
  </si>
  <si>
    <t>9763-20170724T105047.242627100.bin</t>
  </si>
  <si>
    <t>-688.317013313146 101.966446149953 -94.9135145485265</t>
  </si>
  <si>
    <t>-696.640892194011 95.4335281212618 -210.25749676898</t>
  </si>
  <si>
    <t>-695.282537298796 87.4660792639156 -308.549618549817</t>
  </si>
  <si>
    <t>-691.279139800616 79.1957128764427 -397.171459518611</t>
  </si>
  <si>
    <t>-684.17205527915 69.8182823848913 -485.48789958066</t>
  </si>
  <si>
    <t>-671.008285850028 55.5030458807432 -608.543199000117</t>
  </si>
  <si>
    <t>-628.580551443376 48.124972594786 -679.609834134955</t>
  </si>
  <si>
    <t>-676.351075631495 89.3277622149546 -557.546531973225</t>
  </si>
  <si>
    <t>-669.549860077307 226.603654204516 -555.040994538135</t>
  </si>
  <si>
    <t>-627.079593755403 283.967818858011 -269.564421751373</t>
  </si>
  <si>
    <t>-393.502686109871 240.397904490137 -229.634156955705</t>
  </si>
  <si>
    <t>-677.250883819163 34.2771890170593 -551.238608909331</t>
  </si>
  <si>
    <t>-519.481706426982 16.2758699451028 -323.813109333609</t>
  </si>
  <si>
    <t>-695.046357834276 194.397241590464 -100.771852447392</t>
  </si>
  <si>
    <t>-678.133242686349 194.686105775732 302.426071940899</t>
  </si>
  <si>
    <t>-736.516403946604 239.06021207542 743.921417544849</t>
  </si>
  <si>
    <t>-603.010507097549 184.058385284618 809.023266347026</t>
  </si>
  <si>
    <t>-681.754089712926 9.28260796408472 -91.1033417698035</t>
  </si>
  <si>
    <t>-626.978687057721 -14.4268075867576 308.01088943409</t>
  </si>
  <si>
    <t>-679.323404464299 -14.9643586552902 753.017203330099</t>
  </si>
  <si>
    <t>-575.272133461563 -108.043670292493 827.829280486104</t>
  </si>
  <si>
    <t>9763-20170724T105047.309834200.bin</t>
  </si>
  <si>
    <t>-688.604378077692 99.708460330555 -94.7064985692541</t>
  </si>
  <si>
    <t>-697.165769115717 93.2442061031929 -210.037137797193</t>
  </si>
  <si>
    <t>-695.950664698141 85.5843610074239 -308.355466482573</t>
  </si>
  <si>
    <t>-692.048674425068 77.6883562838841 -397.015891938688</t>
  </si>
  <si>
    <t>-685.012485512252 68.7856004997382 -485.387138342862</t>
  </si>
  <si>
    <t>-671.913402491196 55.2392285334561 -608.536409993559</t>
  </si>
  <si>
    <t>-629.723820880522 48.4296321012573 -679.801280941275</t>
  </si>
  <si>
    <t>-677.478766924195 88.7449215803811 -557.353123971548</t>
  </si>
  <si>
    <t>-671.883828167661 226.024916116908 -553.432342341064</t>
  </si>
  <si>
    <t>-639.333544317393 277.952596732139 -265.621347662539</t>
  </si>
  <si>
    <t>-405.053994590309 236.541281090187 -227.554497444081</t>
  </si>
  <si>
    <t>-677.876568916211 33.6558061493211 -551.335731506236</t>
  </si>
  <si>
    <t>-518.082050080949 14.6874827308059 -324.613752858268</t>
  </si>
  <si>
    <t>-695.528792080973 192.385961531273 -100.461838349277</t>
  </si>
  <si>
    <t>-678.749296238514 193.155873727214 302.740985339003</t>
  </si>
  <si>
    <t>-736.635511553277 239.34206526099 744.084002273479</t>
  </si>
  <si>
    <t>-603.260127165097 183.969864036689 809.139341940716</t>
  </si>
  <si>
    <t>-681.681062962481 6.88249749815895 -91.0017890312391</t>
  </si>
  <si>
    <t>-626.139629160372 -16.3181130840583 308.036477564163</t>
  </si>
  <si>
    <t>-679.256652642756 -14.9989455044547 753.003290900652</t>
  </si>
  <si>
    <t>-574.976864015238 -107.909713258802 827.706922985082</t>
  </si>
  <si>
    <t>9763-20170724T105047.342922000.bin</t>
  </si>
  <si>
    <t>-688.50168142726 98.6523741680926 -94.5602917749275</t>
  </si>
  <si>
    <t>-697.243020580547 92.1702795912584 -209.876265871913</t>
  </si>
  <si>
    <t>-696.168737297043 84.6946120827467 -308.210542374318</t>
  </si>
  <si>
    <t>-692.386091843082 77.0430459877041 -396.897567688108</t>
  </si>
  <si>
    <t>-685.459749461843 68.4635281767589 -485.309398900819</t>
  </si>
  <si>
    <t>-672.502608000569 55.4511243171967 -608.531257753144</t>
  </si>
  <si>
    <t>-630.469494204309 48.9683797307557 -679.918988943816</t>
  </si>
  <si>
    <t>-678.112049676708 88.7338126479228 -557.207687881354</t>
  </si>
  <si>
    <t>-673.033190151581 225.992551972645 -552.577664184784</t>
  </si>
  <si>
    <t>-640.756912209358 275.362452938018 -264.285958038492</t>
  </si>
  <si>
    <t>-405.502385027134 236.23072706054 -230.008837802378</t>
  </si>
  <si>
    <t>-678.296652113843 33.6205386813019 -551.407062605018</t>
  </si>
  <si>
    <t>-517.291230685455 13.9690224672956 -324.699599166915</t>
  </si>
  <si>
    <t>-695.587224067862 191.330894379903 -100.283085251609</t>
  </si>
  <si>
    <t>-678.86687918179 192.460139998513 302.921341514801</t>
  </si>
  <si>
    <t>-736.719586719177 239.365534932715 744.147312611108</t>
  </si>
  <si>
    <t>-603.375173686587 183.895246177377 809.18264160865</t>
  </si>
  <si>
    <t>-681.366269885432 5.76712346310569 -90.9058978248481</t>
  </si>
  <si>
    <t>-625.862905876377 -17.1642226329529 308.153272451261</t>
  </si>
  <si>
    <t>-679.337933742098 -15.2459990186489 753.040722031134</t>
  </si>
  <si>
    <t>-575.003435185412 -108.143826560723 827.683783103375</t>
  </si>
  <si>
    <t>9763-20170724T105047.410641100.bin</t>
  </si>
  <si>
    <t>-687.664854696568 97.0053855588362 -94.4739401745047</t>
  </si>
  <si>
    <t>-696.745577180838 90.4744958507722 -209.760858447766</t>
  </si>
  <si>
    <t>-696.001697536156 83.2597976847717 -308.117695788391</t>
  </si>
  <si>
    <t>-692.528968642797 75.9651335773162 -396.847445099517</t>
  </si>
  <si>
    <t>-685.921306191896 67.8657441921957 -485.329016375596</t>
  </si>
  <si>
    <t>-673.415413177207 55.6551667809772 -608.679428804544</t>
  </si>
  <si>
    <t>-631.743803817315 49.7753972894513 -680.330837947765</t>
  </si>
  <si>
    <t>-678.99445600166 88.6018276718514 -557.136122756153</t>
  </si>
  <si>
    <t>-674.707088869495 225.901475430685 -551.90213504202</t>
  </si>
  <si>
    <t>-638.334897603855 273.009455247614 -263.719713479369</t>
  </si>
  <si>
    <t>-401.025435064428 241.273648764934 -236.739914116876</t>
  </si>
  <si>
    <t>-678.842694718666 33.454980503466 -551.661658656342</t>
  </si>
  <si>
    <t>-515.594735982146 12.9340938604626 -324.214710625254</t>
  </si>
  <si>
    <t>-694.779699199223 189.57209890655 -100.126269406423</t>
  </si>
  <si>
    <t>-679.060445811039 191.635557017784 303.114706931927</t>
  </si>
  <si>
    <t>-736.871032486403 239.490797270493 744.180908947887</t>
  </si>
  <si>
    <t>-603.4775386645 184.095060155134 809.17936278717</t>
  </si>
  <si>
    <t>-680.502542820443 4.29596346691824 -90.8387072053548</t>
  </si>
  <si>
    <t>-625.420378965544 -18.530149209816 308.284783223391</t>
  </si>
  <si>
    <t>-679.249694866243 -15.3649318795408 753.089895711489</t>
  </si>
  <si>
    <t>-574.750302020111 -108.124862619609 827.673791600435</t>
  </si>
  <si>
    <t>9763-20170724T105047.443733500.bin</t>
  </si>
  <si>
    <t>-687.201440670877 96.3150020831258 -94.4509811640287</t>
  </si>
  <si>
    <t>-696.401450615181 89.793764044508 -209.729140700436</t>
  </si>
  <si>
    <t>-695.819254317973 82.6202345786921 -308.09000830511</t>
  </si>
  <si>
    <t>-692.515481777366 75.3795503989418 -396.830688638682</t>
  </si>
  <si>
    <t>-686.09811206908 67.3531985375544 -485.332807302688</t>
  </si>
  <si>
    <t>-673.879914273515 55.2664798501471 -608.724207807567</t>
  </si>
  <si>
    <t>-632.401496622545 49.6239901344939 -680.506736709197</t>
  </si>
  <si>
    <t>-679.408540641695 88.1603169113841 -557.141909374583</t>
  </si>
  <si>
    <t>-675.481691176285 225.473678014336 -551.927181791276</t>
  </si>
  <si>
    <t>-635.415788483765 272.770270633102 -264.265990755211</t>
  </si>
  <si>
    <t>-397.507943868663 243.069483886096 -240.420960953525</t>
  </si>
  <si>
    <t>-679.104557137362 33.0100095357138 -551.709578535322</t>
  </si>
  <si>
    <t>-514.471496680769 12.6048602366657 -323.164496634427</t>
  </si>
  <si>
    <t>-694.18592968034 189.003208224519 -100.105027642224</t>
  </si>
  <si>
    <t>-679.087422327849 191.361612591285 303.158075135243</t>
  </si>
  <si>
    <t>-736.947257800844 239.527807656342 744.190389266168</t>
  </si>
  <si>
    <t>-603.52802211916 184.185992785953 809.181902285552</t>
  </si>
  <si>
    <t>-680.142171454806 3.43139412592404 -90.7875522045481</t>
  </si>
  <si>
    <t>-625.028775411628 -19.2014184533393 308.342712671553</t>
  </si>
  <si>
    <t>-679.296781526898 -15.6255958073391 753.118957758775</t>
  </si>
  <si>
    <t>-574.480924854396 -108.056876212847 827.66698026406</t>
  </si>
  <si>
    <t>9763-20170724T105047.510911000.bin</t>
  </si>
  <si>
    <t>-686.172248439211 94.7553853543461 -94.2971210072341</t>
  </si>
  <si>
    <t>-695.493735833137 88.3486793432733 -209.571999082487</t>
  </si>
  <si>
    <t>-695.132197695187 81.1972426762245 -307.935592351802</t>
  </si>
  <si>
    <t>-692.073636939225 73.9538339057613 -396.684743226602</t>
  </si>
  <si>
    <t>-685.945893086032 65.9077007422025 -485.205582218022</t>
  </si>
  <si>
    <t>-674.17826990189 53.7799652989115 -608.636684914701</t>
  </si>
  <si>
    <t>-633.034521106319 48.4908292349201 -680.63851550835</t>
  </si>
  <si>
    <t>-679.642107067098 86.6889398208757 -557.05714209709</t>
  </si>
  <si>
    <t>-676.082228005555 224.01362313609 -552.181505433604</t>
  </si>
  <si>
    <t>-629.518992374384 271.790253939527 -265.580001318695</t>
  </si>
  <si>
    <t>-390.801944077002 244.680914006211 -247.409211549587</t>
  </si>
  <si>
    <t>-679.071294163771 31.5446138603104 -551.584553226479</t>
  </si>
  <si>
    <t>-510.993798790766 11.9427825445762 -319.954467496212</t>
  </si>
  <si>
    <t>-692.925669626751 187.591795444609 -99.8646259016837</t>
  </si>
  <si>
    <t>-678.732910582271 190.155363359076 303.430126900048</t>
  </si>
  <si>
    <t>-737.217781671003 239.196196347972 744.285514804331</t>
  </si>
  <si>
    <t>-603.657944614725 184.171197092845 809.257038370791</t>
  </si>
  <si>
    <t>-679.331478180658 1.69537523186068 -90.7706285284822</t>
  </si>
  <si>
    <t>-624.418903430952 -20.5570230021688 308.408682874707</t>
  </si>
  <si>
    <t>-679.312220462859 -16.0009173535823 753.142290496156</t>
  </si>
  <si>
    <t>-574.142881687579 -108.064377189909 827.647648172788</t>
  </si>
  <si>
    <t>9763-20170724T105047.547004900.bin</t>
  </si>
  <si>
    <t>-685.658571285178 94.5083415276563 -94.1405514575231</t>
  </si>
  <si>
    <t>-695.045360138661 88.1702201751527 -209.41384459145</t>
  </si>
  <si>
    <t>-694.698886553435 81.0315602341589 -307.778445187606</t>
  </si>
  <si>
    <t>-691.637219193286 73.7847805491569 -396.52725577992</t>
  </si>
  <si>
    <t>-685.489318827779 65.7222201545169 -485.045221354766</t>
  </si>
  <si>
    <t>-673.675309870426 53.5603401077683 -608.468558659133</t>
  </si>
  <si>
    <t>-632.627250254261 48.4099703248078 -680.53494487864</t>
  </si>
  <si>
    <t>-679.231252156007 86.4819934361726 -556.906999956066</t>
  </si>
  <si>
    <t>-675.80970513925 223.833280037181 -552.284003868953</t>
  </si>
  <si>
    <t>-627.355956424106 271.942572378256 -266.051625288562</t>
  </si>
  <si>
    <t>-388.383314862071 245.94986381096 -249.703436742399</t>
  </si>
  <si>
    <t>-678.516982327531 31.3423573579209 -551.40520541083</t>
  </si>
  <si>
    <t>-508.998610832155 11.6880534844672 -318.267720710188</t>
  </si>
  <si>
    <t>-692.393222269609 187.230815453938 -99.6551645246927</t>
  </si>
  <si>
    <t>-678.464873943852 189.579215606211 303.650170365932</t>
  </si>
  <si>
    <t>-737.398605747015 238.981093224122 744.401366006957</t>
  </si>
  <si>
    <t>-603.805897497798 184.010992513932 809.351842605216</t>
  </si>
  <si>
    <t>-678.844225180552 1.79370640555248 -90.6649413306084</t>
  </si>
  <si>
    <t>-624.051302745381 -21.1735488919931 308.490306506014</t>
  </si>
  <si>
    <t>-679.225184370482 -15.9748111254639 753.155282020523</t>
  </si>
  <si>
    <t>-574.361510556295 -108.38936542736 827.656818231184</t>
  </si>
  <si>
    <t>9763-20170724T105047.612899200.bin</t>
  </si>
  <si>
    <t>-684.620578200561 94.7597057325211 -93.9745778979043</t>
  </si>
  <si>
    <t>-694.050250115972 88.4003679381974 -209.2433499374</t>
  </si>
  <si>
    <t>-693.711661762836 81.1435724200351 -307.599170720566</t>
  </si>
  <si>
    <t>-690.645428160438 73.7527051264697 -396.335948509951</t>
  </si>
  <si>
    <t>-684.481611109979 65.5121764510168 -484.83644136499</t>
  </si>
  <si>
    <t>-672.632887469877 53.067489925377 -608.228307531717</t>
  </si>
  <si>
    <t>-631.641557525495 48.0154937991024 -680.333844421249</t>
  </si>
  <si>
    <t>-678.321311659962 86.1043154757701 -556.754856523481</t>
  </si>
  <si>
    <t>-675.143325797907 223.470562438892 -552.481217092241</t>
  </si>
  <si>
    <t>-622.901331936847 273.378242760726 -267.22478749436</t>
  </si>
  <si>
    <t>-383.980553867867 247.122105876387 -250.541765604794</t>
  </si>
  <si>
    <t>-677.372498293407 30.9831890256294 -551.104462220316</t>
  </si>
  <si>
    <t>-505.453736592824 11.2912167797106 -315.272511431945</t>
  </si>
  <si>
    <t>-691.570091299492 187.20417546479 -99.4804556969563</t>
  </si>
  <si>
    <t>-677.524062103907 189.292635024581 303.822164518803</t>
  </si>
  <si>
    <t>-737.626729188833 238.778292537714 744.409614588569</t>
  </si>
  <si>
    <t>-603.871834192909 184.189959812222 809.348408799372</t>
  </si>
  <si>
    <t>-677.574205918587 2.34181184215868 -90.5177405216397</t>
  </si>
  <si>
    <t>-623.469607241554 -21.8435067449748 308.659405383982</t>
  </si>
  <si>
    <t>-679.085202004014 -16.065411080428 753.174602679307</t>
  </si>
  <si>
    <t>-574.153336406098 -108.422842111592 827.650871074468</t>
  </si>
  <si>
    <t>9763-20170724T105047.639971400.bin</t>
  </si>
  <si>
    <t>-684.002024339301 94.6903517325452 -94.008610543188</t>
  </si>
  <si>
    <t>-693.329082232947 88.3039500252589 -209.284034006546</t>
  </si>
  <si>
    <t>-692.916217345856 80.998803382392 -307.636138229654</t>
  </si>
  <si>
    <t>-689.788346528989 73.5538208290136 -396.366173471382</t>
  </si>
  <si>
    <t>-683.568350957673 65.2491348415026 -484.856799904325</t>
  </si>
  <si>
    <t>-671.647531598605 52.7048946848415 -608.231649588169</t>
  </si>
  <si>
    <t>-630.615116403827 47.6720918020635 -680.315143140493</t>
  </si>
  <si>
    <t>-677.391785396874 85.7826304795528 -556.790601920725</t>
  </si>
  <si>
    <t>-674.104638797249 223.131899541603 -552.565202853621</t>
  </si>
  <si>
    <t>-620.514743116881 273.136027266524 -267.575953606567</t>
  </si>
  <si>
    <t>-381.614701936508 247.050168399131 -250.337262997499</t>
  </si>
  <si>
    <t>-676.394844519467 30.667388592359 -551.090350337053</t>
  </si>
  <si>
    <t>-503.644079471275 11.0741685331705 -314.169725702166</t>
  </si>
  <si>
    <t>-690.927919660503 187.087427322114 -99.5049319328494</t>
  </si>
  <si>
    <t>-677.296896416534 189.176618220017 303.811927403962</t>
  </si>
  <si>
    <t>-737.720036003078 238.776015685645 744.348380709459</t>
  </si>
  <si>
    <t>-603.881356128582 184.369178989243 809.266880620098</t>
  </si>
  <si>
    <t>-676.804486534986 2.04943845212256 -90.553443587041</t>
  </si>
  <si>
    <t>-623.376768190087 -21.7449568227785 308.738365988839</t>
  </si>
  <si>
    <t>-679.071168529395 -16.2346878994999 753.197679176185</t>
  </si>
  <si>
    <t>-573.855127647447 -108.280003537169 827.65937079535</t>
  </si>
  <si>
    <t>9763-20170724T105047.710164100.bin</t>
  </si>
  <si>
    <t>-682.629216634752 94.4029810203817 -94.1478592374009</t>
  </si>
  <si>
    <t>-691.697678426158 87.9697201066897 -209.441376879898</t>
  </si>
  <si>
    <t>-690.996216476776 80.6614075992138 -307.791514360614</t>
  </si>
  <si>
    <t>-687.580431868821 73.2270448044083 -396.511831565752</t>
  </si>
  <si>
    <t>-681.045902472937 64.9463131315608 -484.98202190444</t>
  </si>
  <si>
    <t>-668.65746672015 52.448417886226 -608.315573508624</t>
  </si>
  <si>
    <t>-627.457204830072 47.456450956164 -680.30622911067</t>
  </si>
  <si>
    <t>-674.601800240866 85.506575387928 -556.884650697138</t>
  </si>
  <si>
    <t>-670.797870241636 222.852682904369 -552.658049701109</t>
  </si>
  <si>
    <t>-614.834180328255 272.276536954838 -268.023973586058</t>
  </si>
  <si>
    <t>-375.788890212933 246.27474857382 -252.79007262974</t>
  </si>
  <si>
    <t>-673.61622689246 30.3896952900302 -551.200456367937</t>
  </si>
  <si>
    <t>-500.432298353504 11.255241978143 -312.598440989495</t>
  </si>
  <si>
    <t>-689.69233966973 187.104232890659 -99.7275118201839</t>
  </si>
  <si>
    <t>-677.518706749685 189.418801509167 303.63477038063</t>
  </si>
  <si>
    <t>-737.921159790912 238.753300864774 744.270520180474</t>
  </si>
  <si>
    <t>-604.007774183545 184.461417604027 809.130884159549</t>
  </si>
  <si>
    <t>-675.486810635106 1.5054710290583 -90.6216395411013</t>
  </si>
  <si>
    <t>-622.773926853721 -21.9254338687647 308.786646346729</t>
  </si>
  <si>
    <t>-679.131267133443 -16.6987796724823 753.230497297332</t>
  </si>
  <si>
    <t>-573.602951600941 -108.407648377142 827.665528712725</t>
  </si>
  <si>
    <t>9763-20170724T105047.745257600.bin</t>
  </si>
  <si>
    <t>-682.226901561361 94.6152728816598 -94.2047925239101</t>
  </si>
  <si>
    <t>-691.166150603291 88.1921737074179 -209.508999036945</t>
  </si>
  <si>
    <t>-690.326456485037 80.8699095359048 -307.857028318898</t>
  </si>
  <si>
    <t>-686.775069514694 73.4134092338365 -396.570180533618</t>
  </si>
  <si>
    <t>-680.094580156108 65.100359694806 -485.026477132197</t>
  </si>
  <si>
    <t>-667.491789642949 52.5465945659471 -608.332555097346</t>
  </si>
  <si>
    <t>-626.180171686364 47.5028595905478 -680.255705999008</t>
  </si>
  <si>
    <t>-673.510848759146 85.6285266030848 -556.925626164</t>
  </si>
  <si>
    <t>-669.442925744753 222.986924665676 -552.750702277674</t>
  </si>
  <si>
    <t>-611.577477342027 272.397061239715 -268.494671944523</t>
  </si>
  <si>
    <t>-372.512019891924 246.176398973892 -253.967715560079</t>
  </si>
  <si>
    <t>-672.564488980407 30.5131828326855 -551.217617787344</t>
  </si>
  <si>
    <t>-499.45936198127 11.424795623197 -311.987795023335</t>
  </si>
  <si>
    <t>-689.44041987411 187.491908577751 -99.8069302114956</t>
  </si>
  <si>
    <t>-677.670527314382 189.748215494088 303.567644174571</t>
  </si>
  <si>
    <t>-738.011004251149 238.757585897142 744.276533127336</t>
  </si>
  <si>
    <t>-604.110668814201 184.407883500124 809.115874727928</t>
  </si>
  <si>
    <t>-675.053497300318 1.72059489492995 -90.6590154127633</t>
  </si>
  <si>
    <t>-622.534351435014 -22.0073913674858 308.757366783668</t>
  </si>
  <si>
    <t>-679.063693542015 -16.7081932979715 753.220011779128</t>
  </si>
  <si>
    <t>-573.714392993653 -108.621301910088 827.656580512016</t>
  </si>
  <si>
    <t>9763-20170724T105047.812447100.bin</t>
  </si>
  <si>
    <t>-681.451628697811 95.2804743083509 -94.246227706737</t>
  </si>
  <si>
    <t>-690.122783065083 88.9156916781342 -209.57411586023</t>
  </si>
  <si>
    <t>-689.004581907188 81.5710918128495 -307.917769496485</t>
  </si>
  <si>
    <t>-685.182714868369 74.0664890683661 -396.615617705008</t>
  </si>
  <si>
    <t>-678.213797004177 65.6768077322986 -485.042367981349</t>
  </si>
  <si>
    <t>-665.189568877376 52.98585118151 -608.290546159205</t>
  </si>
  <si>
    <t>-623.59471317987 47.8355897275887 -680.042731232513</t>
  </si>
  <si>
    <t>-671.326625952003 86.1265446919035 -556.935543559892</t>
  </si>
  <si>
    <t>-666.78885083566 223.45699119568 -552.906233683724</t>
  </si>
  <si>
    <t>-604.651352343635 273.742257144807 -269.707511882717</t>
  </si>
  <si>
    <t>-365.645667435217 246.443753755936 -256.217818485582</t>
  </si>
  <si>
    <t>-670.515089699504 31.0145601483036 -551.174766744452</t>
  </si>
  <si>
    <t>-497.823627082715 12.075874247751 -310.929081847061</t>
  </si>
  <si>
    <t>-688.405273718217 188.179119885123 -99.8568836908312</t>
  </si>
  <si>
    <t>-677.428566536883 190.454616237119 303.539928675057</t>
  </si>
  <si>
    <t>-738.115285567729 238.910007980405 744.252554326493</t>
  </si>
  <si>
    <t>-604.231947890452 184.501465540065 809.077248558052</t>
  </si>
  <si>
    <t>-674.385656375081 2.28316422344301 -90.6792239893343</t>
  </si>
  <si>
    <t>-622.223081763266 -22.2941524906209 308.732414471419</t>
  </si>
  <si>
    <t>-679.058593643498 -17.0446562484103 753.183680345751</t>
  </si>
  <si>
    <t>-573.21681589958 -108.409330487346 827.596876172132</t>
  </si>
  <si>
    <t>9763-20170724T105047.848542400.bin</t>
  </si>
  <si>
    <t>-680.927925312785 95.6379694253578 -94.1824738450841</t>
  </si>
  <si>
    <t>-689.50840154453 89.3243135536777 -209.520032424294</t>
  </si>
  <si>
    <t>-688.264871846992 81.9964648591401 -307.863342674839</t>
  </si>
  <si>
    <t>-684.310992985676 74.4966658312505 -396.555902118048</t>
  </si>
  <si>
    <t>-677.191963984053 66.1002370775889 -484.96989448117</t>
  </si>
  <si>
    <t>-663.939015490244 53.3876553091318 -608.191570434288</t>
  </si>
  <si>
    <t>-622.169038259387 48.199763993953 -679.839359560661</t>
  </si>
  <si>
    <t>-670.118629561347 86.5385566732355 -556.848281187081</t>
  </si>
  <si>
    <t>-665.227858120694 223.862503989762 -552.849718754388</t>
  </si>
  <si>
    <t>-601.178842467569 274.251615411639 -270.095543538807</t>
  </si>
  <si>
    <t>-362.164923418677 246.983758829131 -256.691801924592</t>
  </si>
  <si>
    <t>-669.423126141078 31.425098912885 -551.087445910556</t>
  </si>
  <si>
    <t>-496.96529577954 12.5674862735827 -310.501899755009</t>
  </si>
  <si>
    <t>-687.720563836485 188.449920592827 -99.7736693356713</t>
  </si>
  <si>
    <t>-676.969655225111 190.629606963645 303.62982867156</t>
  </si>
  <si>
    <t>-738.192604787703 238.931029742451 744.274482757643</t>
  </si>
  <si>
    <t>-604.250469752425 184.640906264303 809.07714532411</t>
  </si>
  <si>
    <t>-674.046819210305 2.71355390987856 -90.6347985585966</t>
  </si>
  <si>
    <t>-621.860219865204 -22.360631332861 308.7428619562</t>
  </si>
  <si>
    <t>-678.948307924226 -16.993063195152 753.160163651927</t>
  </si>
  <si>
    <t>-573.511703931466 -108.803915947451 827.599493813632</t>
  </si>
  <si>
    <t>9763-20170724T105047.909718300.bin</t>
  </si>
  <si>
    <t>-680.057593574899 96.1659743731354 -94.0702385445147</t>
  </si>
  <si>
    <t>-688.521318848894 89.9488224403658 -209.421563435302</t>
  </si>
  <si>
    <t>-687.044139050057 82.6972124151175 -307.767323922008</t>
  </si>
  <si>
    <t>-682.826140107638 75.2649522223271 -396.453289241999</t>
  </si>
  <si>
    <t>-675.38996713862 66.9329461457476 -484.847435913117</t>
  </si>
  <si>
    <t>-661.639052203228 54.3067402824443 -608.023375935967</t>
  </si>
  <si>
    <t>-619.521310377913 49.055495520327 -679.462455041803</t>
  </si>
  <si>
    <t>-667.9308454084 87.4237325693662 -556.671795822662</t>
  </si>
  <si>
    <t>-662.379101970637 224.730751442592 -552.589129796841</t>
  </si>
  <si>
    <t>-594.670761887542 275.360955704904 -270.732216120529</t>
  </si>
  <si>
    <t>-355.623032295591 248.573871766479 -256.963975051662</t>
  </si>
  <si>
    <t>-667.449417566441 32.3019705816735 -550.967666960885</t>
  </si>
  <si>
    <t>-495.430057695141 13.0711003656584 -310.013625374563</t>
  </si>
  <si>
    <t>-686.620722132999 189.043512660765 -99.6031220843203</t>
  </si>
  <si>
    <t>-675.774195232239 190.863662600225 303.799641711917</t>
  </si>
  <si>
    <t>-738.326730302584 238.951873260436 744.279034779226</t>
  </si>
  <si>
    <t>-604.316773059419 184.808357563407 809.064347420748</t>
  </si>
  <si>
    <t>-673.399575408426 3.14969166785045 -90.6110644362719</t>
  </si>
  <si>
    <t>-621.50562047028 -22.1915104978984 308.787860974883</t>
  </si>
  <si>
    <t>-678.754810919616 -16.9722148001467 753.126158666647</t>
  </si>
  <si>
    <t>-573.665167662221 -109.155319514307 827.595987665691</t>
  </si>
  <si>
    <t>9763-20170724T105047.941795200.bin</t>
  </si>
  <si>
    <t>-679.842857832277 96.2553942821769 -94.0422930841343</t>
  </si>
  <si>
    <t>-688.242679811235 90.0934631930043 -209.401353136544</t>
  </si>
  <si>
    <t>-686.649902545296 82.8805296265018 -307.748187265988</t>
  </si>
  <si>
    <t>-682.302915071347 75.4806995800373 -396.430532231924</t>
  </si>
  <si>
    <t>-674.713621712542 67.178513925038 -484.814507197273</t>
  </si>
  <si>
    <t>-660.723565067408 54.5910255962492 -607.967492778898</t>
  </si>
  <si>
    <t>-618.434410643881 49.3379144400612 -679.304996483261</t>
  </si>
  <si>
    <t>-667.081682712932 87.6925215957956 -556.613949913583</t>
  </si>
  <si>
    <t>-661.240061410657 224.972315870316 -552.467683993515</t>
  </si>
  <si>
    <t>-591.696650661763 275.872044768516 -271.106540179347</t>
  </si>
  <si>
    <t>-352.66273694358 249.096968753287 -257.081040331079</t>
  </si>
  <si>
    <t>-666.678070192631 32.5677181616256 -550.933907598073</t>
  </si>
  <si>
    <t>-494.76411525918 13.2005304547474 -309.711631773299</t>
  </si>
  <si>
    <t>-686.316674382007 189.212956408721 -99.5394424583614</t>
  </si>
  <si>
    <t>-675.210752871609 190.862040900726 303.856845177034</t>
  </si>
  <si>
    <t>-738.375839438637 239.03532357763 744.260302394431</t>
  </si>
  <si>
    <t>-604.338305663402 184.947910171795 809.035441268764</t>
  </si>
  <si>
    <t>-673.313687093141 3.16689949015131 -90.6132027657105</t>
  </si>
  <si>
    <t>-621.519360781236 -22.2371923941525 308.794648990561</t>
  </si>
  <si>
    <t>-678.785715160182 -17.2161821856766 753.121319838276</t>
  </si>
  <si>
    <t>-573.366561264714 -109.027563456289 827.584425981565</t>
  </si>
  <si>
    <t>9763-20170724T105048.012599000.bin</t>
  </si>
  <si>
    <t>-679.863181586512 96.3432466023944 -94.0767165036764</t>
  </si>
  <si>
    <t>-688.104837432843 90.2939329712513 -209.453093919345</t>
  </si>
  <si>
    <t>-686.270159985248 83.1906138645431 -307.803725702226</t>
  </si>
  <si>
    <t>-681.66248449575 75.8954242338837 -396.481728525424</t>
  </si>
  <si>
    <t>-673.770297707096 67.702203178646 -484.849135201769</t>
  </si>
  <si>
    <t>-659.313410407796 55.2706441316689 -607.964203531293</t>
  </si>
  <si>
    <t>-616.710315096037 50.1041967517017 -679.121013444625</t>
  </si>
  <si>
    <t>-665.809338779934 88.3079871435461 -556.586562833454</t>
  </si>
  <si>
    <t>-659.460695362752 225.558198598916 -552.207308690138</t>
  </si>
  <si>
    <t>-585.060595295516 276.943815602282 -272.179899572459</t>
  </si>
  <si>
    <t>-346.055809307692 250.078386922627 -257.833627389063</t>
  </si>
  <si>
    <t>-665.541013936915 33.1741248768785 -550.9880763455</t>
  </si>
  <si>
    <t>-493.645224401218 13.31143473477 -308.918083428637</t>
  </si>
  <si>
    <t>-686.073841238644 189.388542294074 -99.4936282236874</t>
  </si>
  <si>
    <t>-674.406322539047 190.993900772927 303.887035609732</t>
  </si>
  <si>
    <t>-738.490010280389 238.93639674378 744.183394551278</t>
  </si>
  <si>
    <t>-604.164384900458 185.544211099237 808.938407527758</t>
  </si>
  <si>
    <t>-673.475823647713 3.24017406498774 -90.6558160375185</t>
  </si>
  <si>
    <t>-621.454178767967 -22.3033186475188 308.713651545154</t>
  </si>
  <si>
    <t>-678.69552381826 -17.5053935588492 753.043901783036</t>
  </si>
  <si>
    <t>-573.374887168106 -109.357912404005 827.595677531322</t>
  </si>
  <si>
    <t>9763-20170724T105048.041676500.bin</t>
  </si>
  <si>
    <t>-680.023670732061 96.192115431684 -94.0976590064755</t>
  </si>
  <si>
    <t>-688.154001216837 90.1956358726022 -209.484531083003</t>
  </si>
  <si>
    <t>-686.154054469852 83.1746799690047 -307.837939025</t>
  </si>
  <si>
    <t>-681.36838366999 75.9670980115975 -396.51367038147</t>
  </si>
  <si>
    <t>-673.270605320334 67.8735141063351 -484.871755219772</t>
  </si>
  <si>
    <t>-658.497409892983 55.59294002512 -607.96429676227</t>
  </si>
  <si>
    <t>-615.733799890546 50.5468360313303 -679.033496732405</t>
  </si>
  <si>
    <t>-665.117377120489 88.5674560763246 -556.562216558369</t>
  </si>
  <si>
    <t>-658.698830247357 225.824763692563 -552.033340524028</t>
  </si>
  <si>
    <t>-581.784033168924 277.20985867627 -272.686122669963</t>
  </si>
  <si>
    <t>-342.795002195311 250.426598357578 -257.928455742239</t>
  </si>
  <si>
    <t>-664.879380174238 33.4264972725196 -551.032506900448</t>
  </si>
  <si>
    <t>-493.292986780262 13.2784698685741 -308.571962487124</t>
  </si>
  <si>
    <t>-686.202569603159 189.272229689416 -99.5071225757156</t>
  </si>
  <si>
    <t>-674.453182419869 191.060123293014 303.870378644117</t>
  </si>
  <si>
    <t>-738.518666356845 238.898379524512 744.134099498966</t>
  </si>
  <si>
    <t>-604.097743780558 185.775252395046 808.912189792408</t>
  </si>
  <si>
    <t>-673.540654805124 2.97400665285386 -90.7250656122586</t>
  </si>
  <si>
    <t>-621.404567925647 -22.3128991169422 308.645746439827</t>
  </si>
  <si>
    <t>-678.590874516303 -17.5146713341564 752.991469286859</t>
  </si>
  <si>
    <t>-573.19920390281 -109.253299238944 827.583290813253</t>
  </si>
  <si>
    <t>9763-20170724T105048.111127600.bin</t>
  </si>
  <si>
    <t>-681.011956813967 95.8212247835645 -94.2688660586326</t>
  </si>
  <si>
    <t>-688.84788251729 89.8292008113535 -209.676397356252</t>
  </si>
  <si>
    <t>-686.459402220034 82.998592459453 -308.034344137815</t>
  </si>
  <si>
    <t>-681.267867389033 76.0285722432598 -396.706353651337</t>
  </si>
  <si>
    <t>-672.709690499012 68.2354156373433 -485.048151172834</t>
  </si>
  <si>
    <t>-657.236721982672 56.436817773128 -608.101647031214</t>
  </si>
  <si>
    <t>-614.098398394471 51.8233584083175 -678.97372087899</t>
  </si>
  <si>
    <t>-664.177312775024 89.2094600288365 -556.612936731462</t>
  </si>
  <si>
    <t>-657.941658628961 226.450018789551 -551.592568437707</t>
  </si>
  <si>
    <t>-576.860057063525 277.463238029707 -273.357731672915</t>
  </si>
  <si>
    <t>-337.809461135208 251.872880009651 -257.519000083711</t>
  </si>
  <si>
    <t>-663.913986004217 34.0482509283486 -551.290959232719</t>
  </si>
  <si>
    <t>-493.467780714246 12.9594758782332 -307.983815959435</t>
  </si>
  <si>
    <t>-687.892540261826 189.222430693979 -99.6747840593033</t>
  </si>
  <si>
    <t>-674.517111486661 191.252986394577 303.650971622633</t>
  </si>
  <si>
    <t>-738.441258746453 239.07621279541 743.955289582069</t>
  </si>
  <si>
    <t>-603.907392875567 186.38981644951 808.855832327842</t>
  </si>
  <si>
    <t>-673.907177488312 2.44400988534676 -90.9595658788824</t>
  </si>
  <si>
    <t>-621.969449389681 -22.0505988961511 308.486500584598</t>
  </si>
  <si>
    <t>-678.541748596539 -17.7838589169949 752.925191824832</t>
  </si>
  <si>
    <t>-573.201496715984 -109.527747785903 827.583137043693</t>
  </si>
  <si>
    <t>9763-20170724T105048.142209400.bin</t>
  </si>
  <si>
    <t>-681.88992446993 95.6849872440841 -94.3951635134055</t>
  </si>
  <si>
    <t>-689.652445117583 89.6108221256861 -209.803498881362</t>
  </si>
  <si>
    <t>-687.122368441062 82.9182573227979 -308.167319715962</t>
  </si>
  <si>
    <t>-681.769991098865 76.149023357043 -396.845330398181</t>
  </si>
  <si>
    <t>-673.018319266576 68.6301141738686 -485.191909235188</t>
  </si>
  <si>
    <t>-657.239703770749 57.2891639675433 -608.249663259168</t>
  </si>
  <si>
    <t>-613.901222923149 53.0453398272091 -679.02253787646</t>
  </si>
  <si>
    <t>-664.358939228224 89.8691735074897 -556.663259459364</t>
  </si>
  <si>
    <t>-658.489652160788 227.118700996721 -551.264131404581</t>
  </si>
  <si>
    <t>-575.67285813181 277.683195007683 -273.458833416985</t>
  </si>
  <si>
    <t>-336.589340135591 252.701344849256 -257.154346916389</t>
  </si>
  <si>
    <t>-664.007142060063 34.6901716297843 -551.532708865279</t>
  </si>
  <si>
    <t>-493.791696499064 13.1171338556594 -307.151256951541</t>
  </si>
  <si>
    <t>-689.421640736126 189.191581169661 -99.8772419167626</t>
  </si>
  <si>
    <t>-674.70885943451 191.454269993936 303.400698263648</t>
  </si>
  <si>
    <t>-738.313991029474 239.384475272437 743.774409349282</t>
  </si>
  <si>
    <t>-603.794540206717 186.777634122893 808.76902115937</t>
  </si>
  <si>
    <t>-674.313470370313 2.2975748948827 -91.0681906058767</t>
  </si>
  <si>
    <t>-622.471718005981 -21.7600521450256 308.416929548988</t>
  </si>
  <si>
    <t>-678.46297129145 -17.8165785117105 752.893952611438</t>
  </si>
  <si>
    <t>-573.125512977221 -109.533371152588 827.589208215908</t>
  </si>
  <si>
    <t>9763-20170724T105048.208412300.bin</t>
  </si>
  <si>
    <t>-683.937757074474 95.5361542134251 -94.7116255269494</t>
  </si>
  <si>
    <t>-691.670027911304 89.1982382657602 -210.10779810424</t>
  </si>
  <si>
    <t>-689.021887648839 82.9731685937259 -308.499252895729</t>
  </si>
  <si>
    <t>-683.519630399235 76.8851219209857 -397.217335031158</t>
  </si>
  <si>
    <t>-674.571065358075 70.3040457739651 -485.618979878823</t>
  </si>
  <si>
    <t>-658.465472250538 60.5361875070942 -608.769325362366</t>
  </si>
  <si>
    <t>-614.859369246176 57.4321590860056 -679.437035239802</t>
  </si>
  <si>
    <t>-666.001235076562 92.4484328959613 -556.825963953889</t>
  </si>
  <si>
    <t>-662.074703148767 229.70554819098 -550.193894739742</t>
  </si>
  <si>
    <t>-578.835764858356 279.227979841109 -272.326958934402</t>
  </si>
  <si>
    <t>-339.832043191361 253.541454677046 -255.947255596535</t>
  </si>
  <si>
    <t>-665.104223316751 37.2205534099801 -552.328086891018</t>
  </si>
  <si>
    <t>-495.886788690697 15.5407495103977 -305.207730179698</t>
  </si>
  <si>
    <t>-693.044470694639 188.867373972128 -100.352787168806</t>
  </si>
  <si>
    <t>-676.657331908479 192.217957011148 302.85297902349</t>
  </si>
  <si>
    <t>-738.09300972902 240.040601466068 743.514608591121</t>
  </si>
  <si>
    <t>-603.611638102695 187.50485010195 808.645723330977</t>
  </si>
  <si>
    <t>-674.645165901448 2.2636784902877 -91.2383115070177</t>
  </si>
  <si>
    <t>-623.351367420457 -21.2275024108744 308.3512162349</t>
  </si>
  <si>
    <t>-678.301269649881 -17.8366033588241 752.881681789665</t>
  </si>
  <si>
    <t>-572.941888802699 -109.515277404133 827.592449260051</t>
  </si>
  <si>
    <t>9763-20170724T105048.246514000.bin</t>
  </si>
  <si>
    <t>-684.887130484605 95.0789308398387 -94.9952244651922</t>
  </si>
  <si>
    <t>-692.550072204423 88.6066094218852 -210.388583541078</t>
  </si>
  <si>
    <t>-689.845320817636 82.7011975764108 -308.798250518491</t>
  </si>
  <si>
    <t>-684.287391903765 77.0666930140778 -397.542912032255</t>
  </si>
  <si>
    <t>-675.276605087243 71.1029052458493 -485.981960325697</t>
  </si>
  <si>
    <t>-659.074603538095 62.3673872115419 -609.19716406649</t>
  </si>
  <si>
    <t>-615.390327313444 59.9880454477518 -679.84461038455</t>
  </si>
  <si>
    <t>-666.843709716883 93.8377280053046 -557.018967088565</t>
  </si>
  <si>
    <t>-664.185868093653 231.099295427985 -549.579287494665</t>
  </si>
  <si>
    <t>-583.434699913374 278.738638677343 -270.650997863383</t>
  </si>
  <si>
    <t>-344.374278769565 253.173144271696 -254.923790516107</t>
  </si>
  <si>
    <t>-665.564964458146 38.5852610803699 -552.933605259072</t>
  </si>
  <si>
    <t>-497.265265453442 16.1277802369805 -304.299565125687</t>
  </si>
  <si>
    <t>-695.07688440459 188.475585028178 -100.664589953758</t>
  </si>
  <si>
    <t>-678.108117495472 192.538250224304 302.510555720263</t>
  </si>
  <si>
    <t>-738.03212014509 240.22154473375 743.418512580465</t>
  </si>
  <si>
    <t>-603.514831767872 187.833284631338 808.594169173581</t>
  </si>
  <si>
    <t>-674.603214738558 1.61517265043381 -91.5133320010735</t>
  </si>
  <si>
    <t>-623.822715038667 -20.9089084654895 308.19740776676</t>
  </si>
  <si>
    <t>-678.134404393031 -17.7621369232891 752.812820453211</t>
  </si>
  <si>
    <t>-572.920636446719 -109.567272622349 827.573764889885</t>
  </si>
  <si>
    <t>9763-20170724T105048.308417700.bin</t>
  </si>
  <si>
    <t>-686.450406341142 93.2687905883959 -95.5155632357927</t>
  </si>
  <si>
    <t>-693.997915053372 86.6611631006879 -210.908736348754</t>
  </si>
  <si>
    <t>-691.245656843873 81.6984018099406 -309.369222280464</t>
  </si>
  <si>
    <t>-685.651467372696 77.3251771226383 -398.182595800596</t>
  </si>
  <si>
    <t>-676.60337561799 73.0343829012215 -486.714860809639</t>
  </si>
  <si>
    <t>-660.341028244337 67.064862263238 -610.087178992899</t>
  </si>
  <si>
    <t>-616.624658072943 66.4305036603521 -680.751832331002</t>
  </si>
  <si>
    <t>-668.574483524723 97.3402730798714 -557.276871703282</t>
  </si>
  <si>
    <t>-668.361450717927 234.440377418514 -547.353194223174</t>
  </si>
  <si>
    <t>-594.237146322022 277.231702164047 -265.811710922453</t>
  </si>
  <si>
    <t>-355.100741115034 252.772762491838 -249.490192910797</t>
  </si>
  <si>
    <t>-666.420032457959 42.04325980728 -554.317231089418</t>
  </si>
  <si>
    <t>-500.708465125864 16.3492687899291 -302.817939772166</t>
  </si>
  <si>
    <t>-698.15508025238 186.898348289655 -101.195654312253</t>
  </si>
  <si>
    <t>-681.056154300892 192.465601989522 301.956051405888</t>
  </si>
  <si>
    <t>-737.949877559468 240.488472222813 743.291927891196</t>
  </si>
  <si>
    <t>-603.198844232936 188.744051613148 808.49936810404</t>
  </si>
  <si>
    <t>-624.45428019231 -20.9029884778261 307.903982127982</t>
  </si>
  <si>
    <t>-677.96820414091 -17.6467372272828 752.765815686537</t>
  </si>
  <si>
    <t>-572.825981735107 -109.552099852146 827.503914466714</t>
  </si>
  <si>
    <t>9763-20170724T105048.345508100.bin</t>
  </si>
  <si>
    <t>-687.13038701053 92.239944192853 -95.759432671258</t>
  </si>
  <si>
    <t>-694.696434360832 85.6060243684456 -211.149972151535</t>
  </si>
  <si>
    <t>-692.016510102704 81.1588818551072 -309.637012404218</t>
  </si>
  <si>
    <t>-686.502989671302 77.4642281343172 -398.486247352488</t>
  </si>
  <si>
    <t>-677.546975605006 74.0667299066342 -487.066670105623</t>
  </si>
  <si>
    <t>-661.421122066256 69.5714012782539 -610.519323961678</t>
  </si>
  <si>
    <t>-617.762970884032 69.8378869576709 -681.222383935693</t>
  </si>
  <si>
    <t>-669.803487323627 99.2038498667987 -557.368980074328</t>
  </si>
  <si>
    <t>-670.559729581871 236.217612756238 -546.240663149554</t>
  </si>
  <si>
    <t>-600.686263275635 276.596666644054 -263.259437002431</t>
  </si>
  <si>
    <t>-361.499426737566 252.78401593596 -246.721970331507</t>
  </si>
  <si>
    <t>-667.231249618074 43.8953388013595 -555.018923881397</t>
  </si>
  <si>
    <t>-503.113363617841 15.9550867984149 -303.694157843445</t>
  </si>
  <si>
    <t>-699.390867326665 185.857250092522 -101.403492215591</t>
  </si>
  <si>
    <t>-682.557259141782 192.239442864339 301.747303304299</t>
  </si>
  <si>
    <t>-737.938792795296 240.55890568459 743.269745234151</t>
  </si>
  <si>
    <t>-603.067352277065 189.133104798631 808.479915103975</t>
  </si>
  <si>
    <t>-624.979683335566 -21.0375601305263 307.708143744602</t>
  </si>
  <si>
    <t>-677.865724536566 -17.5290814257567 752.741760834119</t>
  </si>
  <si>
    <t>-572.915666372209 -109.662742944794 827.469124076995</t>
  </si>
  <si>
    <t>9763-20170724T105048.410686600.bin</t>
  </si>
  <si>
    <t>-689.172936364831 90.3652967530234 -95.9541640599435</t>
  </si>
  <si>
    <t>-696.984432812245 83.776061793187 -211.330803285484</t>
  </si>
  <si>
    <t>-694.766748652692 80.1690139300001 -309.863741881224</t>
  </si>
  <si>
    <t>-689.762070119082 77.5558699974754 -398.78146744021</t>
  </si>
  <si>
    <t>-681.399079994343 75.5677713105799 -487.462568004394</t>
  </si>
  <si>
    <t>-666.184573485199 73.388209850548 -611.093491838944</t>
  </si>
  <si>
    <t>-622.672226268214 75.2443649980714 -681.862520226357</t>
  </si>
  <si>
    <t>-674.465886919891 102.002489097235 -557.372374520722</t>
  </si>
  <si>
    <t>-676.683747774611 238.82390532714 -544.102046122772</t>
  </si>
  <si>
    <t>-614.949960750506 275.832044334821 -258.776605871347</t>
  </si>
  <si>
    <t>-376.018459250398 252.542157753757 -238.277222929968</t>
  </si>
  <si>
    <t>-671.293591194557 46.6921126207699 -556.006883104626</t>
  </si>
  <si>
    <t>-507.555367827518 15.416158918624 -306.728154959688</t>
  </si>
  <si>
    <t>-701.775931043274 183.709291028858 -101.49393417095</t>
  </si>
  <si>
    <t>-685.626966416362 191.688763118572 301.656453118761</t>
  </si>
  <si>
    <t>-737.986858327951 240.729529716059 743.396634028607</t>
  </si>
  <si>
    <t>-603.05707928691 189.438235126617 808.592249496471</t>
  </si>
  <si>
    <t>-626.450162890772 -22.14351202177 307.454008648287</t>
  </si>
  <si>
    <t>-677.918201624245 -17.7649125313214 752.761684332084</t>
  </si>
  <si>
    <t>-572.763015523591 -109.737726023471 827.398839031493</t>
  </si>
  <si>
    <t>9763-20170724T105048.445780500.bin</t>
  </si>
  <si>
    <t>-690.383300271521 89.5046214185343 -95.9120583909597</t>
  </si>
  <si>
    <t>-698.369495129654 82.9693884289507 -211.279940640458</t>
  </si>
  <si>
    <t>-696.409160983738 79.6894015363246 -309.829709517822</t>
  </si>
  <si>
    <t>-691.67691880572 77.4863170948072 -398.773461794281</t>
  </si>
  <si>
    <t>-683.624169948647 76.0251171291757 -487.493605410945</t>
  </si>
  <si>
    <t>-668.880723038327 74.7054011477867 -611.193693813691</t>
  </si>
  <si>
    <t>-625.363579896038 77.2082635331503 -681.939945905948</t>
  </si>
  <si>
    <t>-677.045268149576 102.939959558346 -557.25418072435</t>
  </si>
  <si>
    <t>-679.554546431437 239.651981382519 -543.082253169939</t>
  </si>
  <si>
    <t>-622.979350795156 275.184528351468 -256.5024853607</t>
  </si>
  <si>
    <t>-384.321757051358 252.041759562338 -232.884680030156</t>
  </si>
  <si>
    <t>-673.691932415284 47.6321959916684 -556.264554906592</t>
  </si>
  <si>
    <t>-509.203003024155 14.5511680677669 -308.290847854532</t>
  </si>
  <si>
    <t>-702.976149181202 182.786720869764 -101.377118973352</t>
  </si>
  <si>
    <t>-686.790587849498 191.181246142534 301.7633233466</t>
  </si>
  <si>
    <t>-738.048229345475 240.822946722097 743.53248559878</t>
  </si>
  <si>
    <t>-603.173335244002 189.369106274435 808.713494914341</t>
  </si>
  <si>
    <t>-627.325548537899 -22.7982254395213 307.422933666013</t>
  </si>
  <si>
    <t>-677.955397478397 -17.8757147736019 752.808956377597</t>
  </si>
  <si>
    <t>-572.590507731315 -109.668297693582 827.372038840247</t>
  </si>
  <si>
    <t>9763-20170724T105048.513558400.bin</t>
  </si>
  <si>
    <t>-692.083357377078 87.5516480141146 -95.6620869247971</t>
  </si>
  <si>
    <t>-700.519414262061 81.1593666685935 -211.005826981728</t>
  </si>
  <si>
    <t>-699.026847026529 78.4879940936978 -309.582088027296</t>
  </si>
  <si>
    <t>-694.746030026241 77.0355159230824 -398.564189423687</t>
  </si>
  <si>
    <t>-687.171027279937 76.5300421848031 -487.337033089729</t>
  </si>
  <si>
    <t>-673.119811634497 76.765439163393 -611.124450012277</t>
  </si>
  <si>
    <t>-629.490368707717 80.3272537702412 -681.756059368001</t>
  </si>
  <si>
    <t>-681.156908489416 104.308412363396 -556.809506936745</t>
  </si>
  <si>
    <t>-684.273714315883 240.808508787353 -541.037850513193</t>
  </si>
  <si>
    <t>-638.493901326838 272.697734771226 -252.111433545406</t>
  </si>
  <si>
    <t>-400.050201772996 251.167656958812 -225.057167007896</t>
  </si>
  <si>
    <t>-677.449177622034 49.0153257691341 -556.493745111982</t>
  </si>
  <si>
    <t>-513.083597864385 14.3890729808254 -310.402114460285</t>
  </si>
  <si>
    <t>-704.372613240283 180.603545093634 -100.929926235072</t>
  </si>
  <si>
    <t>-687.68108452611 189.763960388681 302.173222905844</t>
  </si>
  <si>
    <t>-738.23368456203 240.905088533049 743.802651167465</t>
  </si>
  <si>
    <t>-603.447666665469 189.176220480152 808.950126757176</t>
  </si>
  <si>
    <t>-628.389549437763 -24.0340304698923 307.457658853915</t>
  </si>
  <si>
    <t>-677.930533652357 -17.9540442385503 752.919451178395</t>
  </si>
  <si>
    <t>-572.788090883534 -110.082639168652 827.382059185675</t>
  </si>
  <si>
    <t>9763-20170724T105048.540629900.bin</t>
  </si>
  <si>
    <t>-692.366101421372 86.4760267247073 -95.4881285103895</t>
  </si>
  <si>
    <t>-701.053130497664 80.1252476980492 -210.815559458734</t>
  </si>
  <si>
    <t>-699.793338884373 77.7611958540342 -309.403040696494</t>
  </si>
  <si>
    <t>-695.729037810895 76.7003190245541 -398.400698451049</t>
  </si>
  <si>
    <t>-688.375263759101 76.7036380867276 -487.193505237809</t>
  </si>
  <si>
    <t>-674.637830298476 77.7759261797655 -611.011769894416</t>
  </si>
  <si>
    <t>-630.957627154657 81.8212487773042 -681.585847000444</t>
  </si>
  <si>
    <t>-682.673871394842 104.941539135768 -556.506945579384</t>
  </si>
  <si>
    <t>-686.332928879352 241.33717368223 -539.974961925328</t>
  </si>
  <si>
    <t>-644.528308811688 271.052515547748 -250.215488011239</t>
  </si>
  <si>
    <t>-406.074947277352 250.557982629259 -222.452041533301</t>
  </si>
  <si>
    <t>-678.691927472861 49.666651203368 -556.543927858985</t>
  </si>
  <si>
    <t>-516.027150704315 15.4763598287061 -311.956065700556</t>
  </si>
  <si>
    <t>-704.517996229322 179.415791352083 -100.682094565645</t>
  </si>
  <si>
    <t>-687.632271109021 188.975220279378 302.403733890571</t>
  </si>
  <si>
    <t>-738.341151074802 240.884356439277 743.899823565093</t>
  </si>
  <si>
    <t>-603.512762988916 189.242873940864 809.02833635303</t>
  </si>
  <si>
    <t>-628.662659002317 -24.9025955218769 307.565440789489</t>
  </si>
  <si>
    <t>-677.864163082681 -17.9312834852676 752.975628067297</t>
  </si>
  <si>
    <t>-572.608867980465 -109.974528554477 827.384590958177</t>
  </si>
  <si>
    <t>9763-20170724T105048.612850900.bin</t>
  </si>
  <si>
    <t>-692.22254244628 84.4489604705925 -95.2712620414482</t>
  </si>
  <si>
    <t>-701.366951448455 78.0745839786803 -210.562097224855</t>
  </si>
  <si>
    <t>-700.531741420631 76.2208608730939 -309.164917047929</t>
  </si>
  <si>
    <t>-696.862214582414 75.8407774569264 -398.185315610243</t>
  </si>
  <si>
    <t>-689.913580412755 76.7524726460006 -487.006056799586</t>
  </si>
  <si>
    <t>-676.751860579469 79.3383103560006 -610.864490281911</t>
  </si>
  <si>
    <t>-632.989125515789 84.2343335722846 -681.333439795597</t>
  </si>
  <si>
    <t>-684.844853660981 105.811832544407 -556.028485418232</t>
  </si>
  <si>
    <t>-689.763358445162 242.036847142725 -538.235680340808</t>
  </si>
  <si>
    <t>-648.516667734419 268.446725354333 -248.076429128216</t>
  </si>
  <si>
    <t>-409.599373000003 249.817552998377 -223.128694516661</t>
  </si>
  <si>
    <t>-680.242579699198 50.5890509731828 -556.692479248593</t>
  </si>
  <si>
    <t>-520.131141380975 17.5167215765682 -311.116433666603</t>
  </si>
  <si>
    <t>-704.634485653077 177.347939308173 -100.342983385826</t>
  </si>
  <si>
    <t>-687.090544071882 187.591225931939 302.69783599942</t>
  </si>
  <si>
    <t>-738.541830373008 240.840927892461 743.9608233348</t>
  </si>
  <si>
    <t>-603.659926691438 189.30010430916 809.058384810734</t>
  </si>
  <si>
    <t>-629.157125371732 -26.3628473223794 307.716478109746</t>
  </si>
  <si>
    <t>-677.881675033176 -18.2930377514749 753.081800494428</t>
  </si>
  <si>
    <t>-572.234838363103 -109.935972852314 827.429958340347</t>
  </si>
  <si>
    <t>9763-20170724T105048.640925200.bin</t>
  </si>
  <si>
    <t>-692.089562998517 83.4826452609527 -95.251524608989</t>
  </si>
  <si>
    <t>-701.391939633355 77.1068240062232 -210.529534962828</t>
  </si>
  <si>
    <t>-700.741122628059 75.3692206317546 -309.135955063742</t>
  </si>
  <si>
    <t>-697.257260205565 75.1413456421212 -398.164333736564</t>
  </si>
  <si>
    <t>-690.512500219184 76.2538106320017 -486.998491478645</t>
  </si>
  <si>
    <t>-677.654369379128 79.1719995744863 -610.881432271887</t>
  </si>
  <si>
    <t>-633.836241703441 84.3025987803433 -681.299274720853</t>
  </si>
  <si>
    <t>-685.684709691179 105.492296946876 -555.962625624754</t>
  </si>
  <si>
    <t>-690.938762942674 241.665132292375 -537.830598146816</t>
  </si>
  <si>
    <t>-647.453843464028 267.147445043706 -247.915071262123</t>
  </si>
  <si>
    <t>-408.166220825912 248.110947863121 -227.181062408659</t>
  </si>
  <si>
    <t>-680.94047088645 50.2835074556033 -556.770719432834</t>
  </si>
  <si>
    <t>-520.954503105933 17.5642183295374 -309.556060228019</t>
  </si>
  <si>
    <t>-704.669532470982 176.397541036877 -100.269868252309</t>
  </si>
  <si>
    <t>-686.876294167387 186.973738680489 302.751486099814</t>
  </si>
  <si>
    <t>-738.642540709764 240.789316767111 743.93902794306</t>
  </si>
  <si>
    <t>-603.703503000188 189.383451954695 809.025114860904</t>
  </si>
  <si>
    <t>-629.078898328412 -26.8586377942031 307.722732382772</t>
  </si>
  <si>
    <t>-677.852663304759 -18.4050092558675 753.118830579138</t>
  </si>
  <si>
    <t>-572.113440210644 -109.954719081103 827.450327712566</t>
  </si>
  <si>
    <t>9763-20170724T105048.712122900.bin</t>
  </si>
  <si>
    <t>-691.448510652867 81.6470503694193 -95.3013838011875</t>
  </si>
  <si>
    <t>-701.045432328426 75.2690959954423 -210.555182385298</t>
  </si>
  <si>
    <t>-700.796246362412 73.6554378687315 -309.165500380253</t>
  </si>
  <si>
    <t>-697.734417052113 73.5926226684087 -398.209674954884</t>
  </si>
  <si>
    <t>-691.469835883914 74.9242560763666 -487.076023116914</t>
  </si>
  <si>
    <t>-679.342396775428 78.20677106171 -611.023454021493</t>
  </si>
  <si>
    <t>-635.504930768921 83.6546751904789 -681.405366552328</t>
  </si>
  <si>
    <t>-687.05136367002 104.365179690911 -555.981435419205</t>
  </si>
  <si>
    <t>-692.101205425125 240.501954363687 -537.716010212022</t>
  </si>
  <si>
    <t>-643.277533401884 266.231705100523 -248.673744322254</t>
  </si>
  <si>
    <t>-403.605165662269 244.734177156384 -236.59472018397</t>
  </si>
  <si>
    <t>-682.306823675088 49.1595345727933 -556.979119490226</t>
  </si>
  <si>
    <t>-522.521815488292 17.8657436888464 -307.746069947706</t>
  </si>
  <si>
    <t>-703.889346091748 174.672645781832 -100.289598667484</t>
  </si>
  <si>
    <t>-687.061731262756 186.240971667152 302.74598089808</t>
  </si>
  <si>
    <t>-738.852831833533 240.798214479204 743.892238750844</t>
  </si>
  <si>
    <t>-603.840189766282 189.517087030195 808.923776990566</t>
  </si>
  <si>
    <t>-628.95407628387 -27.6880380347825 307.785902389591</t>
  </si>
  <si>
    <t>-677.664346744043 -18.4093300039463 753.136188772892</t>
  </si>
  <si>
    <t>-571.884854439435 -109.909346456559 827.471451550013</t>
  </si>
  <si>
    <t>9763-20170724T105048.746214600.bin</t>
  </si>
  <si>
    <t>-691.077043081823 81.0742294203947 -95.3240831206409</t>
  </si>
  <si>
    <t>-700.803593292233 74.6903408499957 -210.566731694079</t>
  </si>
  <si>
    <t>-700.704095797376 73.1164890303905 -309.177922571172</t>
  </si>
  <si>
    <t>-697.793292586717 73.1106808487114 -398.227130811137</t>
  </si>
  <si>
    <t>-691.695949876916 74.5215423820357 -487.103864575729</t>
  </si>
  <si>
    <t>-679.819137785925 77.9394898520666 -611.071868743546</t>
  </si>
  <si>
    <t>-635.988651916977 83.4787457823572 -681.45112458608</t>
  </si>
  <si>
    <t>-687.40422676362 104.038728186446 -555.98459488874</t>
  </si>
  <si>
    <t>-692.266750683916 240.207957780665 -537.737747994026</t>
  </si>
  <si>
    <t>-640.910264526193 266.001826694898 -249.140486443099</t>
  </si>
  <si>
    <t>-401.177459079572 243.495956856716 -240.623142595126</t>
  </si>
  <si>
    <t>-682.686683456609 48.8321763959327 -557.054744371199</t>
  </si>
  <si>
    <t>-524.471215510063 19.2518288665012 -308.96879023841</t>
  </si>
  <si>
    <t>-703.400447864271 174.238517110893 -100.342329513613</t>
  </si>
  <si>
    <t>-687.146229254354 186.120871512821 302.707635797661</t>
  </si>
  <si>
    <t>-738.943199384172 240.82892541586 743.845002963253</t>
  </si>
  <si>
    <t>-603.914539791364 189.576077380937 808.865673199912</t>
  </si>
  <si>
    <t>-628.982449298009 -28.2019329377752 307.801943835362</t>
  </si>
  <si>
    <t>-677.647745716754 -18.5680780006719 753.141194616957</t>
  </si>
  <si>
    <t>-571.573805111817 -109.73656849392 827.464356235372</t>
  </si>
  <si>
    <t>9763-20170724T105048.809923400.bin</t>
  </si>
  <si>
    <t>-691.098724253423 81.001630706568 -95.3076856704052</t>
  </si>
  <si>
    <t>-701.048219497294 74.6631847050512 -210.533817761673</t>
  </si>
  <si>
    <t>-701.162730862259 73.1449297455254 -309.145852206669</t>
  </si>
  <si>
    <t>-698.456388371935 73.2023153501659 -398.201554716613</t>
  </si>
  <si>
    <t>-692.575063846344 74.6904747691119 -487.091565361828</t>
  </si>
  <si>
    <t>-681.013340524625 78.2334774168664 -611.085945325291</t>
  </si>
  <si>
    <t>-637.170838468524 83.8529167156439 -681.451328402017</t>
  </si>
  <si>
    <t>-688.429921546332 104.279330525584 -555.950474044456</t>
  </si>
  <si>
    <t>-692.775071510869 240.459197735527 -537.715978289457</t>
  </si>
  <si>
    <t>-636.947951329866 267.417789153345 -250.05685642975</t>
  </si>
  <si>
    <t>-397.275453541093 243.362807515287 -244.643797989625</t>
  </si>
  <si>
    <t>-683.772069874422 49.0692482022152 -557.093715158993</t>
  </si>
  <si>
    <t>-527.364084127582 21.8892392825605 -310.247493601304</t>
  </si>
  <si>
    <t>-703.132430367232 174.121417822005 -100.297092336655</t>
  </si>
  <si>
    <t>-686.783072796116 185.77031103357 302.755858792029</t>
  </si>
  <si>
    <t>-739.05642441416 240.874244552981 743.755193849987</t>
  </si>
  <si>
    <t>-604.085553915003 189.521329230336 808.817022591624</t>
  </si>
  <si>
    <t>-628.888765820664 -28.665677269463 307.745601854055</t>
  </si>
  <si>
    <t>-677.469487742583 -18.5272320731733 753.131196717088</t>
  </si>
  <si>
    <t>-571.868221682837 -110.231181374171 827.468645206068</t>
  </si>
  <si>
    <t>9763-20170724T105048.843011600.bin</t>
  </si>
  <si>
    <t>-691.262164618694 80.9382289413777 -95.2170382408253</t>
  </si>
  <si>
    <t>-701.28613197497 74.6658886721289 -210.440288070664</t>
  </si>
  <si>
    <t>-701.463452969938 73.1748000798266 -309.052623699806</t>
  </si>
  <si>
    <t>-698.81436117356 73.2468472889293 -398.110104723121</t>
  </si>
  <si>
    <t>-692.990963532605 74.739986255677 -487.003833154419</t>
  </si>
  <si>
    <t>-681.511255073735 78.2804620826585 -611.005793209618</t>
  </si>
  <si>
    <t>-637.644248516749 83.8391866446075 -681.360775860948</t>
  </si>
  <si>
    <t>-688.86752879587 104.329397018925 -555.863829587287</t>
  </si>
  <si>
    <t>-692.928954750971 240.523902598854 -537.640216113373</t>
  </si>
  <si>
    <t>-634.975870171374 268.027451825301 -250.453554994325</t>
  </si>
  <si>
    <t>-395.347534905889 243.227636908945 -246.697218064129</t>
  </si>
  <si>
    <t>-684.258282127514 49.1154247355973 -557.013585678787</t>
  </si>
  <si>
    <t>-528.85695051397 23.2003990572525 -310.427470189907</t>
  </si>
  <si>
    <t>-703.042745507416 173.897433179979 -100.158953830503</t>
  </si>
  <si>
    <t>-686.622749841493 185.198231495069 302.901065332387</t>
  </si>
  <si>
    <t>-739.175115073085 240.772890719015 743.77729429221</t>
  </si>
  <si>
    <t>-604.206373941211 189.418558132763 808.84224074879</t>
  </si>
  <si>
    <t>-628.912400854578 -28.9322192735503 307.736440142759</t>
  </si>
  <si>
    <t>-677.493336378854 -18.7349595167809 753.139773845696</t>
  </si>
  <si>
    <t>-571.488846134614 -110.005074247011 827.437145087599</t>
  </si>
  <si>
    <t>9763-20170724T105048.906634300.bin</t>
  </si>
  <si>
    <t>-691.605660185568 80.7109500492959 -94.9577518517863</t>
  </si>
  <si>
    <t>-701.652285095776 74.647925428859 -210.190145983156</t>
  </si>
  <si>
    <t>-701.805377023857 73.2181919938123 -308.803604239157</t>
  </si>
  <si>
    <t>-699.119157190242 73.3024981214953 -397.859871708748</t>
  </si>
  <si>
    <t>-693.244120418241 74.7640192409115 -486.750722880815</t>
  </si>
  <si>
    <t>-681.677767208905 78.2153087352854 -610.747179862986</t>
  </si>
  <si>
    <t>-637.719290567943 83.6003715001391 -681.058600194864</t>
  </si>
  <si>
    <t>-688.981517848923 104.311317161552 -555.620418811031</t>
  </si>
  <si>
    <t>-692.278750056554 240.57534894988 -537.541644094093</t>
  </si>
  <si>
    <t>-631.963292957052 268.087150842919 -250.842639954881</t>
  </si>
  <si>
    <t>-392.404476993263 242.373417680301 -249.703119743231</t>
  </si>
  <si>
    <t>-684.553477815613 49.0817752671273 -556.744647106365</t>
  </si>
  <si>
    <t>-529.980151057615 24.5384847462533 -308.739431292878</t>
  </si>
  <si>
    <t>-702.916414765957 173.193778222667 -99.7802577986046</t>
  </si>
  <si>
    <t>-686.624808426925 183.795565848402 303.303877803417</t>
  </si>
  <si>
    <t>-739.486696653332 240.428809606603 743.955004649607</t>
  </si>
  <si>
    <t>-604.456283994562 189.150078169901 808.951683269637</t>
  </si>
  <si>
    <t>-628.810074249196 -29.5107818148351 307.779244411708</t>
  </si>
  <si>
    <t>-677.403262006302 -18.8526015199027 753.158268405211</t>
  </si>
  <si>
    <t>-571.500608940618 -110.263482031889 827.427959862892</t>
  </si>
  <si>
    <t>9763-20170724T105048.945741300.bin</t>
  </si>
  <si>
    <t>-691.61101490229 80.3515908629752 -94.8627153675264</t>
  </si>
  <si>
    <t>-701.640497327746 74.3391329017031 -210.099325476149</t>
  </si>
  <si>
    <t>-701.730807589854 72.8746317229152 -308.712296004496</t>
  </si>
  <si>
    <t>-698.969503338166 72.8972110516756 -397.766259150006</t>
  </si>
  <si>
    <t>-693.001233413466 74.2657912770715 -486.652478893978</t>
  </si>
  <si>
    <t>-681.286070777017 77.5543846498636 -610.639289752021</t>
  </si>
  <si>
    <t>-637.25393377976 82.7926214199304 -680.915611069521</t>
  </si>
  <si>
    <t>-688.605305865336 103.726610757562 -555.550624805679</t>
  </si>
  <si>
    <t>-691.555361677201 239.995663427831 -537.638418667378</t>
  </si>
  <si>
    <t>-630.070400024457 267.979214422715 -251.23359286711</t>
  </si>
  <si>
    <t>-390.585696991397 241.561275049095 -251.278264878614</t>
  </si>
  <si>
    <t>-684.277264549613 48.4879038567199 -556.60686787024</t>
  </si>
  <si>
    <t>-530.765626525711 25.1320397069337 -308.545157978917</t>
  </si>
  <si>
    <t>-702.711854816897 172.813560242023 -99.6769576709194</t>
  </si>
  <si>
    <t>-686.397491109434 183.446641461343 303.405435514812</t>
  </si>
  <si>
    <t>-739.53869779404 240.586598014413 743.928915319519</t>
  </si>
  <si>
    <t>-604.557837338965 189.171698448264 808.921037360056</t>
  </si>
  <si>
    <t>-628.715040329363 -29.8971002920366 307.779856425246</t>
  </si>
  <si>
    <t>-677.428154065807 -19.0859301654721 753.169270965927</t>
  </si>
  <si>
    <t>-571.12299726846 -110.057121189231 827.403786392406</t>
  </si>
  <si>
    <t>9763-20170724T105049.022085400.bin</t>
  </si>
  <si>
    <t>-691.631793782393 80.4055070298839 -94.7295782360769</t>
  </si>
  <si>
    <t>-701.484683618758 74.4565294324934 -209.984721655945</t>
  </si>
  <si>
    <t>-701.342637186667 72.8481041623577 -308.595333472597</t>
  </si>
  <si>
    <t>-698.340325091949 72.6613659296611 -397.641367459534</t>
  </si>
  <si>
    <t>-692.100825656164 73.7399693623684 -486.512880299503</t>
  </si>
  <si>
    <t>-679.976378739105 76.5378994885143 -610.472446552102</t>
  </si>
  <si>
    <t>-635.75950961868 81.4543226032761 -680.655852998532</t>
  </si>
  <si>
    <t>-687.385967568506 102.934824023473 -555.503159356717</t>
  </si>
  <si>
    <t>-689.780732984515 239.246556649519 -537.892903743783</t>
  </si>
  <si>
    <t>-625.395254171492 268.866004985763 -252.290976044437</t>
  </si>
  <si>
    <t>-385.915652130889 242.483350809963 -254.378100551273</t>
  </si>
  <si>
    <t>-683.237613301755 47.6785574657217 -556.344742707762</t>
  </si>
  <si>
    <t>-529.752650090402 24.753621590949 -307.943304709012</t>
  </si>
  <si>
    <t>-702.375862902367 173.025876033625 -99.5497073909148</t>
  </si>
  <si>
    <t>-686.409881787528 183.245450240458 303.557458478792</t>
  </si>
  <si>
    <t>-739.65682169317 240.861056522948 743.944494262049</t>
  </si>
  <si>
    <t>-604.755677901181 189.221094437955 808.923321553204</t>
  </si>
  <si>
    <t>-628.769924062239 -30.1309748141764 307.821633226036</t>
  </si>
  <si>
    <t>-677.379525069727 -19.2731498976154 753.20607801191</t>
  </si>
  <si>
    <t>-571.123198950793 -110.32632271846 827.410065517383</t>
  </si>
  <si>
    <t>9763-20170724T105049.046151600.bin</t>
  </si>
  <si>
    <t>-691.597283889262 80.8558000200696 -94.6453758084148</t>
  </si>
  <si>
    <t>-701.358595109192 74.9475417789251 -209.910455776016</t>
  </si>
  <si>
    <t>-701.081836890332 73.2578809895251 -308.51939309651</t>
  </si>
  <si>
    <t>-697.935977875386 72.9499685163394 -397.56015396863</t>
  </si>
  <si>
    <t>-691.531482136106 73.8583648177209 -486.42179202795</t>
  </si>
  <si>
    <t>-679.153907454976 76.3656730346299 -610.362582035454</t>
  </si>
  <si>
    <t>-634.866726915577 81.0843015483376 -680.515392886813</t>
  </si>
  <si>
    <t>-686.616905431865 102.895575210301 -555.464684673743</t>
  </si>
  <si>
    <t>-688.748209722945 239.243486023187 -538.129406987723</t>
  </si>
  <si>
    <t>-622.930390500921 269.746842613523 -252.947567629956</t>
  </si>
  <si>
    <t>-383.408383850849 243.828316991626 -255.824332069708</t>
  </si>
  <si>
    <t>-682.584323340957 47.6290591573918 -556.180035648489</t>
  </si>
  <si>
    <t>-529.101288422575 24.6022129977141 -308.336487391548</t>
  </si>
  <si>
    <t>-702.214654681924 173.183628696926 -99.4516720765884</t>
  </si>
  <si>
    <t>-686.439742695776 183.424677786425 303.662379059907</t>
  </si>
  <si>
    <t>-739.760638764071 240.885354724762 744.032375893759</t>
  </si>
  <si>
    <t>-604.882157788258 189.14100387669 808.975632558993</t>
  </si>
  <si>
    <t>-628.604415059013 -30.3317495485394 307.833091582439</t>
  </si>
  <si>
    <t>-677.31412172802 -19.2832798167633 753.236853228163</t>
  </si>
  <si>
    <t>-571.19425706769 -110.512205819272 827.420131264408</t>
  </si>
  <si>
    <t>9763-20170724T105049.110262000.bin</t>
  </si>
  <si>
    <t>-691.611751965072 81.9725844639465 -94.4453041089781</t>
  </si>
  <si>
    <t>-701.238115680239 76.0991278927274 -209.723463203827</t>
  </si>
  <si>
    <t>-700.74539688032 74.1731336948969 -308.327212976436</t>
  </si>
  <si>
    <t>-697.365912322189 73.5460059752738 -397.357714794926</t>
  </si>
  <si>
    <t>-690.69121122872 74.0278510693058 -486.202986617058</t>
  </si>
  <si>
    <t>-677.898874279228 75.8264166143988 -610.113843256787</t>
  </si>
  <si>
    <t>-633.529405290203 80.0686663256233 -680.245070991168</t>
  </si>
  <si>
    <t>-685.455851520459 102.676102585583 -555.384680132269</t>
  </si>
  <si>
    <t>-687.230958945999 239.120159311287 -538.638569609998</t>
  </si>
  <si>
    <t>-618.210299487652 270.637107518971 -254.325376762675</t>
  </si>
  <si>
    <t>-378.549095472085 245.977490083791 -256.620600796446</t>
  </si>
  <si>
    <t>-681.600504781597 47.3938550435366 -555.789100757071</t>
  </si>
  <si>
    <t>-527.931735745363 25.0701246644574 -308.44705763107</t>
  </si>
  <si>
    <t>-702.280901209365 174.137203223684 -99.3007883169752</t>
  </si>
  <si>
    <t>-686.714584973615 183.785814933296 303.835991825242</t>
  </si>
  <si>
    <t>-740.000788292739 240.896580617556 744.264817872743</t>
  </si>
  <si>
    <t>-605.184415657061 188.919883377093 809.15111692242</t>
  </si>
  <si>
    <t>-628.944252768314 -30.5445733087079 307.959513989482</t>
  </si>
  <si>
    <t>-677.403577748161 -19.7490705906091 753.327361977428</t>
  </si>
  <si>
    <t>-570.781193201998 -110.454453775978 827.431923784834</t>
  </si>
  <si>
    <t>9763-20170724T105049.146348800.bin</t>
  </si>
  <si>
    <t>-691.536767900363 82.2134566249174 -94.3927138796089</t>
  </si>
  <si>
    <t>-701.125880498786 76.3391161929105 -209.673985761232</t>
  </si>
  <si>
    <t>-700.553784552726 74.2784508560178 -308.274655744132</t>
  </si>
  <si>
    <t>-697.085078717109 73.4775444483398 -397.300245238115</t>
  </si>
  <si>
    <t>-690.304180281938 73.7331577395182 -486.138329070172</t>
  </si>
  <si>
    <t>-677.346948666667 75.1611697463591 -610.036982284236</t>
  </si>
  <si>
    <t>-632.968456899099 79.1740136476792 -680.175998378849</t>
  </si>
  <si>
    <t>-684.939616078764 102.176974654211 -555.394443661496</t>
  </si>
  <si>
    <t>-686.514534660255 238.641413057724 -538.973863352261</t>
  </si>
  <si>
    <t>-615.801941302288 270.737976208463 -255.141536896485</t>
  </si>
  <si>
    <t>-376.105629025019 246.399271754195 -257.179711329784</t>
  </si>
  <si>
    <t>-681.158044511024 46.8886428416465 -555.636080550209</t>
  </si>
  <si>
    <t>-527.645444300431 25.3722474313004 -308.592116158512</t>
  </si>
  <si>
    <t>-702.036302059754 174.413970645442 -99.2556120475466</t>
  </si>
  <si>
    <t>-686.619869759378 183.996106346809 303.88851696169</t>
  </si>
  <si>
    <t>-740.07565943853 240.987321054439 744.322170574638</t>
  </si>
  <si>
    <t>-605.292084898272 188.899569250132 809.187806526713</t>
  </si>
  <si>
    <t>-629.01309733221 -30.4622721903909 307.986851382885</t>
  </si>
  <si>
    <t>-677.424595572918 -19.939144378523 753.371788665848</t>
  </si>
  <si>
    <t>-570.568901683484 -110.397048227971 827.442955016874</t>
  </si>
  <si>
    <t>9763-20170724T105049.209543800.bin</t>
  </si>
  <si>
    <t>-691.217347889306 82.6567733877757 -94.3288041924617</t>
  </si>
  <si>
    <t>-700.800585535875 76.7553555264826 -209.609253796194</t>
  </si>
  <si>
    <t>-700.178421597115 74.4187282376167 -308.203348083647</t>
  </si>
  <si>
    <t>-696.649064938365 73.2683732603916 -397.222770419409</t>
  </si>
  <si>
    <t>-689.79302194533 73.0742684121612 -486.055189361998</t>
  </si>
  <si>
    <t>-676.71642808899 73.7680593564194 -609.947664664297</t>
  </si>
  <si>
    <t>-632.437483526819 77.3317862664958 -680.173770939028</t>
  </si>
  <si>
    <t>-684.26930784054 101.113319579658 -555.463742247368</t>
  </si>
  <si>
    <t>-685.308238933534 237.654131659026 -539.610027081544</t>
  </si>
  <si>
    <t>-610.772580572534 271.55187539316 -256.967896234052</t>
  </si>
  <si>
    <t>-371.092248653646 247.011315627665 -258.376483180557</t>
  </si>
  <si>
    <t>-680.672018089367 45.8121919162622 -555.393785505968</t>
  </si>
  <si>
    <t>-527.968878997922 26.8240888017135 -309.16533932803</t>
  </si>
  <si>
    <t>-701.516226907616 175.077477562683 -99.1814855616866</t>
  </si>
  <si>
    <t>-686.416420784614 184.155254536902 303.986325113606</t>
  </si>
  <si>
    <t>-740.295592691607 241.128222965767 744.432094927413</t>
  </si>
  <si>
    <t>-605.579311643513 188.779429689912 809.22738076049</t>
  </si>
  <si>
    <t>-628.933731676821 -30.1848712252131 308.101930962547</t>
  </si>
  <si>
    <t>-677.42034484176 -20.2894645776037 753.447094044686</t>
  </si>
  <si>
    <t>-570.310434532274 -110.470463566656 827.488681296566</t>
  </si>
  <si>
    <t>9763-20170724T105049.241628800.bin</t>
  </si>
  <si>
    <t>-690.94941650881 82.9276606470737 -94.3179605705802</t>
  </si>
  <si>
    <t>-700.51769702416 77.000566461126 -209.598244907241</t>
  </si>
  <si>
    <t>-699.87861866179 74.5208311478088 -308.188703556979</t>
  </si>
  <si>
    <t>-696.332719128512 73.192410057268 -397.205090042001</t>
  </si>
  <si>
    <t>-689.459477386995 72.7700740324221 -486.035348491523</t>
  </si>
  <si>
    <t>-676.358333143899 73.0917575687943 -609.926806370661</t>
  </si>
  <si>
    <t>-632.187941183746 76.4167337326073 -680.232727724124</t>
  </si>
  <si>
    <t>-683.854945840269 100.604856717251 -555.519445911383</t>
  </si>
  <si>
    <t>-684.496586430004 237.188721678746 -539.942620481445</t>
  </si>
  <si>
    <t>-608.062141978394 272.111864500653 -257.933010535311</t>
  </si>
  <si>
    <t>-368.376160122227 247.604817018439 -258.877102797839</t>
  </si>
  <si>
    <t>-680.392137238719 45.2954788712188 -555.296993820005</t>
  </si>
  <si>
    <t>-527.681890108501 26.7503720549309 -309.344254922001</t>
  </si>
  <si>
    <t>-701.182808038305 175.369957525607 -99.1682646613261</t>
  </si>
  <si>
    <t>-686.164206411299 184.169323161835 304.008691410872</t>
  </si>
  <si>
    <t>-740.40342412038 241.129443708222 744.457046727605</t>
  </si>
  <si>
    <t>-605.737695309111 188.617570090337 809.225383308602</t>
  </si>
  <si>
    <t>-628.927722924448 -30.0513692715449 308.183988735826</t>
  </si>
  <si>
    <t>-677.380195366705 -20.4125280390667 753.461012761212</t>
  </si>
  <si>
    <t>-570.330183857062 -110.650863910471 827.51928831066</t>
  </si>
  <si>
    <t>9763-20170724T105049.312624400.bin</t>
  </si>
  <si>
    <t>-690.024238316769 83.7464834866294 -94.3357005949249</t>
  </si>
  <si>
    <t>-699.516837679791 77.7739993277537 -209.619842791321</t>
  </si>
  <si>
    <t>-698.745876654418 75.0648253783911 -308.203566130446</t>
  </si>
  <si>
    <t>-695.055620068041 73.4531700719726 -397.209285393191</t>
  </si>
  <si>
    <t>-688.013632664929 72.669317098884 -486.023907967565</t>
  </si>
  <si>
    <t>-674.651772702585 72.402980573871 -609.887517518737</t>
  </si>
  <si>
    <t>-630.825559219661 75.3354359823875 -680.426089116808</t>
  </si>
  <si>
    <t>-682.139447745017 100.181574085534 -555.614141252959</t>
  </si>
  <si>
    <t>-682.039324817081 236.811452957519 -540.48954861373</t>
  </si>
  <si>
    <t>-602.233497986059 273.358876769796 -259.62217555142</t>
  </si>
  <si>
    <t>-362.463327319611 249.684283557672 -258.801043820735</t>
  </si>
  <si>
    <t>-678.923843972141 44.8587833673664 -555.148380311267</t>
  </si>
  <si>
    <t>-526.337479467827 27.0550998586098 -309.113988940985</t>
  </si>
  <si>
    <t>-700.221506994359 176.21327203632 -99.2426019626258</t>
  </si>
  <si>
    <t>-685.360178669934 184.624062213858 303.948480344989</t>
  </si>
  <si>
    <t>-740.518521748738 241.391802081325 744.357850481492</t>
  </si>
  <si>
    <t>-605.917812473312 188.684404197988 809.102797621991</t>
  </si>
  <si>
    <t>-628.400660092246 -29.8933926694376 308.248219556711</t>
  </si>
  <si>
    <t>-677.280954106651 -20.6191298082433 753.46489479997</t>
  </si>
  <si>
    <t>-570.193331420753 -110.783663408828 827.558843145183</t>
  </si>
  <si>
    <t>9763-20170724T105049.341700900.bin</t>
  </si>
  <si>
    <t>-689.43593892507 84.1081157394444 -94.3748599683345</t>
  </si>
  <si>
    <t>-698.860115010841 78.1293425031224 -209.664416223566</t>
  </si>
  <si>
    <t>-697.976929303113 75.3234592786 -308.244201932392</t>
  </si>
  <si>
    <t>-694.164541968881 73.5881776269725 -397.24249589212</t>
  </si>
  <si>
    <t>-686.980217166682 72.6433510476902 -486.044233715088</t>
  </si>
  <si>
    <t>-673.39871514406 72.112627181275 -609.883161420344</t>
  </si>
  <si>
    <t>-629.826637195102 74.8674427430469 -680.586167717198</t>
  </si>
  <si>
    <t>-680.910699728002 100.011269714596 -555.674667496127</t>
  </si>
  <si>
    <t>-680.32646520805 236.664867940959 -540.727871638581</t>
  </si>
  <si>
    <t>-599.333827108351 273.894527199894 -260.290176481701</t>
  </si>
  <si>
    <t>-359.518258799188 250.72095147471 -258.746598335825</t>
  </si>
  <si>
    <t>-677.839875932695 44.6812515219046 -555.100794608608</t>
  </si>
  <si>
    <t>-525.47422964956 27.0836587099504 -308.97624021528</t>
  </si>
  <si>
    <t>-699.482248888319 176.614395443918 -99.315429944226</t>
  </si>
  <si>
    <t>-685.003449741961 184.946229948881 303.891251816432</t>
  </si>
  <si>
    <t>-740.561753310009 241.499729917356 744.29626194177</t>
  </si>
  <si>
    <t>-605.987174079182 188.723087798284 809.038661835924</t>
  </si>
  <si>
    <t>-628.205431650602 -29.7840463573907 308.255894858965</t>
  </si>
  <si>
    <t>-677.237384613797 -20.7249570370755 753.462275142622</t>
  </si>
  <si>
    <t>-570.118274395108 -110.838439298086 827.572629858335</t>
  </si>
  <si>
    <t>9763-20170724T105049.410896700.bin</t>
  </si>
  <si>
    <t>-688.131874116886 84.7528731545447 -94.4941421372822</t>
  </si>
  <si>
    <t>-697.338616180591 78.7701840531136 -209.800913883595</t>
  </si>
  <si>
    <t>-696.2172236137 75.8027356193629 -308.373716119658</t>
  </si>
  <si>
    <t>-692.170047558029 73.8600513929346 -397.357434756912</t>
  </si>
  <si>
    <t>-684.732498044259 72.6443839040394 -486.134895743431</t>
  </si>
  <si>
    <t>-670.778700900092 71.6680555718569 -609.929647515805</t>
  </si>
  <si>
    <t>-627.860065685654 74.0655102718592 -681.044125818458</t>
  </si>
  <si>
    <t>-678.304151754153 99.7696579839901 -555.828147737571</t>
  </si>
  <si>
    <t>-676.752466932052 236.434662555348 -541.110436576079</t>
  </si>
  <si>
    <t>-593.455758700256 274.405325547496 -261.447857955813</t>
  </si>
  <si>
    <t>-353.565666688833 252.195346199038 -258.237465228382</t>
  </si>
  <si>
    <t>-675.534112268779 44.4257733645136 -555.079336893938</t>
  </si>
  <si>
    <t>-523.902144386054 27.3011383895662 -309.038314648593</t>
  </si>
  <si>
    <t>-697.984268746045 177.410248144002 -99.4881843330189</t>
  </si>
  <si>
    <t>-684.432005795511 185.63840523887 303.752792988208</t>
  </si>
  <si>
    <t>-740.651353364664 241.701902272092 744.194810945104</t>
  </si>
  <si>
    <t>-606.108315988349 188.824130234952 808.920471085723</t>
  </si>
  <si>
    <t>-627.914405644634 -29.4318490224857 308.255332767299</t>
  </si>
  <si>
    <t>-677.104733682432 -20.7915291410602 753.445435782204</t>
  </si>
  <si>
    <t>-570.036617815587 -110.947632583027 827.577709377413</t>
  </si>
  <si>
    <t>9763-20170724T105049.443978900.bin</t>
  </si>
  <si>
    <t>-687.582975693592 85.1058429648251 -94.5325685419377</t>
  </si>
  <si>
    <t>-696.679035253703 79.1489392471565 -209.849457620788</t>
  </si>
  <si>
    <t>-695.460789113225 76.1223813987472 -308.419313923257</t>
  </si>
  <si>
    <t>-691.326337697665 74.0953699018128 -397.397059237173</t>
  </si>
  <si>
    <t>-683.801949314018 72.7634694819421 -486.165553499873</t>
  </si>
  <si>
    <t>-669.727567210265 71.5912340192256 -609.944952364143</t>
  </si>
  <si>
    <t>-627.199622910095 73.79023536453 -681.300202692525</t>
  </si>
  <si>
    <t>-677.227799642038 99.7822519541376 -555.886592030463</t>
  </si>
  <si>
    <t>-675.179400584101 236.457963709864 -541.235493326696</t>
  </si>
  <si>
    <t>-590.598899972713 274.527093804023 -261.972059132304</t>
  </si>
  <si>
    <t>-350.668588411335 252.951701126229 -257.634581245395</t>
  </si>
  <si>
    <t>-674.614049733484 44.4319175364501 -555.065207312591</t>
  </si>
  <si>
    <t>-522.781483730503 26.9710792856968 -309.029096057061</t>
  </si>
  <si>
    <t>-697.294428949212 177.867347171041 -99.5450739069855</t>
  </si>
  <si>
    <t>-684.110536273995 185.956568972114 303.711006181115</t>
  </si>
  <si>
    <t>-740.711727378034 241.766671723038 744.178585306189</t>
  </si>
  <si>
    <t>-606.211779373273 188.761616707145 808.889513640858</t>
  </si>
  <si>
    <t>-627.862247698936 -29.2947550317604 308.254073269611</t>
  </si>
  <si>
    <t>-677.046308536009 -20.8171022862036 753.434274612202</t>
  </si>
  <si>
    <t>-570.201097543589 -111.220494135214 827.587076694112</t>
  </si>
  <si>
    <t>9763-20170724T105049.512166000.bin</t>
  </si>
  <si>
    <t>-686.442273189235 85.8289082783003 -94.5361972445178</t>
  </si>
  <si>
    <t>-695.431922010421 79.9090126541967 -209.863450542127</t>
  </si>
  <si>
    <t>-694.086159138385 76.7225542267088 -308.42652819986</t>
  </si>
  <si>
    <t>-689.823518272596 74.4766652253459 -397.393024089638</t>
  </si>
  <si>
    <t>-682.159118509377 72.8493759134417 -486.144660044518</t>
  </si>
  <si>
    <t>-667.877609854591 71.1836503370557 -609.894690828483</t>
  </si>
  <si>
    <t>-626.084357473678 72.9200834690544 -681.69534810427</t>
  </si>
  <si>
    <t>-675.293172651058 99.5981341769543 -555.941511835524</t>
  </si>
  <si>
    <t>-672.179442240145 236.275851329887 -541.503994819221</t>
  </si>
  <si>
    <t>-585.116396655244 274.976950550577 -263.091705166834</t>
  </si>
  <si>
    <t>-345.164586016363 254.473651966661 -255.766086234262</t>
  </si>
  <si>
    <t>-673.031062803902 44.2352697937854 -554.935258623806</t>
  </si>
  <si>
    <t>-520.673238259708 26.1364770768266 -308.74956742263</t>
  </si>
  <si>
    <t>-695.757294862662 178.457863868937 -99.5419693832307</t>
  </si>
  <si>
    <t>-683.312135683141 186.2656984506 303.743066642472</t>
  </si>
  <si>
    <t>-740.915260407543 241.722073662641 744.174247150523</t>
  </si>
  <si>
    <t>-606.290982616119 188.928212778473 808.79967297129</t>
  </si>
  <si>
    <t>-627.624367875282 -29.4091179213956 308.288872791697</t>
  </si>
  <si>
    <t>-676.956670764826 -20.9971109067151 753.410970804587</t>
  </si>
  <si>
    <t>-570.107381918769 -111.374545328004 827.589418393714</t>
  </si>
  <si>
    <t>9763-20170724T105049.544254100.bin</t>
  </si>
  <si>
    <t>-685.964913917822 86.2521049932086 -94.5850178635757</t>
  </si>
  <si>
    <t>-694.917217177476 80.3100006527709 -209.913950302622</t>
  </si>
  <si>
    <t>-693.522806015788 77.0099099245451 -308.472777126883</t>
  </si>
  <si>
    <t>-689.21056444852 74.624079372016 -397.433191384371</t>
  </si>
  <si>
    <t>-681.490996382627 72.8178133609258 -486.176521144747</t>
  </si>
  <si>
    <t>-667.126921377374 70.8601748565163 -609.912780632609</t>
  </si>
  <si>
    <t>-625.704646370505 72.3498669806138 -681.933560074706</t>
  </si>
  <si>
    <t>-674.477487787296 99.405986999516 -556.020060309747</t>
  </si>
  <si>
    <t>-670.862911949996 236.09049747564 -541.800831377473</t>
  </si>
  <si>
    <t>-582.885169867205 275.382667311402 -263.759079441347</t>
  </si>
  <si>
    <t>-342.980717955447 255.308168101263 -254.077457284968</t>
  </si>
  <si>
    <t>-672.418180200611 44.0373242293849 -554.905046589702</t>
  </si>
  <si>
    <t>-519.367081475907 24.92359881992 -308.543473397678</t>
  </si>
  <si>
    <t>-695.172026456136 178.896299600303 -99.6193688648349</t>
  </si>
  <si>
    <t>-682.944652870554 186.591010591797 303.674511461484</t>
  </si>
  <si>
    <t>-740.981888476195 241.700745032761 744.098105860107</t>
  </si>
  <si>
    <t>-606.306414316554 189.01173719339 808.702577875501</t>
  </si>
  <si>
    <t>-627.729314443024 -29.2136494001527 308.28770697648</t>
  </si>
  <si>
    <t>-676.81497006072 -20.9125553215024 753.371141964727</t>
  </si>
  <si>
    <t>-570.229613797433 -111.568961989266 827.588846306432</t>
  </si>
  <si>
    <t>9763-20170724T105049.609433700.bin</t>
  </si>
  <si>
    <t>-685.206676746408 86.9492605279088 -94.8312301980188</t>
  </si>
  <si>
    <t>-694.051612316016 80.9367157661479 -210.16476052859</t>
  </si>
  <si>
    <t>-692.520272877609 77.3940183277268 -308.713163633135</t>
  </si>
  <si>
    <t>-688.067511154428 74.7158952576356 -397.65827912395</t>
  </si>
  <si>
    <t>-680.191370917693 72.5398173718697 -486.3796026253</t>
  </si>
  <si>
    <t>-665.592624033545 69.9820983604038 -610.077401377508</t>
  </si>
  <si>
    <t>-624.885521290246 70.9536057599844 -682.51358863227</t>
  </si>
  <si>
    <t>-672.816404621975 98.7969972777028 -556.311019281586</t>
  </si>
  <si>
    <t>-668.070083157216 235.490066515204 -542.526190429313</t>
  </si>
  <si>
    <t>-579.654022125767 275.568098184909 -264.735566260322</t>
  </si>
  <si>
    <t>-340.003824596751 256.457414412183 -248.817434051925</t>
  </si>
  <si>
    <t>-671.217258646759 43.4182073524421 -554.977102786143</t>
  </si>
  <si>
    <t>-517.628442294167 23.0620181159738 -307.899979659807</t>
  </si>
  <si>
    <t>-694.177030016076 179.590937213276 -99.9082477739604</t>
  </si>
  <si>
    <t>-682.061711119769 187.154454176854 303.391467854585</t>
  </si>
  <si>
    <t>-741.046023717301 241.756773704149 743.808058145182</t>
  </si>
  <si>
    <t>-606.321110929419 189.208049783707 808.423423834825</t>
  </si>
  <si>
    <t>-628.236872499846 -28.5760269339737 308.264646132757</t>
  </si>
  <si>
    <t>-676.741235583853 -21.0091310978348 753.368838411063</t>
  </si>
  <si>
    <t>-570.523867679787 -112.056262956833 827.635811861201</t>
  </si>
  <si>
    <t>9763-20170724T105049.641518000.bin</t>
  </si>
  <si>
    <t>-684.962467016172 87.1906046236797 -94.9748007184402</t>
  </si>
  <si>
    <t>-693.753481129213 81.140302972648 -210.310515281008</t>
  </si>
  <si>
    <t>-692.12996322387 77.5062535684763 -308.853922349892</t>
  </si>
  <si>
    <t>-687.575520299788 74.7204535361604 -397.790676433654</t>
  </si>
  <si>
    <t>-679.579862099142 72.4085586545891 -486.497832313891</t>
  </si>
  <si>
    <t>-664.795543197015 69.6299440937451 -610.168865560499</t>
  </si>
  <si>
    <t>-624.420879731164 70.3253173023199 -682.794159125595</t>
  </si>
  <si>
    <t>-671.986393262137 98.5443684997506 -556.451392985473</t>
  </si>
  <si>
    <t>-666.592062508671 235.221023165266 -542.733769135041</t>
  </si>
  <si>
    <t>-578.463188859925 275.130828552928 -264.827837152463</t>
  </si>
  <si>
    <t>-339.032750911529 256.776960830794 -245.153778600135</t>
  </si>
  <si>
    <t>-670.616448599799 43.1610997127843 -555.043258281973</t>
  </si>
  <si>
    <t>-516.984170706139 22.2200566690412 -307.433006681719</t>
  </si>
  <si>
    <t>-694.125918073988 180.010446828704 -100.097559768984</t>
  </si>
  <si>
    <t>-681.658118914006 187.369477328897 303.195197834453</t>
  </si>
  <si>
    <t>-741.035471393433 241.90845104082 743.651924553712</t>
  </si>
  <si>
    <t>-606.362919749866 189.247916910887 808.285434423111</t>
  </si>
  <si>
    <t>-628.224323651167 -28.2855845919671 308.254734773808</t>
  </si>
  <si>
    <t>-676.632886845492 -20.9169763292714 753.340504674739</t>
  </si>
  <si>
    <t>-570.547684270882 -112.094988640833 827.635697552462</t>
  </si>
  <si>
    <t>9763-20170724T105049.710712000.bin</t>
  </si>
  <si>
    <t>-685.187072141273 87.2503497086027 -95.2695875246206</t>
  </si>
  <si>
    <t>-693.85622730866 81.0597450218327 -210.607112483471</t>
  </si>
  <si>
    <t>-692.047230951164 77.3142355961247 -309.143161158823</t>
  </si>
  <si>
    <t>-687.291578340388 74.4223276283083 -398.066028505248</t>
  </si>
  <si>
    <t>-679.060855825905 71.9933672157993 -486.748605903577</t>
  </si>
  <si>
    <t>-663.912539594211 69.0347094762674 -610.371270810376</t>
  </si>
  <si>
    <t>-624.210361363211 69.1773760683698 -683.369491074095</t>
  </si>
  <si>
    <t>-671.116464891201 98.0310283833674 -556.699692340506</t>
  </si>
  <si>
    <t>-664.779189399346 234.671875637614 -542.937535592663</t>
  </si>
  <si>
    <t>-577.181077637048 273.156309945869 -264.663033630395</t>
  </si>
  <si>
    <t>-338.479155297641 256.677947664618 -236.365475892011</t>
  </si>
  <si>
    <t>-670.040693298836 42.6424838680312 -555.24229609983</t>
  </si>
  <si>
    <t>-516.205127856208 20.8769551880798 -306.653422657749</t>
  </si>
  <si>
    <t>-695.124412185367 180.520580019449 -100.505811971119</t>
  </si>
  <si>
    <t>-681.833970377661 188.024802456649 302.757954894209</t>
  </si>
  <si>
    <t>-740.988858808815 242.198217738103 743.362373283469</t>
  </si>
  <si>
    <t>-606.321022740808 189.564570794062 808.027582468454</t>
  </si>
  <si>
    <t>-628.281588827836 -27.9989106259361 308.170747297722</t>
  </si>
  <si>
    <t>-676.576360234459 -20.9791412516745 753.260346780479</t>
  </si>
  <si>
    <t>-570.499400287603 -112.133962608352 827.596014677421</t>
  </si>
  <si>
    <t>9763-20170724T105049.742797400.bin</t>
  </si>
  <si>
    <t>-685.5421965089 87.4865196694311 -95.4165257453652</t>
  </si>
  <si>
    <t>-694.130003861802 81.1878291014075 -210.754376764848</t>
  </si>
  <si>
    <t>-692.245713176978 77.365042959487 -309.286038306849</t>
  </si>
  <si>
    <t>-687.418348814933 74.4022857837042 -398.202595346948</t>
  </si>
  <si>
    <t>-679.111832761046 71.8982194461967 -486.875968803081</t>
  </si>
  <si>
    <t>-663.853609719336 68.8269797887315 -610.48249820988</t>
  </si>
  <si>
    <t>-624.458626398814 68.7051160502288 -683.646920472234</t>
  </si>
  <si>
    <t>-671.079898282022 97.8725804517796 -556.840664866613</t>
  </si>
  <si>
    <t>-664.488487163272 234.49355258015 -543.064910443407</t>
  </si>
  <si>
    <t>-577.184357774953 271.690098093693 -264.522905018992</t>
  </si>
  <si>
    <t>-338.903924959965 256.948310252739 -232.026522355388</t>
  </si>
  <si>
    <t>-670.056159593757 42.4842659382216 -555.338081770679</t>
  </si>
  <si>
    <t>-515.791283478504 20.5429596779877 -306.449333883322</t>
  </si>
  <si>
    <t>-695.833827615171 180.86688442803 -100.769944142152</t>
  </si>
  <si>
    <t>-682.411837377306 188.602254223734 302.485171632848</t>
  </si>
  <si>
    <t>-740.920253136953 242.347198557507 743.221848169936</t>
  </si>
  <si>
    <t>-606.242943150897 189.796646809911 807.934528597673</t>
  </si>
  <si>
    <t>-628.183643247062 -27.7356006565919 308.085388902674</t>
  </si>
  <si>
    <t>-676.427844684484 -20.7501916989297 753.198870570497</t>
  </si>
  <si>
    <t>-570.885779119569 -112.478853993975 827.589864150325</t>
  </si>
  <si>
    <t>9763-20170724T105049.814007000.bin</t>
  </si>
  <si>
    <t>-686.632177089704 88.2241699349745 -95.6626795373196</t>
  </si>
  <si>
    <t>-695.121690842212 81.6857772410915 -210.994325905167</t>
  </si>
  <si>
    <t>-693.149016463456 77.6219735698855 -309.514639341732</t>
  </si>
  <si>
    <t>-688.238760591038 74.4106983250942 -398.418129268409</t>
  </si>
  <si>
    <t>-679.846382828647 71.6233043358309 -487.074879451825</t>
  </si>
  <si>
    <t>-664.464125848085 68.1127594445684 -610.654369885992</t>
  </si>
  <si>
    <t>-625.610488809717 67.6242621523088 -684.106275404162</t>
  </si>
  <si>
    <t>-671.780994220783 97.348089194172 -557.127998186529</t>
  </si>
  <si>
    <t>-665.192511717976 234.015108866842 -543.559751711002</t>
  </si>
  <si>
    <t>-579.703667191839 268.978243527963 -264.16682847286</t>
  </si>
  <si>
    <t>-342.26095933399 257.575121166419 -224.901059347454</t>
  </si>
  <si>
    <t>-670.685090504917 41.9671435269731 -555.418331555484</t>
  </si>
  <si>
    <t>-515.594222953734 21.4264407885362 -306.586650802692</t>
  </si>
  <si>
    <t>-698.137499487078 181.777500987006 -101.241211437493</t>
  </si>
  <si>
    <t>-683.667559667237 189.805538749876 301.971913336668</t>
  </si>
  <si>
    <t>-740.751353840151 242.591547125883 743.002815530675</t>
  </si>
  <si>
    <t>-606.076775041564 190.169029726273 807.82522945622</t>
  </si>
  <si>
    <t>-627.855521663341 -27.266947729443 307.99790992638</t>
  </si>
  <si>
    <t>-676.423620667127 -20.8814935491087 753.096165275042</t>
  </si>
  <si>
    <t>-570.874167985176 -112.563309339767 827.534383296319</t>
  </si>
  <si>
    <t>9763-20170724T105049.843074000.bin</t>
  </si>
  <si>
    <t>-687.003948675765 88.2749037056631 -95.7811725550304</t>
  </si>
  <si>
    <t>-695.496833185708 81.6224046426053 -211.106127936068</t>
  </si>
  <si>
    <t>-693.518680164483 77.4059205288745 -309.619973195662</t>
  </si>
  <si>
    <t>-688.600305532144 74.029187048719 -398.516775263499</t>
  </si>
  <si>
    <t>-680.196957655474 71.0485724918324 -487.166259481675</t>
  </si>
  <si>
    <t>-664.797091603503 67.2371027269121 -610.734620458546</t>
  </si>
  <si>
    <t>-626.232393075516 66.630305875532 -684.337753273087</t>
  </si>
  <si>
    <t>-672.185908508465 96.6010069998504 -557.28865778359</t>
  </si>
  <si>
    <t>-666.084344145325 233.315120616005 -544.111043563846</t>
  </si>
  <si>
    <t>-582.598205737978 268.848557731804 -264.184823542769</t>
  </si>
  <si>
    <t>-345.395796406286 257.431355848812 -223.496800251033</t>
  </si>
  <si>
    <t>-670.961690055697 41.2277093072041 -555.428002695045</t>
  </si>
  <si>
    <t>-515.508384687132 21.7880811761195 -306.701599542571</t>
  </si>
  <si>
    <t>-698.89010217242 181.827901932362 -101.42763961803</t>
  </si>
  <si>
    <t>-684.226386302459 190.178148131558 301.771947951987</t>
  </si>
  <si>
    <t>-740.655110359663 242.712744770227 742.911745936526</t>
  </si>
  <si>
    <t>-605.928119187407 190.483496203231 807.780858401438</t>
  </si>
  <si>
    <t>-627.862304698644 -26.8576327482565 307.978013624369</t>
  </si>
  <si>
    <t>-676.412102433842 -20.8873683010213 753.072264160813</t>
  </si>
  <si>
    <t>-571.043110949473 -112.760749204176 827.529988515806</t>
  </si>
  <si>
    <t>9763-20170724T105049.911889000.bin</t>
  </si>
  <si>
    <t>-687.74065974511 87.8168217885327 -96.0116407195524</t>
  </si>
  <si>
    <t>-696.298007717129 80.9182614130416 -211.317401474066</t>
  </si>
  <si>
    <t>-694.49290332672 76.2818153986889 -309.815558694536</t>
  </si>
  <si>
    <t>-689.780247377241 72.4390860944736 -398.704670578328</t>
  </si>
  <si>
    <t>-681.633276728393 68.9093686217693 -487.357938294664</t>
  </si>
  <si>
    <t>-666.645700635892 64.2443722004623 -610.947748426753</t>
  </si>
  <si>
    <t>-628.70368342284 63.3193299266604 -684.870547891484</t>
  </si>
  <si>
    <t>-674.040004346777 93.9711463889541 -557.703498715677</t>
  </si>
  <si>
    <t>-669.558044942829 230.823891500584 -545.62142303999</t>
  </si>
  <si>
    <t>-590.168945850472 270.073637278846 -265.000581430225</t>
  </si>
  <si>
    <t>-352.9707161331 257.893105158238 -224.5099159871</t>
  </si>
  <si>
    <t>-672.441913060106 38.6231340273921 -555.420582566572</t>
  </si>
  <si>
    <t>-516.030438492897 21.8453529635174 -306.410214754737</t>
  </si>
  <si>
    <t>-700.300461325226 181.659890465109 -101.767985426324</t>
  </si>
  <si>
    <t>-685.028592332321 190.41246371484 301.400468984013</t>
  </si>
  <si>
    <t>-740.47589207958 243.057229319048 742.720568020732</t>
  </si>
  <si>
    <t>-605.792727562719 190.812486387566 807.668264553758</t>
  </si>
  <si>
    <t>-628.297454668955 -26.3688606931296 307.908650139888</t>
  </si>
  <si>
    <t>-676.48617353058 -21.0310343199603 753.08457555959</t>
  </si>
  <si>
    <t>-570.925743994414 -112.70542033895 827.516297131792</t>
  </si>
  <si>
    <t>9763-20170724T105049.943973700.bin</t>
  </si>
  <si>
    <t>-688.131321687551 87.8161161362857 -96.0711593103254</t>
  </si>
  <si>
    <t>-696.730972549006 80.856462335875 -211.369918493436</t>
  </si>
  <si>
    <t>-695.061893926155 76.0030458502449 -309.860102988043</t>
  </si>
  <si>
    <t>-690.514164404547 71.8983712195368 -398.746098675845</t>
  </si>
  <si>
    <t>-682.574750775354 68.04374004087 -487.404830590621</t>
  </si>
  <si>
    <t>-667.923277469466 62.8595504747977 -611.014084843727</t>
  </si>
  <si>
    <t>-630.318081693212 61.7468735342766 -685.106249717658</t>
  </si>
  <si>
    <t>-675.236819075269 92.8076347611989 -557.882769081901</t>
  </si>
  <si>
    <t>-671.493228051352 229.731427053049 -546.392053900293</t>
  </si>
  <si>
    <t>-594.256080176794 270.152805298506 -265.337427820432</t>
  </si>
  <si>
    <t>-356.601806882901 259.031089264035 -227.289038937456</t>
  </si>
  <si>
    <t>-673.504509942845 37.4741621561925 -555.356625669683</t>
  </si>
  <si>
    <t>-516.415396944303 22.0728545967256 -305.876082917251</t>
  </si>
  <si>
    <t>-700.782506704457 181.541554984935 -101.828525756788</t>
  </si>
  <si>
    <t>-685.253490391869 190.374992743567 301.328358301715</t>
  </si>
  <si>
    <t>-740.440943686412 243.124863235766 742.670801088005</t>
  </si>
  <si>
    <t>-605.740297497407 190.928261914032 807.62095732041</t>
  </si>
  <si>
    <t>-628.370749931662 -26.2871126069124 307.891377157724</t>
  </si>
  <si>
    <t>-676.457776556598 -20.9786826440454 753.092476860462</t>
  </si>
  <si>
    <t>-570.924673933922 -112.696384435131 827.509699098173</t>
  </si>
  <si>
    <t>9763-20170724T105050.008886600.bin</t>
  </si>
  <si>
    <t>-688.64568462463 87.5203450198292 -96.0928833333825</t>
  </si>
  <si>
    <t>-697.298312659187 80.5378049013029 -211.386544671686</t>
  </si>
  <si>
    <t>-695.92723873813 75.3675674312829 -309.865057445211</t>
  </si>
  <si>
    <t>-691.7536924725 70.8640765922453 -398.750112686043</t>
  </si>
  <si>
    <t>-684.2953023173 66.5012911583526 -487.426915389793</t>
  </si>
  <si>
    <t>-670.428258434017 60.4962672545735 -611.08952081258</t>
  </si>
  <si>
    <t>-633.613263817301 59.0069613581095 -685.570925456062</t>
  </si>
  <si>
    <t>-677.407061733326 90.7964379430446 -558.113140480309</t>
  </si>
  <si>
    <t>-674.419426307581 227.824132913446 -547.476174094079</t>
  </si>
  <si>
    <t>-602.967442528088 267.9923327029 -264.8590856072</t>
  </si>
  <si>
    <t>-364.444506233531 260.208087751654 -231.737073565138</t>
  </si>
  <si>
    <t>-675.653845641205 35.4811308704384 -555.230424636443</t>
  </si>
  <si>
    <t>-517.785910432117 22.8096506560114 -305.091956301298</t>
  </si>
  <si>
    <t>-700.918082857028 181.160947122223 -101.855366509743</t>
  </si>
  <si>
    <t>-685.539140136841 190.069961961501 301.305649575828</t>
  </si>
  <si>
    <t>-740.433149003144 243.321492447659 742.606982341013</t>
  </si>
  <si>
    <t>-605.787236334151 190.954593668582 807.533589049391</t>
  </si>
  <si>
    <t>-628.558627476522 -26.4805051670578 307.858311443418</t>
  </si>
  <si>
    <t>-676.429855668932 -20.9511182319061 753.098831193204</t>
  </si>
  <si>
    <t>-570.979573562993 -112.772731423447 827.505295088139</t>
  </si>
  <si>
    <t>9763-20170724T105050.048995800.bin</t>
  </si>
  <si>
    <t>-688.522278330695 87.3439700687363 -96.0667429855142</t>
  </si>
  <si>
    <t>-697.206763492364 80.3649388180941 -211.358155004426</t>
  </si>
  <si>
    <t>-695.959428230751 75.0955429544128 -309.833222258481</t>
  </si>
  <si>
    <t>-691.937931157229 70.4667844252481 -398.718825687407</t>
  </si>
  <si>
    <t>-684.671731365916 65.9435323921073 -487.403444794538</t>
  </si>
  <si>
    <t>-671.116106443242 59.6792947143347 -611.087816276181</t>
  </si>
  <si>
    <t>-634.722101226207 57.9830173826233 -685.771338861407</t>
  </si>
  <si>
    <t>-677.907623911341 90.0924419645153 -558.151772196761</t>
  </si>
  <si>
    <t>-674.855904542067 227.117149001257 -547.720892474636</t>
  </si>
  <si>
    <t>-607.710993697153 267.611320245488 -264.096219257314</t>
  </si>
  <si>
    <t>-368.946625747857 261.603034468161 -232.372679252065</t>
  </si>
  <si>
    <t>-676.254919380595 34.7793436523291 -555.169197216033</t>
  </si>
  <si>
    <t>-518.378602860964 23.1361578565156 -305.060523202188</t>
  </si>
  <si>
    <t>-700.354747692611 180.92796558374 -101.842849932219</t>
  </si>
  <si>
    <t>-685.392656437196 189.906745607295 301.332250666601</t>
  </si>
  <si>
    <t>-740.440068066235 243.421369453804 742.5811209289</t>
  </si>
  <si>
    <t>-605.840307583601 190.909891486237 807.486694401901</t>
  </si>
  <si>
    <t>-628.725204567715 -26.7538427222376 307.86506231841</t>
  </si>
  <si>
    <t>-676.461256917157 -21.0265141735931 753.111940593464</t>
  </si>
  <si>
    <t>-570.999315849052 -112.840029251796 827.511925161504</t>
  </si>
  <si>
    <t>9763-20170724T105050.109804600.bin</t>
  </si>
  <si>
    <t>-687.920607643868 87.477909014465 -96.0191329843185</t>
  </si>
  <si>
    <t>-696.72145451591 80.5393446639532 -211.30410694101</t>
  </si>
  <si>
    <t>-695.601920430892 75.179174396405 -309.775791392863</t>
  </si>
  <si>
    <t>-691.709474987505 70.4299918118736 -398.660665584674</t>
  </si>
  <si>
    <t>-684.586116230296 65.7497776101764 -487.348924157224</t>
  </si>
  <si>
    <t>-671.245238127583 59.2316667207263 -611.043419573216</t>
  </si>
  <si>
    <t>-635.579314371171 57.1187936794699 -686.066916049006</t>
  </si>
  <si>
    <t>-677.818718900475 89.7574805676625 -558.144868894068</t>
  </si>
  <si>
    <t>-674.104756701982 226.78577172141 -548.029107863334</t>
  </si>
  <si>
    <t>-618.392844117128 267.528460097432 -261.973999908601</t>
  </si>
  <si>
    <t>-379.13793863902 265.341763808957 -233.634127181188</t>
  </si>
  <si>
    <t>-676.412957968122 34.442202992097 -555.078348297183</t>
  </si>
  <si>
    <t>-518.894195097791 23.5085821902601 -305.410444894636</t>
  </si>
  <si>
    <t>-698.859237342491 180.997251411798 -101.830820366056</t>
  </si>
  <si>
    <t>-684.772259946931 189.899191632207 301.377528887536</t>
  </si>
  <si>
    <t>-740.454436308175 243.721333263051 742.498883892054</t>
  </si>
  <si>
    <t>-606.083250046976 190.596732825761 807.379308883413</t>
  </si>
  <si>
    <t>-629.264794478432 -27.0340476170168 307.91006197069</t>
  </si>
  <si>
    <t>-676.525363277147 -21.1567873139174 753.17383148785</t>
  </si>
  <si>
    <t>-571.161555176578 -113.099713675237 827.5529345192</t>
  </si>
  <si>
    <t>9763-20170724T105050.142892500.bin</t>
  </si>
  <si>
    <t>-687.606650643848 87.6416952347556 -95.9993412636787</t>
  </si>
  <si>
    <t>-696.517513014274 80.7384164477451 -211.277972422671</t>
  </si>
  <si>
    <t>-695.489513495299 75.3815155191226 -309.750936763329</t>
  </si>
  <si>
    <t>-691.679111864524 70.6306574473333 -398.639378839984</t>
  </si>
  <si>
    <t>-684.637463053681 65.9455961032579 -487.333705340731</t>
  </si>
  <si>
    <t>-671.410209951906 59.4196693105616 -611.040045345836</t>
  </si>
  <si>
    <t>-636.059031127741 57.1386431688627 -686.207396552846</t>
  </si>
  <si>
    <t>-677.899242133049 89.9501072220405 -558.133562089186</t>
  </si>
  <si>
    <t>-673.881913092714 226.982027468885 -548.198444034359</t>
  </si>
  <si>
    <t>-622.215090219966 267.522117230218 -261.356571100952</t>
  </si>
  <si>
    <t>-382.614892732884 265.692812514919 -236.073201524529</t>
  </si>
  <si>
    <t>-676.562490421075 34.6327730700407 -555.072521708797</t>
  </si>
  <si>
    <t>-519.064587941259 23.5703178437795 -305.641074599538</t>
  </si>
  <si>
    <t>-698.090666278663 181.073035544952 -101.78853894925</t>
  </si>
  <si>
    <t>-684.272382480742 189.860054332291 301.431638067154</t>
  </si>
  <si>
    <t>-740.470625889015 243.790059126864 742.462461491228</t>
  </si>
  <si>
    <t>-606.170408027358 190.477603823049 807.335405052009</t>
  </si>
  <si>
    <t>-629.412919252316 -27.1621015081594 307.902969069582</t>
  </si>
  <si>
    <t>-676.486586899 -21.1047926844112 753.188709692433</t>
  </si>
  <si>
    <t>-571.29060006026 -113.239360739035 827.568519628097</t>
  </si>
  <si>
    <t>9763-20170724T105050.212087600.bin</t>
  </si>
  <si>
    <t>-687.166941651887 87.9096164319985 -95.8722464103965</t>
  </si>
  <si>
    <t>-696.253692236763 81.0243607255393 -211.138268346751</t>
  </si>
  <si>
    <t>-695.446085631582 75.5838810536554 -309.608577778212</t>
  </si>
  <si>
    <t>-691.864166175585 70.7236970948927 -398.50054024946</t>
  </si>
  <si>
    <t>-685.080212997281 65.8959092342027 -487.207425094227</t>
  </si>
  <si>
    <t>-672.244293427351 59.1372567943256 -610.942548965468</t>
  </si>
  <si>
    <t>-637.351015963336 56.3843018842833 -686.307803379252</t>
  </si>
  <si>
    <t>-678.484055808535 89.7696115024446 -558.064857914472</t>
  </si>
  <si>
    <t>-673.779128064728 226.785272165407 -548.28630243184</t>
  </si>
  <si>
    <t>-620.801821780447 266.646343286936 -261.588494984224</t>
  </si>
  <si>
    <t>-380.714005117539 263.711491439984 -241.58684117972</t>
  </si>
  <si>
    <t>-677.301398580277 34.4532605518139 -554.920872056934</t>
  </si>
  <si>
    <t>-519.640621774011 23.0666049590393 -305.903472942675</t>
  </si>
  <si>
    <t>-697.180690291948 181.067301593992 -101.620735046118</t>
  </si>
  <si>
    <t>-683.197782313245 189.413598195949 301.603104601527</t>
  </si>
  <si>
    <t>-740.575987814103 243.66427535247 742.400433401459</t>
  </si>
  <si>
    <t>-606.261077380172 190.349573546088 807.241391852251</t>
  </si>
  <si>
    <t>-629.273526764672 -27.6311397850625 307.966546120416</t>
  </si>
  <si>
    <t>-676.496683662527 -21.2069632421415 753.211861688502</t>
  </si>
  <si>
    <t>-571.314426792259 -113.360525076678 827.58728872849</t>
  </si>
  <si>
    <t>9763-20170724T105050.244169400.bin</t>
  </si>
  <si>
    <t>-686.863702006875 87.705513037826 -95.8316752631594</t>
  </si>
  <si>
    <t>-695.978865042249 80.8078542682085 -211.09469107568</t>
  </si>
  <si>
    <t>-695.253466594824 75.2533084850684 -309.559221163641</t>
  </si>
  <si>
    <t>-691.77025627686 70.2488765601315 -398.447267610679</t>
  </si>
  <si>
    <t>-685.109853110007 65.2349498496856 -487.15311084582</t>
  </si>
  <si>
    <t>-672.473091690092 58.1718288954419 -610.891681338418</t>
  </si>
  <si>
    <t>-637.731976900313 55.1443191825394 -686.316636662806</t>
  </si>
  <si>
    <t>-678.548755369636 88.9361871817202 -558.071697083978</t>
  </si>
  <si>
    <t>-673.070676043642 225.964591203625 -548.514125665077</t>
  </si>
  <si>
    <t>-616.615541995554 265.685055352355 -262.461254773619</t>
  </si>
  <si>
    <t>-376.349266503802 259.851384596281 -245.461572924119</t>
  </si>
  <si>
    <t>-677.518987912708 33.6237744421464 -554.809325265983</t>
  </si>
  <si>
    <t>-519.646204885653 22.4581964915731 -305.911273138422</t>
  </si>
  <si>
    <t>-696.646159373782 180.751056649425 -101.551053079926</t>
  </si>
  <si>
    <t>-682.888058414913 188.957984334204 301.683433279403</t>
  </si>
  <si>
    <t>-740.676412319042 243.453078411198 742.3828445895</t>
  </si>
  <si>
    <t>-606.342446900219 190.170592856625 807.211014621425</t>
  </si>
  <si>
    <t>-629.138637465601 -27.8452357418068 308.036885840919</t>
  </si>
  <si>
    <t>-676.562206219663 -21.3976071597713 753.229580098771</t>
  </si>
  <si>
    <t>-571.111732892802 -113.255097454471 827.591370124231</t>
  </si>
  <si>
    <t>9763-20170724T105050.308029500.bin</t>
  </si>
  <si>
    <t>-686.174641352527 87.1754623159613 -95.7644338297323</t>
  </si>
  <si>
    <t>-695.117559127284 80.3995908752001 -211.048109716851</t>
  </si>
  <si>
    <t>-694.375644947391 74.4680732844324 -309.490574264316</t>
  </si>
  <si>
    <t>-690.935637621524 68.932231036056 -398.348743367051</t>
  </si>
  <si>
    <t>-684.379382146151 63.1917888472558 -487.018427657423</t>
  </si>
  <si>
    <t>-671.954892126312 54.9073753988794 -610.702661054027</t>
  </si>
  <si>
    <t>-637.415218155195 51.1654597718216 -686.188053217429</t>
  </si>
  <si>
    <t>-677.638462466331 86.1977043199497 -558.148692688396</t>
  </si>
  <si>
    <t>-670.00546972414 223.198624698912 -549.658958992003</t>
  </si>
  <si>
    <t>-607.707398953222 265.666486202415 -265.218018686032</t>
  </si>
  <si>
    <t>-367.447970201535 252.394984427365 -252.964212048253</t>
  </si>
  <si>
    <t>-677.206169483062 30.9081545438501 -554.401957724585</t>
  </si>
  <si>
    <t>-519.435778894513 20.5761529334986 -305.191765509309</t>
  </si>
  <si>
    <t>-695.774506494601 180.339388569241 -101.413358646865</t>
  </si>
  <si>
    <t>-682.546763719723 187.585000107977 301.857262895171</t>
  </si>
  <si>
    <t>-741.09673159781 242.696385551065 742.55660409837</t>
  </si>
  <si>
    <t>-606.723215593721 189.343801770963 807.245121960609</t>
  </si>
  <si>
    <t>-629.319759087177 -27.9208605141678 308.158017328475</t>
  </si>
  <si>
    <t>-676.520821380096 -21.4048223789514 753.25634308894</t>
  </si>
  <si>
    <t>-571.203541779914 -113.397571429793 827.639691397498</t>
  </si>
  <si>
    <t>9763-20170724T105050.342120200.bin</t>
  </si>
  <si>
    <t>-685.963291769542 87.2069090598995 -95.6711151401055</t>
  </si>
  <si>
    <t>-694.749061397654 80.5770487943616 -210.97539274761</t>
  </si>
  <si>
    <t>-693.898857018528 74.486073901646 -309.40724093887</t>
  </si>
  <si>
    <t>-690.374318938537 68.6964508037133 -398.245918311073</t>
  </si>
  <si>
    <t>-683.749468523537 62.5914427735559 -486.886007383032</t>
  </si>
  <si>
    <t>-671.247082951832 53.6821839571955 -610.519099542908</t>
  </si>
  <si>
    <t>-636.764408935724 49.5912035157701 -686.012305718023</t>
  </si>
  <si>
    <t>-676.809411915122 85.2394971049259 -558.111995136762</t>
  </si>
  <si>
    <t>-668.053549486343 222.201190355983 -550.27914287833</t>
  </si>
  <si>
    <t>-604.911899105491 265.449057519212 -266.141957435925</t>
  </si>
  <si>
    <t>-364.801158315476 249.188367245803 -254.596218342679</t>
  </si>
  <si>
    <t>-676.68808535801 29.9657972947509 -554.116527907689</t>
  </si>
  <si>
    <t>-519.213887803646 19.4238022301515 -304.363281325481</t>
  </si>
  <si>
    <t>-695.468228638313 180.535750553617 -101.274295217842</t>
  </si>
  <si>
    <t>-682.253980448604 186.92413375945 302.011310182792</t>
  </si>
  <si>
    <t>-741.393789744806 242.132599764954 742.733321023902</t>
  </si>
  <si>
    <t>-606.951486866049 188.790825838072 807.287273030572</t>
  </si>
  <si>
    <t>-629.724734208808 -28.0203885812177 308.20441006587</t>
  </si>
  <si>
    <t>-676.630467871009 -21.5972355313966 753.289292597975</t>
  </si>
  <si>
    <t>-571.358694396747 -113.640967213732 827.674186972527</t>
  </si>
  <si>
    <t>9763-20170724T105050.379733100.bin</t>
  </si>
  <si>
    <t>-685.746783633505 87.5690507424417 -95.570471598514</t>
  </si>
  <si>
    <t>-694.454388627007 81.0407303505167 -210.886557067117</t>
  </si>
  <si>
    <t>-693.519418241154 74.7956060021234 -309.307829571749</t>
  </si>
  <si>
    <t>-689.91388750418 68.7757276674072 -398.127954620289</t>
  </si>
  <si>
    <t>-683.205043996652 62.3480376950988 -486.739031552607</t>
  </si>
  <si>
    <t>-670.583520323574 52.8920669210675 -610.319321574133</t>
  </si>
  <si>
    <t>-636.145834203263 48.4755143649581 -685.81485939931</t>
  </si>
  <si>
    <t>-676.046205765381 84.6820558778429 -558.04246061813</t>
  </si>
  <si>
    <t>-666.356249888513 221.626903242158 -550.814499747541</t>
  </si>
  <si>
    <t>-603.158888631727 265.619944563132 -266.804116478534</t>
  </si>
  <si>
    <t>-363.215013682942 246.504626754987 -256.201605425153</t>
  </si>
  <si>
    <t>-676.22897443194 29.4243877758938 -553.8329607442</t>
  </si>
  <si>
    <t>-519.36806413047 18.785305737113 -303.662490945671</t>
  </si>
  <si>
    <t>-695.051953993695 180.961437830117 -101.159213243664</t>
  </si>
  <si>
    <t>-681.663237424643 186.51360847016 302.133012180119</t>
  </si>
  <si>
    <t>-741.61003302698 241.847252939614 742.816967036681</t>
  </si>
  <si>
    <t>-607.278902264337 188.112426226931 807.276291541855</t>
  </si>
  <si>
    <t>-630.250220670516 -28.0711290433153 308.228225802402</t>
  </si>
  <si>
    <t>-676.659300505391 -21.6158655581417 753.313923484037</t>
  </si>
  <si>
    <t>-571.427109423079 -113.707505860552 827.695509643171</t>
  </si>
  <si>
    <t>9763-20170724T105050.458112200.bin</t>
  </si>
  <si>
    <t>-685.415301618297 88.186095883884 -95.5224651473945</t>
  </si>
  <si>
    <t>-694.058001502709 81.6910769696738 -210.845296958762</t>
  </si>
  <si>
    <t>-693.047407602161 75.318445262568 -309.257790881712</t>
  </si>
  <si>
    <t>-689.367338871335 69.1256841263307 -398.062982275576</t>
  </si>
  <si>
    <t>-682.578263646633 62.4672097190851 -486.650824492172</t>
  </si>
  <si>
    <t>-669.840124452183 52.6284434601462 -610.189312300169</t>
  </si>
  <si>
    <t>-635.385376910217 47.9228301637181 -685.659573784728</t>
  </si>
  <si>
    <t>-675.214167697185 84.5804441551338 -558.002098249782</t>
  </si>
  <si>
    <t>-664.71349001879 221.475970308042 -551.232194917097</t>
  </si>
  <si>
    <t>-601.559359497277 265.87466866224 -267.275288889969</t>
  </si>
  <si>
    <t>-361.759088534321 244.436503770028 -257.941729136377</t>
  </si>
  <si>
    <t>-675.676939619276 29.3353726633618 -553.650066596801</t>
  </si>
  <si>
    <t>-519.318882576647 18.4759086124939 -303.019237298363</t>
  </si>
  <si>
    <t>-694.376350609018 181.504956273336 -101.15686883358</t>
  </si>
  <si>
    <t>-680.790156270889 186.61862231344 302.134457117585</t>
  </si>
  <si>
    <t>-741.663132387631 241.75069518088 742.719379833589</t>
  </si>
  <si>
    <t>-607.302231912159 188.034906764984 807.132507767304</t>
  </si>
  <si>
    <t>-630.596691757497 -27.995495524335 308.270558534379</t>
  </si>
  <si>
    <t>-676.670189147081 -21.570546835396 753.328584819858</t>
  </si>
  <si>
    <t>-571.634675213452 -113.875992900388 827.723141013753</t>
  </si>
  <si>
    <t>9763-20170724T105050.509248000.bin</t>
  </si>
  <si>
    <t>-682.757609887834 89.7424395581654 -95.5516094546573</t>
  </si>
  <si>
    <t>-691.269818718081 83.2740069444492 -210.885697944635</t>
  </si>
  <si>
    <t>-690.277664714273 76.5088820235731 -309.27208235578</t>
  </si>
  <si>
    <t>-686.671089471325 69.8054256603791 -398.043056065603</t>
  </si>
  <si>
    <t>-680.015050741063 62.474825775246 -486.588093344894</t>
  </si>
  <si>
    <t>-667.527202460173 51.5283136070013 -610.058903563285</t>
  </si>
  <si>
    <t>-632.974951929921 45.8152148723843 -685.41487505822</t>
  </si>
  <si>
    <t>-672.303292671084 83.9430998612602 -558.099493126679</t>
  </si>
  <si>
    <t>-659.890695849326 220.77096418286 -552.82939638314</t>
  </si>
  <si>
    <t>-595.43033720369 264.342945962848 -269.03809301892</t>
  </si>
  <si>
    <t>-355.855963788305 239.366006726086 -263.454802901793</t>
  </si>
  <si>
    <t>-673.741559042415 28.747565859268 -553.35146219398</t>
  </si>
  <si>
    <t>-517.818107938156 16.8431973965658 -301.962246136429</t>
  </si>
  <si>
    <t>-690.140300469489 182.378844045322 -101.284923225766</t>
  </si>
  <si>
    <t>-678.44379801268 187.680882948261 302.063313945051</t>
  </si>
  <si>
    <t>-741.559404481819 242.074043274418 742.325961561654</t>
  </si>
  <si>
    <t>-607.340708493333 187.963015071535 806.7050217744</t>
  </si>
  <si>
    <t>-629.95515938166 -28.0443626968515 308.33205140262</t>
  </si>
  <si>
    <t>-676.657589064149 -21.4883143747863 753.312452776098</t>
  </si>
  <si>
    <t>-571.979663339586 -114.150741466184 827.767068473607</t>
  </si>
  <si>
    <t>9763-20170724T105050.541342600.bin</t>
  </si>
  <si>
    <t>-681.854451066258 89.6529113535767 -95.6005925582272</t>
  </si>
  <si>
    <t>-690.338424336975 83.1654148504394 -210.935629911114</t>
  </si>
  <si>
    <t>-689.384947563652 76.2331536209535 -309.310840163358</t>
  </si>
  <si>
    <t>-685.840521988956 69.3204292360947 -398.068424457543</t>
  </si>
  <si>
    <t>-679.274925732031 61.7197816889031 -486.59735557298</t>
  </si>
  <si>
    <t>-666.944445844257 50.3320876385835 -610.043954950933</t>
  </si>
  <si>
    <t>-632.372742102019 44.2713256088248 -685.363772932261</t>
  </si>
  <si>
    <t>-671.47392018272 82.9287903125062 -558.176409713131</t>
  </si>
  <si>
    <t>-658.47427984812 219.723717112917 -553.472537971876</t>
  </si>
  <si>
    <t>-594.852971331316 263.265139691283 -269.487080801744</t>
  </si>
  <si>
    <t>-355.16477172158 239.628413254504 -263.024737819567</t>
  </si>
  <si>
    <t>-673.267055420034 27.7578546171978 -553.266052093491</t>
  </si>
  <si>
    <t>-517.38614328597 15.6226718488876 -301.997516424586</t>
  </si>
  <si>
    <t>-689.105279293796 182.573091412851 -101.368655935036</t>
  </si>
  <si>
    <t>-677.566880014791 187.718144935758 301.986127945704</t>
  </si>
  <si>
    <t>-741.510186663226 242.144005114865 742.213112981977</t>
  </si>
  <si>
    <t>-607.284750806237 188.032633544328 806.577753964125</t>
  </si>
  <si>
    <t>-629.689925176297 -28.1290867326363 308.379527831136</t>
  </si>
  <si>
    <t>-676.771022428 -21.7261815764066 753.295068519783</t>
  </si>
  <si>
    <t>-572.044219652701 -114.31214429175 827.776181505548</t>
  </si>
  <si>
    <t>9763-20170724T105050.608538400.bin</t>
  </si>
  <si>
    <t>-680.988355599009 89.3084461656615 -95.7002152336464</t>
  </si>
  <si>
    <t>-689.52035997339 82.7873906345974 -211.029761572361</t>
  </si>
  <si>
    <t>-688.690440334128 75.6330452786212 -309.390223440886</t>
  </si>
  <si>
    <t>-685.292690362385 68.4478176237287 -398.131875960291</t>
  </si>
  <si>
    <t>-678.909436178532 60.5021891985593 -486.643692405091</t>
  </si>
  <si>
    <t>-666.872247599831 48.5569790272561 -610.06667762108</t>
  </si>
  <si>
    <t>-632.388053137773 42.0082044344053 -685.385941724417</t>
  </si>
  <si>
    <t>-671.118797510157 81.3834190361895 -558.320191380917</t>
  </si>
  <si>
    <t>-657.484311935177 218.124116150154 -554.417061177676</t>
  </si>
  <si>
    <t>-596.556586417376 262.971897600143 -270.044617121093</t>
  </si>
  <si>
    <t>-356.834237113995 240.188291617122 -261.982216900524</t>
  </si>
  <si>
    <t>-673.219677517086 26.2434462775268 -553.188462864614</t>
  </si>
  <si>
    <t>-517.866636173189 14.1416549824535 -302.746446868146</t>
  </si>
  <si>
    <t>-688.169488814267 182.788813155805 -101.52825236215</t>
  </si>
  <si>
    <t>-675.771803557554 187.110331183476 301.810623377822</t>
  </si>
  <si>
    <t>-741.386781393018 242.212424833524 741.841656227856</t>
  </si>
  <si>
    <t>-607.136778081349 188.215318340963 806.250788676154</t>
  </si>
  <si>
    <t>-629.718966632451 -28.2438434517394 308.433193989208</t>
  </si>
  <si>
    <t>-676.849348588715 -21.7946057842021 753.270343245859</t>
  </si>
  <si>
    <t>-572.209215126602 -114.450035306071 827.786840344927</t>
  </si>
  <si>
    <t>9763-20170724T105050.644635100.bin</t>
  </si>
  <si>
    <t>-680.817893207568 89.2149714861271 -95.7313193592541</t>
  </si>
  <si>
    <t>-689.367522218312 82.6705988814551 -211.058275544928</t>
  </si>
  <si>
    <t>-688.602895203248 75.4049595666359 -309.411051010657</t>
  </si>
  <si>
    <t>-685.284932874031 68.0840080636538 -398.144647334836</t>
  </si>
  <si>
    <t>-679.002753214172 59.9682235365653 -486.648289374603</t>
  </si>
  <si>
    <t>-667.129285517682 47.7498735370477 -610.060352005012</t>
  </si>
  <si>
    <t>-632.66647487427 40.9934900045671 -685.371112726879</t>
  </si>
  <si>
    <t>-671.307489000606 80.690792242762 -558.381116664829</t>
  </si>
  <si>
    <t>-657.852838657003 217.458108256374 -554.791489585947</t>
  </si>
  <si>
    <t>-597.346672793203 262.302292394098 -270.328475052929</t>
  </si>
  <si>
    <t>-357.562966343306 240.06796691192 -262.562033712045</t>
  </si>
  <si>
    <t>-673.40082427777 25.5622606504858 -553.124573215132</t>
  </si>
  <si>
    <t>-517.972457526543 13.5915729594124 -303.021577823873</t>
  </si>
  <si>
    <t>-687.836367204609 182.543374489462 -101.599023315443</t>
  </si>
  <si>
    <t>-675.401245112447 186.832390819364 301.739093364519</t>
  </si>
  <si>
    <t>-741.316602997226 242.163962440913 741.655221548263</t>
  </si>
  <si>
    <t>-607.002025216603 188.354665870451 806.086778955611</t>
  </si>
  <si>
    <t>-629.72415946081 -28.499177293909 308.439058886801</t>
  </si>
  <si>
    <t>-676.903086536068 -21.8115209034033 753.271175380781</t>
  </si>
  <si>
    <t>-572.349192662425 -114.565223207366 827.786336360409</t>
  </si>
  <si>
    <t>9763-20170724T105050.710827300.bin</t>
  </si>
  <si>
    <t>-680.817453129089 88.9166083662647 -95.7957102842805</t>
  </si>
  <si>
    <t>-689.37485915954 82.3284295031117 -211.119553687365</t>
  </si>
  <si>
    <t>-688.778747310662 74.7855883232082 -309.452709380095</t>
  </si>
  <si>
    <t>-685.680850940609 67.1179201447383 -398.16489814506</t>
  </si>
  <si>
    <t>-679.687919363965 58.560259031927 -486.647035051313</t>
  </si>
  <si>
    <t>-668.292559011567 45.6249948720479 -610.031243389322</t>
  </si>
  <si>
    <t>-633.857018131485 38.4856360584365 -685.318872944665</t>
  </si>
  <si>
    <t>-672.290579258733 78.8661117087174 -558.530210618052</t>
  </si>
  <si>
    <t>-659.455944953896 215.701036818407 -555.800640016557</t>
  </si>
  <si>
    <t>-598.472189986655 259.271367767117 -271.241721230725</t>
  </si>
  <si>
    <t>-358.394119602821 240.010197895832 -264.733651914827</t>
  </si>
  <si>
    <t>-674.323525148259 23.768027717312 -552.941744240909</t>
  </si>
  <si>
    <t>-517.970891899621 13.1100231132605 -303.299812726595</t>
  </si>
  <si>
    <t>-687.625060407019 181.807901518177 -101.702447402043</t>
  </si>
  <si>
    <t>-675.422754911286 186.451283876737 301.638880135701</t>
  </si>
  <si>
    <t>-741.140193533957 242.368974882634 741.355506478636</t>
  </si>
  <si>
    <t>-606.846168578152 188.585644017072 805.851850732474</t>
  </si>
  <si>
    <t>-629.486378906412 -29.1400108523185 308.409373514731</t>
  </si>
  <si>
    <t>-677.089843301912 -21.9709784075189 753.283884731505</t>
  </si>
  <si>
    <t>-572.518046980255 -114.735534236653 827.760463410847</t>
  </si>
  <si>
    <t>9763-20170724T105050.744922300.bin</t>
  </si>
  <si>
    <t>-680.921882979475 88.6420178791057 -95.7992254482105</t>
  </si>
  <si>
    <t>-689.484836172241 82.0300232665459 -211.121255084844</t>
  </si>
  <si>
    <t>-688.987787474012 74.3185392508899 -309.441945075357</t>
  </si>
  <si>
    <t>-686.01881364519 66.4390064573436 -398.139936181433</t>
  </si>
  <si>
    <t>-680.195186338055 57.6110951163521 -486.60687178682</t>
  </si>
  <si>
    <t>-669.079668359003 44.2371777483297 -609.96973797758</t>
  </si>
  <si>
    <t>-634.682810992472 36.9086573999998 -685.257018317887</t>
  </si>
  <si>
    <t>-672.973456278903 77.6615926420845 -558.579454225821</t>
  </si>
  <si>
    <t>-660.435073160287 214.552509742705 -556.396212128783</t>
  </si>
  <si>
    <t>-599.400358076155 258.279488439897 -271.872221611138</t>
  </si>
  <si>
    <t>-359.224580043285 240.830842505745 -263.996711968712</t>
  </si>
  <si>
    <t>-674.96862227485 22.5830473448329 -552.7882536944</t>
  </si>
  <si>
    <t>-518.263040804359 13.0677607608059 -303.447041565358</t>
  </si>
  <si>
    <t>-687.778071154184 181.499123910169 -101.738129895067</t>
  </si>
  <si>
    <t>-675.441083454981 186.222970502654 301.598176648689</t>
  </si>
  <si>
    <t>-741.076194641411 242.446856308021 741.276181710513</t>
  </si>
  <si>
    <t>-606.786225510777 188.675739013623 805.790960151683</t>
  </si>
  <si>
    <t>-629.506602560299 -29.5305711425744 308.397194375176</t>
  </si>
  <si>
    <t>-677.235561080206 -22.1392158760239 753.310028519305</t>
  </si>
  <si>
    <t>-572.607873370684 -114.874343496794 827.744973381332</t>
  </si>
  <si>
    <t>9763-20170724T105050.808102800.bin</t>
  </si>
  <si>
    <t>-681.519401339556 88.1692436071557 -95.7385813642525</t>
  </si>
  <si>
    <t>-690.173645859956 81.462930364233 -211.04839856591</t>
  </si>
  <si>
    <t>-689.811030053942 73.4383115151973 -309.344528709701</t>
  </si>
  <si>
    <t>-686.98816340064 65.1847195345065 -398.013376757242</t>
  </si>
  <si>
    <t>-681.335794632761 55.8946512609323 -486.444107814474</t>
  </si>
  <si>
    <t>-670.487266452258 41.7840744403291 -609.748627222547</t>
  </si>
  <si>
    <t>-636.108541413526 34.1659692647261 -685.015375548038</t>
  </si>
  <si>
    <t>-674.345710990591 75.5167639329964 -558.557462365009</t>
  </si>
  <si>
    <t>-662.262073949333 212.43177414068 -557.275032808168</t>
  </si>
  <si>
    <t>-600.875808272052 257.85668535499 -273.092879792121</t>
  </si>
  <si>
    <t>-360.675462471498 244.378340828556 -259.941014150531</t>
  </si>
  <si>
    <t>-676.176750341186 20.469955291396 -552.419301494495</t>
  </si>
  <si>
    <t>-519.184648458535 12.9451040369859 -303.617597059194</t>
  </si>
  <si>
    <t>-688.459475408687 181.23101623301 -101.765749800798</t>
  </si>
  <si>
    <t>-675.490699205275 185.778347293784 301.552789619745</t>
  </si>
  <si>
    <t>-740.99118979724 242.629420735044 741.184258722246</t>
  </si>
  <si>
    <t>-606.762023423072 188.695139724777 805.689360670357</t>
  </si>
  <si>
    <t>-630.053059978236 -30.0283134073236 308.49020251514</t>
  </si>
  <si>
    <t>-677.549031801963 -22.5294195844706 753.380731789767</t>
  </si>
  <si>
    <t>-572.501393141121 -114.863195719973 827.722968380723</t>
  </si>
  <si>
    <t>9763-20170724T105050.847195400.bin</t>
  </si>
  <si>
    <t>-681.87293499089 88.1194856227226 -95.7377812508093</t>
  </si>
  <si>
    <t>-690.591935735539 81.34432352157 -211.038706619941</t>
  </si>
  <si>
    <t>-690.242500378453 73.2023682352558 -309.32528052571</t>
  </si>
  <si>
    <t>-687.414621831751 64.8198723472135 -397.981748923174</t>
  </si>
  <si>
    <t>-681.741065992273 55.3784273036167 -486.395107491479</t>
  </si>
  <si>
    <t>-670.845941568027 41.0333044014353 -609.668405083154</t>
  </si>
  <si>
    <t>-636.422453165548 33.3016240131731 -684.903277459111</t>
  </si>
  <si>
    <t>-674.763341962862 74.8642349027589 -558.546732977574</t>
  </si>
  <si>
    <t>-662.827150107593 211.803556526138 -557.495554452413</t>
  </si>
  <si>
    <t>-601.013960598325 257.620615951252 -273.468870619136</t>
  </si>
  <si>
    <t>-360.817460740952 245.859695647757 -258.69896566147</t>
  </si>
  <si>
    <t>-676.517311844203 19.827522383139 -552.297150009252</t>
  </si>
  <si>
    <t>-519.569618140281 12.8343575333895 -303.67242895081</t>
  </si>
  <si>
    <t>-688.883727294342 181.158667075162 -101.804323978664</t>
  </si>
  <si>
    <t>-675.495231014553 185.659410642918 301.500992138127</t>
  </si>
  <si>
    <t>-740.943423892973 242.67359551937 741.09208228713</t>
  </si>
  <si>
    <t>-606.758224698588 188.637749547653 805.603670332649</t>
  </si>
  <si>
    <t>-630.433715380032 -30.1347408694887 308.539640416031</t>
  </si>
  <si>
    <t>-677.704109354234 -22.7202205112876 753.431028965861</t>
  </si>
  <si>
    <t>-572.447057071442 -114.852719885755 827.72663479227</t>
  </si>
  <si>
    <t>9763-20170724T105050.908373800.bin</t>
  </si>
  <si>
    <t>-682.47552206154 87.843474683508 -95.8615530560551</t>
  </si>
  <si>
    <t>-691.184724073944 80.9658565786476 -211.157081839343</t>
  </si>
  <si>
    <t>-690.765772954082 72.6935142493633 -309.432516364284</t>
  </si>
  <si>
    <t>-687.850953232355 64.1742247352693 -398.073166260524</t>
  </si>
  <si>
    <t>-682.067119032575 54.5777885667517 -486.462647045653</t>
  </si>
  <si>
    <t>-670.993551615119 39.9966305810178 -609.692432523509</t>
  </si>
  <si>
    <t>-636.440817261169 32.1448624600162 -684.855458590404</t>
  </si>
  <si>
    <t>-675.026357879685 73.9263085389814 -558.645012993713</t>
  </si>
  <si>
    <t>-663.137030889412 210.864388325087 -557.762975838183</t>
  </si>
  <si>
    <t>-599.677254654425 257.006129642682 -274.152413955389</t>
  </si>
  <si>
    <t>-359.563132492712 246.809134707288 -257.061057011122</t>
  </si>
  <si>
    <t>-676.706699675083 18.9000069142635 -552.285117173007</t>
  </si>
  <si>
    <t>-519.476448320819 12.1338529286456 -303.814486830983</t>
  </si>
  <si>
    <t>-689.433833962743 180.564590408576 -101.935055005305</t>
  </si>
  <si>
    <t>-675.478973657061 185.203487812511 301.349480840742</t>
  </si>
  <si>
    <t>-740.836287432055 242.76866150903 740.847176646193</t>
  </si>
  <si>
    <t>-606.692675509232 188.663414221849 805.387279956473</t>
  </si>
  <si>
    <t>-631.321049494609 -30.1266210498447 308.547538880102</t>
  </si>
  <si>
    <t>-677.830540272121 -22.7554267518165 753.526193389003</t>
  </si>
  <si>
    <t>-572.667957114832 -115.04382805287 827.762053926185</t>
  </si>
  <si>
    <t>9763-20170724T105050.946474800.bin</t>
  </si>
  <si>
    <t>-682.716598828932 87.5627346371919 -95.9484192009204</t>
  </si>
  <si>
    <t>-691.384184744695 80.6812213756612 -211.246895419508</t>
  </si>
  <si>
    <t>-690.898630604555 72.3646241448268 -309.518200888324</t>
  </si>
  <si>
    <t>-687.911931082949 63.7889920580012 -398.151067771867</t>
  </si>
  <si>
    <t>-682.044181292496 54.1199416088143 -486.527168543064</t>
  </si>
  <si>
    <t>-670.841807697364 39.4206440234707 -609.731202200221</t>
  </si>
  <si>
    <t>-636.211420692699 31.5239104092682 -684.853813617683</t>
  </si>
  <si>
    <t>-674.934219669243 73.3992021012705 -558.721258054714</t>
  </si>
  <si>
    <t>-662.977934968547 210.351036855638 -557.888080834815</t>
  </si>
  <si>
    <t>-598.544154639488 256.25938557154 -274.459192796149</t>
  </si>
  <si>
    <t>-358.408261428783 246.529068671824 -257.401981835552</t>
  </si>
  <si>
    <t>-676.608704461007 18.3788047354417 -552.30905094872</t>
  </si>
  <si>
    <t>-519.296475973071 11.578943870524 -303.915481463297</t>
  </si>
  <si>
    <t>-689.577268473836 180.24601880687 -102.02330983053</t>
  </si>
  <si>
    <t>-675.644336792254 184.917935922124 301.261613806056</t>
  </si>
  <si>
    <t>-740.798831089798 242.826985585216 740.741139839437</t>
  </si>
  <si>
    <t>-606.69520188298 188.635223222938 805.291621140868</t>
  </si>
  <si>
    <t>-631.886219120338 -30.0980163647284 308.523031421503</t>
  </si>
  <si>
    <t>-677.960045369814 -22.9317847756101 753.570387715928</t>
  </si>
  <si>
    <t>-572.561212083583 -114.977548183463 827.772677320626</t>
  </si>
  <si>
    <t>9763-20170724T105051.012656100.bin</t>
  </si>
  <si>
    <t>-683.153763412305 87.4534632956079 -96.103056918879</t>
  </si>
  <si>
    <t>-691.765846715276 80.6117255687507 -211.408047889135</t>
  </si>
  <si>
    <t>-691.139522157524 72.2634078909978 -309.675922627421</t>
  </si>
  <si>
    <t>-687.988568543403 63.6334106130901 -398.297806955916</t>
  </si>
  <si>
    <t>-681.920272432218 53.8840860773923 -486.651464884461</t>
  </si>
  <si>
    <t>-670.399492955483 39.0462024871129 -609.80948153248</t>
  </si>
  <si>
    <t>-635.55913962984 31.1979557761583 -684.840058272293</t>
  </si>
  <si>
    <t>-674.633876062317 73.0825488137154 -558.84950264979</t>
  </si>
  <si>
    <t>-662.552721274606 210.019287788896 -558.085687099099</t>
  </si>
  <si>
    <t>-595.813450163443 256.825760870362 -275.338055972265</t>
  </si>
  <si>
    <t>-355.743140814948 247.055878020005 -257.402037271753</t>
  </si>
  <si>
    <t>-676.304514194301 18.0689478374134 -552.377849283769</t>
  </si>
  <si>
    <t>-518.951137098404 11.1454506174712 -303.903770367813</t>
  </si>
  <si>
    <t>-689.974679089415 180.22071383099 -102.210099027312</t>
  </si>
  <si>
    <t>-676.219641171698 184.964653946693 301.080137686211</t>
  </si>
  <si>
    <t>-740.7225595171 242.997597715359 740.629287360566</t>
  </si>
  <si>
    <t>-606.711175075522 188.590171175603 805.189860388985</t>
  </si>
  <si>
    <t>-632.537871862567 -30.1166267985361 308.417232801985</t>
  </si>
  <si>
    <t>-678.105379543535 -23.0890430427098 753.60431402959</t>
  </si>
  <si>
    <t>-573.127404582306 -115.612859095457 827.808369829487</t>
  </si>
  <si>
    <t>9763-20170724T105051.040732200.bin</t>
  </si>
  <si>
    <t>-683.516878149479 87.3926440490416 -96.1548618834443</t>
  </si>
  <si>
    <t>-692.059555890286 80.577741792001 -211.466598603934</t>
  </si>
  <si>
    <t>-691.338991670185 72.2437497382311 -309.735061500806</t>
  </si>
  <si>
    <t>-688.088744942338 63.6236104454624 -398.354302611795</t>
  </si>
  <si>
    <t>-681.907395040452 53.8816554005023 -486.700972340168</t>
  </si>
  <si>
    <t>-670.213896245483 39.0509051671168 -609.843572305269</t>
  </si>
  <si>
    <t>-635.257846076405 31.2831250918262 -684.828717879878</t>
  </si>
  <si>
    <t>-674.525830029775 73.0842347058378 -558.88826301387</t>
  </si>
  <si>
    <t>-662.404398409711 210.010308988589 -558.102135704374</t>
  </si>
  <si>
    <t>-594.601589667215 257.245924027665 -275.679006027698</t>
  </si>
  <si>
    <t>-354.551036020048 247.388991551045 -257.529531622517</t>
  </si>
  <si>
    <t>-676.193473516123 18.0700881764221 -552.4209773106</t>
  </si>
  <si>
    <t>-518.958744768654 11.011368101576 -303.810183772729</t>
  </si>
  <si>
    <t>-690.294846663003 180.304095473833 -102.270346006616</t>
  </si>
  <si>
    <t>-676.600437810669 184.979461533863 301.022705831524</t>
  </si>
  <si>
    <t>-740.683449442386 243.084133126601 740.603311631354</t>
  </si>
  <si>
    <t>-606.747003568038 188.50836830475 805.177359398914</t>
  </si>
  <si>
    <t>-633.058445861889 -30.1568401176394 308.374214434224</t>
  </si>
  <si>
    <t>-678.280693274147 -23.3319529394789 753.636415239001</t>
  </si>
  <si>
    <t>-573.059104324396 -115.609328930341 827.802537088135</t>
  </si>
  <si>
    <t>9763-20170724T105051.109937900.bin</t>
  </si>
  <si>
    <t>-683.951608647616 87.1472794465039 -96.1990483505978</t>
  </si>
  <si>
    <t>-692.350909559821 80.3801921586009 -211.524170970261</t>
  </si>
  <si>
    <t>-691.430910401487 72.1509070604336 -309.799715123025</t>
  </si>
  <si>
    <t>-687.968435062796 63.6515905545687 -398.422601614988</t>
  </si>
  <si>
    <t>-681.542193952559 54.0567737436711 -486.767858309711</t>
  </si>
  <si>
    <t>-669.472089838934 39.4605143502602 -609.902218019978</t>
  </si>
  <si>
    <t>-634.299405969826 31.9817708925109 -684.815485074298</t>
  </si>
  <si>
    <t>-673.982162123497 73.3976087354929 -558.899881987536</t>
  </si>
  <si>
    <t>-661.931342396287 210.326424335942 -557.843288782314</t>
  </si>
  <si>
    <t>-591.940061856501 258.289961718229 -276.077532888714</t>
  </si>
  <si>
    <t>-351.868492926816 248.434225346793 -258.205195790709</t>
  </si>
  <si>
    <t>-675.585009993234 18.369703099278 -552.533979976992</t>
  </si>
  <si>
    <t>-518.688737816686 10.8284138905328 -303.615263793074</t>
  </si>
  <si>
    <t>-690.534502769078 180.104505944798 -102.324848859862</t>
  </si>
  <si>
    <t>-677.327408747768 184.948892812719 300.982448788624</t>
  </si>
  <si>
    <t>-740.615921823146 243.144603935582 740.607631415381</t>
  </si>
  <si>
    <t>-606.685697154736 188.566833053479 805.192941843964</t>
  </si>
  <si>
    <t>-633.816130870304 -30.438082316103 308.344571182302</t>
  </si>
  <si>
    <t>-678.624741256298 -23.8636220842166 753.691007094999</t>
  </si>
  <si>
    <t>-572.965983187957 -115.695154680822 827.789064830765</t>
  </si>
  <si>
    <t>9763-20170724T105051.144027500.bin</t>
  </si>
  <si>
    <t>-684.010875690595 86.9703454264654 -96.1864879147842</t>
  </si>
  <si>
    <t>-692.318101810037 80.2412579061618 -211.520459488802</t>
  </si>
  <si>
    <t>-691.288044486116 72.078234317145 -309.800489487138</t>
  </si>
  <si>
    <t>-687.713148794661 63.6521148412742 -398.425914415857</t>
  </si>
  <si>
    <t>-681.161466037605 54.1443494587425 -486.771326049939</t>
  </si>
  <si>
    <t>-668.901973678854 39.6837794192159 -609.903031272246</t>
  </si>
  <si>
    <t>-633.611762089311 32.3835345468183 -684.77857810279</t>
  </si>
  <si>
    <t>-673.517962911656 73.5650303132436 -558.873027461764</t>
  </si>
  <si>
    <t>-661.506101014745 210.505559551569 -557.642594770357</t>
  </si>
  <si>
    <t>-590.460006195712 258.595088240749 -276.162478739514</t>
  </si>
  <si>
    <t>-350.356624280505 248.865333476643 -258.652686094314</t>
  </si>
  <si>
    <t>-675.075359127794 18.5292317065607 -552.564724292981</t>
  </si>
  <si>
    <t>-518.319237710116 10.8160186129332 -303.569225490593</t>
  </si>
  <si>
    <t>-690.48600823767 179.870603892782 -102.290104752335</t>
  </si>
  <si>
    <t>-677.523804751494 184.874276576698 301.023205453147</t>
  </si>
  <si>
    <t>-740.576912121713 243.136075294612 740.644742134352</t>
  </si>
  <si>
    <t>-606.588703550879 188.701486121523 805.230422502909</t>
  </si>
  <si>
    <t>-633.913913352407 -30.7617485362127 308.343610144841</t>
  </si>
  <si>
    <t>-678.760224716786 -24.0904101948472 753.700964532031</t>
  </si>
  <si>
    <t>-572.826867946907 -115.627399151368 827.771211707592</t>
  </si>
  <si>
    <t>9763-20170724T105051.213748800.bin</t>
  </si>
  <si>
    <t>-683.948666256195 86.5043227972963 -96.1124068305604</t>
  </si>
  <si>
    <t>-692.028660150497 79.8878830372239 -211.469042195915</t>
  </si>
  <si>
    <t>-690.77829193912 71.8554208223636 -309.757269708659</t>
  </si>
  <si>
    <t>-686.993444195297 63.5616385851861 -398.386541562931</t>
  </si>
  <si>
    <t>-680.220426045386 54.2012802601071 -486.730945438925</t>
  </si>
  <si>
    <t>-667.639217499454 39.9634854818321 -609.856116238006</t>
  </si>
  <si>
    <t>-632.153804242439 33.0275515701233 -684.673946656728</t>
  </si>
  <si>
    <t>-672.433563771636 73.7531870231048 -558.78184618905</t>
  </si>
  <si>
    <t>-660.477716825112 210.691602410643 -557.239675354704</t>
  </si>
  <si>
    <t>-587.259118549265 259.182969306096 -276.385933366958</t>
  </si>
  <si>
    <t>-347.131897291335 249.359979231491 -259.259201755036</t>
  </si>
  <si>
    <t>-673.917625274947 18.7044434200734 -552.567791913725</t>
  </si>
  <si>
    <t>-517.384762816936 10.6892366128916 -303.354054470625</t>
  </si>
  <si>
    <t>-690.361166551693 179.508271310402 -102.149572972037</t>
  </si>
  <si>
    <t>-677.584113466986 184.594870526308 301.168610061972</t>
  </si>
  <si>
    <t>-740.551150774665 243.109298415797 740.754252514054</t>
  </si>
  <si>
    <t>-606.505404245842 188.793203650111 805.320467186857</t>
  </si>
  <si>
    <t>-634.236488578349 -30.9956858551559 308.360592649218</t>
  </si>
  <si>
    <t>-678.885453025878 -24.2078790721428 753.742166720018</t>
  </si>
  <si>
    <t>-572.87389165096 -115.691408370116 827.766689480375</t>
  </si>
  <si>
    <t>9763-20170724T105051.249825800.bin</t>
  </si>
  <si>
    <t>-683.920872898421 86.2062487691353 -96.0460493150117</t>
  </si>
  <si>
    <t>-691.945987668822 79.6367647755376 -211.40923074993</t>
  </si>
  <si>
    <t>-690.600032324938 71.6780271959219 -309.702109370482</t>
  </si>
  <si>
    <t>-686.708851203816 63.4640620097914 -398.334112939135</t>
  </si>
  <si>
    <t>-679.809510084278 54.1970469049998 -486.678733965458</t>
  </si>
  <si>
    <t>-667.030813691715 40.1029988207611 -609.800019457965</t>
  </si>
  <si>
    <t>-631.447902960374 33.3404938830583 -684.587614304855</t>
  </si>
  <si>
    <t>-671.917736383935 73.8331401617229 -558.695280338898</t>
  </si>
  <si>
    <t>-659.961454028736 210.771081636025 -557.005884853015</t>
  </si>
  <si>
    <t>-585.666366187197 259.418720104753 -276.46212720112</t>
  </si>
  <si>
    <t>-345.526532361218 249.680670876184 -259.465467027018</t>
  </si>
  <si>
    <t>-673.390397989513 18.7770322604224 -552.5457119151</t>
  </si>
  <si>
    <t>-516.987713251422 10.51205474669 -303.075499793803</t>
  </si>
  <si>
    <t>-690.265076169877 179.310356617405 -102.065687882147</t>
  </si>
  <si>
    <t>-677.541525774964 184.437956212146 301.25366921168</t>
  </si>
  <si>
    <t>-740.545464836249 243.08349823131 740.813322992672</t>
  </si>
  <si>
    <t>-606.511567730349 188.730231172194 805.372623397655</t>
  </si>
  <si>
    <t>-634.417579463269 -31.3602329789157 308.397934603221</t>
  </si>
  <si>
    <t>-679.113224963364 -24.6318406545001 753.782536809525</t>
  </si>
  <si>
    <t>-572.545302244132 -115.507971178396 827.756111343382</t>
  </si>
  <si>
    <t>9763-20170724T105051.310494600.bin</t>
  </si>
  <si>
    <t>-683.515727294916 85.9167142462766 -95.9424418003506</t>
  </si>
  <si>
    <t>-691.507667122852 79.4346372661284 -211.312948226332</t>
  </si>
  <si>
    <t>-690.031097824473 71.6293995428496 -309.616337353377</t>
  </si>
  <si>
    <t>-685.979842782246 63.5864062773921 -398.256764110837</t>
  </si>
  <si>
    <t>-678.87785918894 54.5216534323527 -486.606317128496</t>
  </si>
  <si>
    <t>-665.771256195349 40.7442843405688 -609.729075055627</t>
  </si>
  <si>
    <t>-629.954735854598 34.3237523094735 -684.43506964412</t>
  </si>
  <si>
    <t>-670.801722601171 74.3429858421109 -558.551599774855</t>
  </si>
  <si>
    <t>-658.825220515995 211.274491892691 -556.567197490091</t>
  </si>
  <si>
    <t>-582.683711694256 260.228555072835 -276.572189750969</t>
  </si>
  <si>
    <t>-342.510753292344 250.552398562515 -260.013285076508</t>
  </si>
  <si>
    <t>-672.27600416558 19.2709927936501 -552.546005084055</t>
  </si>
  <si>
    <t>-516.303047448194 10.4768902020562 -302.416427860066</t>
  </si>
  <si>
    <t>-689.626390217999 179.111136604319 -101.913554304177</t>
  </si>
  <si>
    <t>-677.381993108607 184.520745808442 301.416944018814</t>
  </si>
  <si>
    <t>-740.514576081268 243.15342085302 740.945195607299</t>
  </si>
  <si>
    <t>-606.416908909237 188.897898153626 805.454411090616</t>
  </si>
  <si>
    <t>-634.230484415968 -31.7917648294408 308.433576603232</t>
  </si>
  <si>
    <t>-679.236547889448 -24.8536324831434 753.79980513285</t>
  </si>
  <si>
    <t>-572.730420333193 -115.800068221497 827.775932255479</t>
  </si>
  <si>
    <t>9763-20170724T105051.343583900.bin</t>
  </si>
  <si>
    <t>-683.111553564478 85.8176927362108 -95.8851149442652</t>
  </si>
  <si>
    <t>-691.097504470085 79.3749511583712 -211.258257075917</t>
  </si>
  <si>
    <t>-689.585918763551 71.6530465204028 -309.567592093079</t>
  </si>
  <si>
    <t>-685.49057778503 63.705586915517 -398.214701676579</t>
  </si>
  <si>
    <t>-678.331508816442 54.7570142506572 -486.571529236535</t>
  </si>
  <si>
    <t>-665.131010695775 41.1632265563885 -609.70461552356</t>
  </si>
  <si>
    <t>-629.20256179173 34.9412516130894 -684.373550455627</t>
  </si>
  <si>
    <t>-670.206148440787 74.685703529198 -558.481566006655</t>
  </si>
  <si>
    <t>-658.273218724017 211.618528969954 -556.364939564458</t>
  </si>
  <si>
    <t>-581.308768857948 260.765333563935 -276.628939088516</t>
  </si>
  <si>
    <t>-341.121895288236 251.197285495722 -260.209636164687</t>
  </si>
  <si>
    <t>-671.67382449642 19.6046207773816 -552.557963786646</t>
  </si>
  <si>
    <t>-515.94353833615 10.5960550919192 -302.120948028235</t>
  </si>
  <si>
    <t>-689.09307091116 179.026863245899 -101.830371588195</t>
  </si>
  <si>
    <t>-677.150535163438 184.583223179717 301.507153100676</t>
  </si>
  <si>
    <t>-740.517916667743 243.067651530385 741.004235665652</t>
  </si>
  <si>
    <t>-606.280520908463 189.109041412758 805.472008370723</t>
  </si>
  <si>
    <t>-633.969187656922 -32.0551163187943 308.456227828042</t>
  </si>
  <si>
    <t>-679.27828138102 -24.9502234870199 753.799062519573</t>
  </si>
  <si>
    <t>-572.725170165584 -115.840582712723 827.77677984951</t>
  </si>
  <si>
    <t>9763-20170724T105051.409297600.bin</t>
  </si>
  <si>
    <t>-682.002236055473 85.7914272993669 -95.8012992546597</t>
  </si>
  <si>
    <t>-690.088526448546 79.3569905989875 -211.167716943764</t>
  </si>
  <si>
    <t>-688.59448105122 71.7757089149648 -309.488424656764</t>
  </si>
  <si>
    <t>-684.486066251261 64.0081506498625 -398.150890440347</t>
  </si>
  <si>
    <t>-677.284484302297 55.292732701048 -486.527479989719</t>
  </si>
  <si>
    <t>-663.992593889231 42.0802678420739 -609.692373305</t>
  </si>
  <si>
    <t>-627.873251406663 36.307797567222 -684.305276694012</t>
  </si>
  <si>
    <t>-669.145848622736 75.4446232656701 -558.373908388346</t>
  </si>
  <si>
    <t>-657.618002594658 212.417430252088 -556.06755158075</t>
  </si>
  <si>
    <t>-579.302202063639 261.834194210653 -276.75447023264</t>
  </si>
  <si>
    <t>-339.032920308147 252.629203003243 -261.365534196366</t>
  </si>
  <si>
    <t>-670.537541653628 20.3442375531672 -552.613280380926</t>
  </si>
  <si>
    <t>-515.022347664277 10.9641784664843 -302.241907715051</t>
  </si>
  <si>
    <t>-688.041963678043 179.272539068735 -101.741813714778</t>
  </si>
  <si>
    <t>-676.215812061049 184.945701525048 301.597537222676</t>
  </si>
  <si>
    <t>-740.443208234659 243.004275811081 741.00767010283</t>
  </si>
  <si>
    <t>-605.973511918726 189.607175202402 805.458909935767</t>
  </si>
  <si>
    <t>-633.027965115334 -32.2747793506849 308.534021797029</t>
  </si>
  <si>
    <t>-679.133884218536 -24.7575824433677 753.727887554067</t>
  </si>
  <si>
    <t>-572.942050190818 -116.020750593197 827.765740595047</t>
  </si>
  <si>
    <t>9763-20170724T105051.444391500.bin</t>
  </si>
  <si>
    <t>-681.487613718967 85.663965586419 -95.8112825670621</t>
  </si>
  <si>
    <t>-689.615154759009 79.2285968828378 -211.174892111279</t>
  </si>
  <si>
    <t>-688.158079591701 71.709307357783 -309.500708604525</t>
  </si>
  <si>
    <t>-684.082916665997 64.0221703640923 -398.171795340041</t>
  </si>
  <si>
    <t>-676.913978498669 55.4115360673084 -486.561409445005</t>
  </si>
  <si>
    <t>-663.667152978761 42.3709795534173 -609.749206815606</t>
  </si>
  <si>
    <t>-627.48197134861 36.8193654922995 -684.347198860797</t>
  </si>
  <si>
    <t>-668.840184299389 75.6641773470778 -558.386649965998</t>
  </si>
  <si>
    <t>-657.657636994943 212.656932414476 -555.948977005747</t>
  </si>
  <si>
    <t>-578.347966338377 262.253783387659 -276.948461699227</t>
  </si>
  <si>
    <t>-338.062130243325 252.726828483988 -262.019953744787</t>
  </si>
  <si>
    <t>-670.152744230948 20.5548041698612 -552.693934581466</t>
  </si>
  <si>
    <t>-514.500995706447 11.1565102026598 -302.343627134738</t>
  </si>
  <si>
    <t>-687.576122686272 179.111983477985 -101.710369892337</t>
  </si>
  <si>
    <t>-675.698661904102 184.887788420718 301.625965348249</t>
  </si>
  <si>
    <t>-740.397483956851 243.002656014097 740.969129216461</t>
  </si>
  <si>
    <t>-605.767496258743 190.011025588314 805.419981931283</t>
  </si>
  <si>
    <t>-632.641795846283 -32.2555254431718 308.5295881853</t>
  </si>
  <si>
    <t>-679.118546422599 -24.7538781154105 753.704756940415</t>
  </si>
  <si>
    <t>-572.987023126962 -116.070168693378 827.763699946362</t>
  </si>
  <si>
    <t>9763-20170724T105051.509076300.bin</t>
  </si>
  <si>
    <t>-680.832438983051 85.5315244250671 -95.8059567688267</t>
  </si>
  <si>
    <t>-689.030403766094 79.1725963989836 -211.168788346723</t>
  </si>
  <si>
    <t>-687.666702927968 71.8056749536693 -309.507646409803</t>
  </si>
  <si>
    <t>-683.68859353265 64.2885416920992 -398.197574832082</t>
  </si>
  <si>
    <t>-676.62862085194 55.8811263815528 -486.615344472773</t>
  </si>
  <si>
    <t>-663.545879056172 43.1589011377291 -609.854174164683</t>
  </si>
  <si>
    <t>-627.321439832702 38.0704416955557 -684.466066405364</t>
  </si>
  <si>
    <t>-668.72843887048 76.3201631123793 -558.407179594186</t>
  </si>
  <si>
    <t>-658.189583640045 213.370913605965 -555.672300813962</t>
  </si>
  <si>
    <t>-578.034111001287 262.63504250336 -276.854618756754</t>
  </si>
  <si>
    <t>-337.623921237717 252.345290890366 -264.692311111045</t>
  </si>
  <si>
    <t>-669.877385804996 21.1945694703879 -552.838545362602</t>
  </si>
  <si>
    <t>-513.175734193376 11.4144017526457 -302.84426906961</t>
  </si>
  <si>
    <t>-687.138440752396 179.087585467173 -101.629094674697</t>
  </si>
  <si>
    <t>-675.268409354884 184.834699374687 301.707895125592</t>
  </si>
  <si>
    <t>-740.373835803991 243.011393071119 741.019879139272</t>
  </si>
  <si>
    <t>-605.610114162277 190.302000477946 805.422808460961</t>
  </si>
  <si>
    <t>-631.802703684662 -32.4240664011652 308.523565123307</t>
  </si>
  <si>
    <t>-679.135422162395 -24.9035567138726 753.637203901953</t>
  </si>
  <si>
    <t>-572.962450067336 -116.12838593715 827.749509139171</t>
  </si>
  <si>
    <t>9763-20170724T105051.543161400.bin</t>
  </si>
  <si>
    <t>-680.29141305909 85.3829129228905 -95.8630195777339</t>
  </si>
  <si>
    <t>-688.540035412102 79.0133599486192 -211.22162241524</t>
  </si>
  <si>
    <t>-687.215874096855 71.7197090366342 -309.566507898063</t>
  </si>
  <si>
    <t>-683.270920371255 64.3000183985139 -398.266087068457</t>
  </si>
  <si>
    <t>-676.241586727104 56.0213180051715 -486.698512979766</t>
  </si>
  <si>
    <t>-663.198418630407 43.5116032230947 -609.963262507576</t>
  </si>
  <si>
    <t>-626.985876972069 38.6626932091522 -684.596837042108</t>
  </si>
  <si>
    <t>-668.393913515775 76.5844021716155 -558.46075193413</t>
  </si>
  <si>
    <t>-658.207345715458 213.646209923738 -555.524941217962</t>
  </si>
  <si>
    <t>-578.26736603116 262.238296133303 -276.527420098854</t>
  </si>
  <si>
    <t>-337.737255762017 251.470460742939 -267.574539426841</t>
  </si>
  <si>
    <t>-669.482195873673 21.4485312670861 -552.980368661987</t>
  </si>
  <si>
    <t>-512.0932980931 11.1625461461169 -302.831103234393</t>
  </si>
  <si>
    <t>-686.744702748154 179.196616304439 -101.692065561714</t>
  </si>
  <si>
    <t>-675.207125428816 185.200790728564 301.650815409151</t>
  </si>
  <si>
    <t>-740.344902962685 243.072441428465 741.024693425837</t>
  </si>
  <si>
    <t>-605.470646994752 190.60933115609 805.397500400267</t>
  </si>
  <si>
    <t>-631.491146487787 -32.4612635093515 308.488234015359</t>
  </si>
  <si>
    <t>-679.123270966238 -24.949176882807 753.59431250589</t>
  </si>
  <si>
    <t>-572.874947602526 -116.063338206778 827.73467868241</t>
  </si>
  <si>
    <t>9763-20170724T105051.611356500.bin</t>
  </si>
  <si>
    <t>-679.709253801311 85.4015562272116 -96.0412472131478</t>
  </si>
  <si>
    <t>-687.967991308915 78.9992168662625 -211.397291130698</t>
  </si>
  <si>
    <t>-686.64955925577 71.9502478291527 -309.760045578118</t>
  </si>
  <si>
    <t>-682.706276604934 64.8581570173571 -398.486624052457</t>
  </si>
  <si>
    <t>-675.673342747241 57.01382235859 -486.958247800246</t>
  </si>
  <si>
    <t>-662.618077072619 45.2221254659682 -610.292508897568</t>
  </si>
  <si>
    <t>-626.442196477213 40.9217429087073 -684.977535502445</t>
  </si>
  <si>
    <t>-667.908652966036 77.9951105391126 -558.608303217157</t>
  </si>
  <si>
    <t>-658.453815024031 215.087259122556 -554.994606437518</t>
  </si>
  <si>
    <t>-578.889927113884 262.470753842383 -275.68173100739</t>
  </si>
  <si>
    <t>-338.241246308087 251.426363005279 -271.542989984271</t>
  </si>
  <si>
    <t>-668.81740334661 22.8269975020212 -553.430061989761</t>
  </si>
  <si>
    <t>-511.00524426764 11.7721546589999 -302.933732153519</t>
  </si>
  <si>
    <t>-686.362469915017 179.428829837182 -101.855019974617</t>
  </si>
  <si>
    <t>-675.183879470872 185.734817853548 301.493403495471</t>
  </si>
  <si>
    <t>-740.23000434952 243.117203975938 740.922596899613</t>
  </si>
  <si>
    <t>-605.179687165455 191.131648803275 805.313671490188</t>
  </si>
  <si>
    <t>-630.710159403366 -32.445329237511 308.396532472166</t>
  </si>
  <si>
    <t>-678.995521309927 -24.8710020236736 753.447195136551</t>
  </si>
  <si>
    <t>-573.006152118134 -116.192297099112 827.703309675605</t>
  </si>
  <si>
    <t>9763-20170724T105051.643441500.bin</t>
  </si>
  <si>
    <t>-679.64563429813 85.527508940894 -96.0706147083138</t>
  </si>
  <si>
    <t>-687.893695506406 79.1315517992532 -211.427798392086</t>
  </si>
  <si>
    <t>-686.549537984501 72.2145066312316 -309.799559550276</t>
  </si>
  <si>
    <t>-682.57551012834 65.2902097137076 -398.53790634012</t>
  </si>
  <si>
    <t>-675.503391915032 57.6619205122452 -487.025459200872</t>
  </si>
  <si>
    <t>-662.384070345769 46.2222928217791 -610.385948182109</t>
  </si>
  <si>
    <t>-626.20859701472 42.1990110872316 -685.086644423299</t>
  </si>
  <si>
    <t>-667.744126773379 78.8479254577146 -558.615933184626</t>
  </si>
  <si>
    <t>-658.513564972579 215.94702335002 -554.588927840794</t>
  </si>
  <si>
    <t>-579.199847012427 262.619305782144 -275.085370569913</t>
  </si>
  <si>
    <t>-338.53923266548 251.308652923086 -272.764955556172</t>
  </si>
  <si>
    <t>-668.570109220416 23.6647653534455 -553.586467589192</t>
  </si>
  <si>
    <t>-511.043312805982 12.650211645627 -302.968498992047</t>
  </si>
  <si>
    <t>-686.48007547458 179.524356850723 -101.881099874196</t>
  </si>
  <si>
    <t>-675.218601855846 185.836185261855 301.464834690556</t>
  </si>
  <si>
    <t>-740.152571847658 243.277855279003 740.888944418109</t>
  </si>
  <si>
    <t>-605.090074484448 191.347077617665 805.298866597349</t>
  </si>
  <si>
    <t>-630.274446721141 -32.6011171399389 308.33208409419</t>
  </si>
  <si>
    <t>-678.980149329291 -24.8796334462397 753.395575535715</t>
  </si>
  <si>
    <t>-573.202505746426 -116.412429310541 827.693063338013</t>
  </si>
  <si>
    <t>9763-20170724T105051.709444400.bin</t>
  </si>
  <si>
    <t>-679.940680115456 85.1926874317307 -95.9721026849287</t>
  </si>
  <si>
    <t>-688.213158338512 78.8937062151315 -211.332999834842</t>
  </si>
  <si>
    <t>-686.823105100794 72.2598235330954 -309.723540541605</t>
  </si>
  <si>
    <t>-682.778813069101 65.6675744361962 -398.483933584903</t>
  </si>
  <si>
    <t>-675.607072370356 58.4466952353794 -486.99762011995</t>
  </si>
  <si>
    <t>-662.316952078521 47.6536289380697 -610.398188396204</t>
  </si>
  <si>
    <t>-626.13576941637 44.1248698466693 -685.121053198392</t>
  </si>
  <si>
    <t>-667.793684330575 80.0077128283535 -558.470116874348</t>
  </si>
  <si>
    <t>-658.679871466069 217.088364873004 -553.602984783343</t>
  </si>
  <si>
    <t>-579.96811673869 262.009099421168 -273.642577487397</t>
  </si>
  <si>
    <t>-339.300561413914 250.650970848099 -272.637014922362</t>
  </si>
  <si>
    <t>-668.536888619504 24.7985794774695 -553.721360549977</t>
  </si>
  <si>
    <t>-512.026862742298 14.0005465957584 -303.569937812612</t>
  </si>
  <si>
    <t>-686.863835937219 179.165348126219 -101.728497749775</t>
  </si>
  <si>
    <t>-675.566428094084 185.60247830774 301.614588465278</t>
  </si>
  <si>
    <t>-740.061824445779 243.398760037682 740.969799639455</t>
  </si>
  <si>
    <t>-605.007725456952 191.481400892565 805.408102458906</t>
  </si>
  <si>
    <t>-629.672863715907 -33.0887754890441 308.253385938732</t>
  </si>
  <si>
    <t>-679.031141746921 -25.0090183520365 753.325481404038</t>
  </si>
  <si>
    <t>-573.236039524457 -116.515111098015 827.631161043312</t>
  </si>
  <si>
    <t>9763-20170724T105051.746539400.bin</t>
  </si>
  <si>
    <t>-680.12449200074 84.9012613936686 -95.9103650220428</t>
  </si>
  <si>
    <t>-688.413043211967 78.6487801821236 -211.272507706002</t>
  </si>
  <si>
    <t>-687.022996125186 72.1485440664032 -309.672175501055</t>
  </si>
  <si>
    <t>-682.972530219476 65.7140525519703 -398.443844173895</t>
  </si>
  <si>
    <t>-675.787702541013 58.6874573328539 -486.972016669244</t>
  </si>
  <si>
    <t>-662.471643569824 48.2039597553942 -610.396565570005</t>
  </si>
  <si>
    <t>-626.303096315299 44.866535533404 -685.134289526914</t>
  </si>
  <si>
    <t>-667.96625691428 80.4277789213627 -558.389425595171</t>
  </si>
  <si>
    <t>-658.845294329185 217.496021537315 -553.1234410888</t>
  </si>
  <si>
    <t>-580.021186940605 261.853448859868 -273.104824362092</t>
  </si>
  <si>
    <t>-339.350933261198 250.515607838963 -272.769526280347</t>
  </si>
  <si>
    <t>-668.696580240485 25.2067722666275 -553.777794589205</t>
  </si>
  <si>
    <t>-512.537426372209 14.4756064399294 -304.03250381939</t>
  </si>
  <si>
    <t>-687.025809230347 178.923470113684 -101.629023881427</t>
  </si>
  <si>
    <t>-675.626458685084 185.315808547934 301.711838030556</t>
  </si>
  <si>
    <t>-740.017572542022 243.513741754824 741.036059484328</t>
  </si>
  <si>
    <t>-604.970214380323 191.582286310853 805.477122136808</t>
  </si>
  <si>
    <t>-629.625130265448 -33.1735729274367 308.245296515658</t>
  </si>
  <si>
    <t>-679.030344482997 -24.993139864571 753.30802164507</t>
  </si>
  <si>
    <t>-573.490417978662 -116.782759286606 827.626847464776</t>
  </si>
  <si>
    <t>9763-20170724T105051.811722400.bin</t>
  </si>
  <si>
    <t>-680.580905778301 84.6082197886199 -95.7664869251627</t>
  </si>
  <si>
    <t>-688.893841314961 78.5034553077567 -211.134743633551</t>
  </si>
  <si>
    <t>-687.50142220338 72.2682196838912 -309.551471139461</t>
  </si>
  <si>
    <t>-683.437882554033 66.1303261787709 -398.343666274893</t>
  </si>
  <si>
    <t>-676.228127440013 59.4570548560814 -486.89721876327</t>
  </si>
  <si>
    <t>-662.863445498724 49.5279358265384 -610.362291774721</t>
  </si>
  <si>
    <t>-626.691884551869 46.4681549424599 -685.110319996492</t>
  </si>
  <si>
    <t>-668.365562934345 81.5179257777493 -558.211605316262</t>
  </si>
  <si>
    <t>-659.097444139887 218.543734663385 -552.349084334355</t>
  </si>
  <si>
    <t>-579.272627123165 262.406065258795 -272.536131493475</t>
  </si>
  <si>
    <t>-338.608821002318 250.936941872596 -273.070876331113</t>
  </si>
  <si>
    <t>-669.123509326156 26.2768472517423 -553.85118972992</t>
  </si>
  <si>
    <t>-513.096676284107 14.410076790188 -304.541140022654</t>
  </si>
  <si>
    <t>-687.186867138917 178.698552109488 -101.380385200986</t>
  </si>
  <si>
    <t>-675.743057180816 184.778712724978 301.96410051511</t>
  </si>
  <si>
    <t>-739.967984475196 243.71197466715 741.184443706339</t>
  </si>
  <si>
    <t>-605.043015797608 191.487381193634 805.644743418526</t>
  </si>
  <si>
    <t>-630.04608748582 -33.3123132682281 308.25838333504</t>
  </si>
  <si>
    <t>-679.180339178523 -25.2775188046201 753.330644001848</t>
  </si>
  <si>
    <t>-573.222303987101 -116.616249044926 827.610017760303</t>
  </si>
  <si>
    <t>9763-20170724T105051.847827300.bin</t>
  </si>
  <si>
    <t>-680.749674080701 84.6801143015239 -95.706569146865</t>
  </si>
  <si>
    <t>-689.036554673666 78.6686417878825 -211.081618086557</t>
  </si>
  <si>
    <t>-687.61022967444 72.5459229473906 -309.50484293555</t>
  </si>
  <si>
    <t>-683.510976863007 66.5250304796757 -398.303463672935</t>
  </si>
  <si>
    <t>-676.259875724066 59.9843924182451 -486.863531481901</t>
  </si>
  <si>
    <t>-662.831567559202 50.2571487288269 -610.337710872419</t>
  </si>
  <si>
    <t>-626.635080418397 47.2561280247678 -685.076192970448</t>
  </si>
  <si>
    <t>-668.33059110453 82.1615239575299 -558.13445947806</t>
  </si>
  <si>
    <t>-658.838569538185 219.155403335538 -552.051603607633</t>
  </si>
  <si>
    <t>-578.421959614462 262.902383624634 -272.389935348317</t>
  </si>
  <si>
    <t>-337.769508562453 251.214278625999 -273.21266109343</t>
  </si>
  <si>
    <t>-669.150802152855 26.9137990136471 -553.87128360105</t>
  </si>
  <si>
    <t>-513.024423978217 14.2707860218202 -304.53134507775</t>
  </si>
  <si>
    <t>-687.085621379365 178.676419530164 -101.259307706854</t>
  </si>
  <si>
    <t>-675.770601992259 184.636015587166 302.090605528915</t>
  </si>
  <si>
    <t>-739.947764482277 243.822894093983 741.260500589257</t>
  </si>
  <si>
    <t>-605.058203909542 191.516534107496 805.728695624276</t>
  </si>
  <si>
    <t>-630.184784610134 -33.2744733505319 308.235426145603</t>
  </si>
  <si>
    <t>-679.149638171079 -25.2229504959705 753.338311408991</t>
  </si>
  <si>
    <t>-573.54052202324 -116.952187017474 827.633520870308</t>
  </si>
  <si>
    <t>9763-20170724T105051.911993700.bin</t>
  </si>
  <si>
    <t>-681.082258128882 84.8749738506003 -95.5596240884299</t>
  </si>
  <si>
    <t>-689.277039387374 79.0580117424743 -210.95125340714</t>
  </si>
  <si>
    <t>-687.714960721843 73.0579776162101 -309.380017569563</t>
  </si>
  <si>
    <t>-683.470390567992 67.13601849319 -398.17843382344</t>
  </si>
  <si>
    <t>-676.051511458676 60.6809747944942 -486.730814569616</t>
  </si>
  <si>
    <t>-662.365566209247 51.0608308681137 -610.18508824121</t>
  </si>
  <si>
    <t>-626.060045794752 47.9226039367932 -684.865017225629</t>
  </si>
  <si>
    <t>-667.847084356577 82.9187539427685 -557.951746688815</t>
  </si>
  <si>
    <t>-657.643861902474 219.867096617249 -551.709969456775</t>
  </si>
  <si>
    <t>-576.261416943283 263.268218293639 -272.274105978279</t>
  </si>
  <si>
    <t>-335.629751267654 251.137346407633 -272.585209030511</t>
  </si>
  <si>
    <t>-668.928996163959 27.6695010227261 -553.766259841142</t>
  </si>
  <si>
    <t>-512.945345321792 13.6596742879171 -304.252223863875</t>
  </si>
  <si>
    <t>-686.827531372168 178.921701121811 -101.014129098555</t>
  </si>
  <si>
    <t>-675.815027641413 184.598455753673 302.34818904954</t>
  </si>
  <si>
    <t>-739.936133214468 244.03565943621 741.50266821012</t>
  </si>
  <si>
    <t>-605.319071215931 191.050279980508 805.985831444604</t>
  </si>
  <si>
    <t>-630.770491944102 -33.1359325614342 308.210601988214</t>
  </si>
  <si>
    <t>-679.22392720655 -25.3627023086005 753.358155918463</t>
  </si>
  <si>
    <t>-573.400346002615 -116.861236193881 827.632631792312</t>
  </si>
  <si>
    <t>9763-20170724T105051.945082600.bin</t>
  </si>
  <si>
    <t>-681.188658244326 85.2396759320079 -95.4874076229518</t>
  </si>
  <si>
    <t>-689.386194892729 79.4639322007051 -210.880863251729</t>
  </si>
  <si>
    <t>-687.78729818637 73.437676767564 -309.307463641172</t>
  </si>
  <si>
    <t>-683.49408260094 67.4694981126597 -398.100464489494</t>
  </si>
  <si>
    <t>-676.012058464499 60.944950691008 -486.642358635934</t>
  </si>
  <si>
    <t>-662.222515523524 51.2029299784767 -610.075650921321</t>
  </si>
  <si>
    <t>-625.84473816842 47.8673281335284 -684.711744791192</t>
  </si>
  <si>
    <t>-667.658758807127 83.1113014592463 -557.868215180876</t>
  </si>
  <si>
    <t>-657.021857318948 220.038637861225 -551.728194126447</t>
  </si>
  <si>
    <t>-575.110249492021 263.585624979632 -272.469674060923</t>
  </si>
  <si>
    <t>-334.519643182976 250.676615771688 -271.865369358738</t>
  </si>
  <si>
    <t>-668.922584428519 27.8684912477229 -553.649404876936</t>
  </si>
  <si>
    <t>-513.201620882516 13.2964144469922 -304.092059935894</t>
  </si>
  <si>
    <t>-686.681815265977 179.287513158064 -100.931261400573</t>
  </si>
  <si>
    <t>-675.709867221443 184.794403738222 302.4344824498</t>
  </si>
  <si>
    <t>-739.920705093415 244.164523567108 741.601966699873</t>
  </si>
  <si>
    <t>-605.390778033139 190.952113195758 806.080139589481</t>
  </si>
  <si>
    <t>-631.025642629462 -33.0656237801613 308.223788070094</t>
  </si>
  <si>
    <t>-679.274565884865 -25.4768791238953 753.372464251194</t>
  </si>
  <si>
    <t>-573.392615967921 -116.909025068891 827.645608979715</t>
  </si>
  <si>
    <t>9763-20170724T105052.012267900.bin</t>
  </si>
  <si>
    <t>-681.050368040771 85.9020015316339 -95.3831729670162</t>
  </si>
  <si>
    <t>-689.218043469559 80.1284738601098 -210.778825750187</t>
  </si>
  <si>
    <t>-687.546387034895 73.9087235096781 -309.192248602738</t>
  </si>
  <si>
    <t>-683.170642786755 67.6906941522946 -397.964073169827</t>
  </si>
  <si>
    <t>-675.590562898245 60.8392183730539 -486.472944374725</t>
  </si>
  <si>
    <t>-661.649174684955 50.5593294815139 -609.845385338325</t>
  </si>
  <si>
    <t>-625.059261631747 46.6796433743011 -684.35159558172</t>
  </si>
  <si>
    <t>-666.971025532839 82.6918975549015 -557.763858531232</t>
  </si>
  <si>
    <t>-655.531068294816 219.566253904323 -552.091067953865</t>
  </si>
  <si>
    <t>-572.677081938894 264.141417424066 -273.27288183183</t>
  </si>
  <si>
    <t>-332.166463294346 250.250960381502 -269.733056004018</t>
  </si>
  <si>
    <t>-668.596981091962 27.4740715270132 -553.346678161038</t>
  </si>
  <si>
    <t>-513.415957980089 12.3949467200625 -303.527043630204</t>
  </si>
  <si>
    <t>-686.077446784167 179.803271299512 -100.816825672936</t>
  </si>
  <si>
    <t>-675.390625199188 185.297176584589 302.556815670005</t>
  </si>
  <si>
    <t>-739.892471607357 244.534684801301 741.769518741217</t>
  </si>
  <si>
    <t>-605.535266448084 190.829295815112 806.19894383681</t>
  </si>
  <si>
    <t>-631.413130315705 -32.8219371854657 308.30432107501</t>
  </si>
  <si>
    <t>-679.307276242101 -25.5187569997454 753.429649266676</t>
  </si>
  <si>
    <t>-573.514107343567 -117.052154226054 827.704320740419</t>
  </si>
  <si>
    <t>9763-20170724T105052.044353200.bin</t>
  </si>
  <si>
    <t>-680.712235004305 86.073046108155 -95.390061252904</t>
  </si>
  <si>
    <t>-688.891004800423 80.2311576291654 -210.781641544094</t>
  </si>
  <si>
    <t>-687.185908943766 73.8583624507964 -309.18455491567</t>
  </si>
  <si>
    <t>-682.763938433389 67.4642798955831 -397.941478780043</t>
  </si>
  <si>
    <t>-675.122206668421 60.3977215668572 -486.428315535096</t>
  </si>
  <si>
    <t>-661.079471594944 49.7761766553126 -609.760280333516</t>
  </si>
  <si>
    <t>-624.356803138581 45.5725050585597 -684.183435882361</t>
  </si>
  <si>
    <t>-666.372451263741 82.0513525091521 -557.764127654828</t>
  </si>
  <si>
    <t>-654.775336471363 218.936558445711 -552.464736521704</t>
  </si>
  <si>
    <t>-571.813896702415 263.854903725383 -273.733824325128</t>
  </si>
  <si>
    <t>-331.310856147695 250.184302213183 -269.015409790849</t>
  </si>
  <si>
    <t>-668.145535481126 26.8490095845223 -553.211939105793</t>
  </si>
  <si>
    <t>-513.128009185724 11.7547641373599 -303.238627622608</t>
  </si>
  <si>
    <t>-685.889940450863 180.099528953221 -100.859261393965</t>
  </si>
  <si>
    <t>-675.175890376225 185.642084189891 302.512973952319</t>
  </si>
  <si>
    <t>-739.881252032277 244.565761623349 741.832780427376</t>
  </si>
  <si>
    <t>-605.479254174299 190.923082953138 806.220973663587</t>
  </si>
  <si>
    <t>-631.549861521419 -32.5326602651687 308.392450972031</t>
  </si>
  <si>
    <t>-679.357880464355 -25.6100331279531 753.464259772012</t>
  </si>
  <si>
    <t>-573.613556945046 -117.191493512354 827.749504947014</t>
  </si>
  <si>
    <t>9763-20170724T105052.112378000.bin</t>
  </si>
  <si>
    <t>-680.250279908339 86.6441228730885 -95.6793516820411</t>
  </si>
  <si>
    <t>-688.649713513353 80.4121763332066 -211.034700084428</t>
  </si>
  <si>
    <t>-686.983857061368 73.5994703088795 -309.408764320674</t>
  </si>
  <si>
    <t>-682.539725371335 66.7578660346896 -398.131345689475</t>
  </si>
  <si>
    <t>-674.820235642351 59.1907261057761 -486.569825590595</t>
  </si>
  <si>
    <t>-660.612515131377 47.8100349921326 -609.815347716501</t>
  </si>
  <si>
    <t>-623.576912394327 42.9382646828558 -684.042403412107</t>
  </si>
  <si>
    <t>-665.922203908162 80.4035863221295 -558.019674021503</t>
  </si>
  <si>
    <t>-654.534382675307 217.333674238054 -553.540620860882</t>
  </si>
  <si>
    <t>-573.383600536646 264.120192424744 -274.583971506532</t>
  </si>
  <si>
    <t>-332.907560654053 250.965388530078 -267.577633667342</t>
  </si>
  <si>
    <t>-667.807129542332 25.2327223372947 -553.142520753781</t>
  </si>
  <si>
    <t>-512.745934806114 10.6071359856621 -303.0228519256</t>
  </si>
  <si>
    <t>-686.517982822821 181.261346349022 -101.416715589422</t>
  </si>
  <si>
    <t>-674.75557961965 186.955440345381 301.924229709434</t>
  </si>
  <si>
    <t>-739.675768234562 244.698155096807 741.524773175587</t>
  </si>
  <si>
    <t>-605.125602384396 191.617002345472 806.069013842341</t>
  </si>
  <si>
    <t>-631.327907780043 -31.8323168052539 308.493383931869</t>
  </si>
  <si>
    <t>-679.272000894557 -25.4804924865775 753.432499601206</t>
  </si>
  <si>
    <t>-573.588864938983 -117.074432056291 827.789101457654</t>
  </si>
  <si>
    <t>9763-20170724T105052.143453800.bin</t>
  </si>
  <si>
    <t>-680.320675361093 86.8177549481848 -95.9206667945798</t>
  </si>
  <si>
    <t>-688.759237916539 80.3571057804347 -211.260451026909</t>
  </si>
  <si>
    <t>-687.085218351121 73.2972498409927 -309.617159817687</t>
  </si>
  <si>
    <t>-682.618618111085 66.2055635313518 -398.318782050671</t>
  </si>
  <si>
    <t>-674.862573800362 58.3593655014797 -486.729978589204</t>
  </si>
  <si>
    <t>-660.590199137137 46.5562128127153 -609.92810433906</t>
  </si>
  <si>
    <t>-623.398512239382 41.3871328728562 -684.056955083712</t>
  </si>
  <si>
    <t>-665.934882746022 79.3272694399316 -558.248314343557</t>
  </si>
  <si>
    <t>-654.969283536858 216.327893371293 -554.195226542407</t>
  </si>
  <si>
    <t>-576.207561959782 263.164162137337 -274.563000302003</t>
  </si>
  <si>
    <t>-335.706931479091 250.752190450543 -267.0617619381</t>
  </si>
  <si>
    <t>-667.806412395916 24.1731350711773 -553.180946238995</t>
  </si>
  <si>
    <t>-512.736563439523 10.1794317337028 -303.111582737403</t>
  </si>
  <si>
    <t>-686.961450560567 181.438553767465 -101.813019916288</t>
  </si>
  <si>
    <t>-675.248737676977 187.566818855431 301.522972408233</t>
  </si>
  <si>
    <t>-739.503265506522 244.775803890551 741.286882074057</t>
  </si>
  <si>
    <t>-604.922940258602 191.924141040232 805.956529101968</t>
  </si>
  <si>
    <t>-631.235158423928 -31.2960517413226 308.503564937347</t>
  </si>
  <si>
    <t>-679.177628971788 -25.2839974165302 753.411660111841</t>
  </si>
  <si>
    <t>-573.868935024445 -117.268249941007 827.817864882615</t>
  </si>
  <si>
    <t>9763-20170724T105052.213295000.bin</t>
  </si>
  <si>
    <t>-680.888442188723 86.5167173911957 -96.3495197985776</t>
  </si>
  <si>
    <t>-689.184347355422 79.6832973599787 -211.678285438967</t>
  </si>
  <si>
    <t>-687.384029521363 72.2465937862769 -310.004671859877</t>
  </si>
  <si>
    <t>-682.804235417944 64.7775861461787 -398.669759744141</t>
  </si>
  <si>
    <t>-674.938377288127 56.5147089729601 -487.033201979573</t>
  </si>
  <si>
    <t>-660.518216033832 44.0830435173384 -610.152360383346</t>
  </si>
  <si>
    <t>-623.045096177759 38.4862398048301 -684.108205796987</t>
  </si>
  <si>
    <t>-665.972823206788 77.1183423710345 -558.652709345736</t>
  </si>
  <si>
    <t>-655.86447284308 214.17087362517 -555.064668379979</t>
  </si>
  <si>
    <t>-584.016400521714 261.258873399978 -273.618793371662</t>
  </si>
  <si>
    <t>-343.453697078161 251.443917165004 -264.448028230608</t>
  </si>
  <si>
    <t>-667.754850985967 21.9887327398399 -553.294855130678</t>
  </si>
  <si>
    <t>-512.82025243847 9.56224239728385 -303.539063988186</t>
  </si>
  <si>
    <t>-688.474427877461 181.220272474121 -102.446063916138</t>
  </si>
  <si>
    <t>-676.146633847638 187.789483222015 300.86463581756</t>
  </si>
  <si>
    <t>-739.200432882269 244.933680269334 740.887972678613</t>
  </si>
  <si>
    <t>-604.568432783479 192.425390540243 805.729233309876</t>
  </si>
  <si>
    <t>-631.225118407192 -30.9990168111481 308.478979655089</t>
  </si>
  <si>
    <t>-679.23475831891 -25.2714930548575 753.416573621886</t>
  </si>
  <si>
    <t>-574.092485765269 -117.436039163943 827.834949831576</t>
  </si>
  <si>
    <t>9763-20170724T105052.240364300.bin</t>
  </si>
  <si>
    <t>-681.240260171663 86.146506466737 -96.4787770187498</t>
  </si>
  <si>
    <t>-689.462615171334 79.2038644519905 -211.806285613703</t>
  </si>
  <si>
    <t>-687.606947041008 71.6525154039073 -310.123010318752</t>
  </si>
  <si>
    <t>-682.981226855468 64.0682880032516 -398.775771720134</t>
  </si>
  <si>
    <t>-675.073586835986 55.6785473877433 -487.123648249704</t>
  </si>
  <si>
    <t>-660.600171151811 43.0567988813414 -610.217179271869</t>
  </si>
  <si>
    <t>-623.032346842899 37.3231240340162 -684.114467792352</t>
  </si>
  <si>
    <t>-666.138173597567 76.1729098625242 -558.778288484269</t>
  </si>
  <si>
    <t>-656.400552489207 213.257615913597 -555.385053660158</t>
  </si>
  <si>
    <t>-588.492393234552 261.299585526697 -273.123354795662</t>
  </si>
  <si>
    <t>-347.935368661299 253.407928549087 -262.128260931576</t>
  </si>
  <si>
    <t>-667.800265952464 21.0491119766155 -553.321401727373</t>
  </si>
  <si>
    <t>-513.093899644777 9.46320686997797 -303.793683689357</t>
  </si>
  <si>
    <t>-689.167645603665 180.893709343287 -102.636116571464</t>
  </si>
  <si>
    <t>-676.379991737725 187.696409618212 300.65641886896</t>
  </si>
  <si>
    <t>-739.101091722866 245.029154612981 740.757110660284</t>
  </si>
  <si>
    <t>-604.453553396502 192.570961373352 805.606708236078</t>
  </si>
  <si>
    <t>-631.305000751511 -31.0661393339433 308.424945866606</t>
  </si>
  <si>
    <t>-679.214576289981 -25.0854797243505 753.434702198868</t>
  </si>
  <si>
    <t>-574.219208031589 -117.438516614937 827.826513826092</t>
  </si>
  <si>
    <t>9763-20170724T105052.309296400.bin</t>
  </si>
  <si>
    <t>-681.875523488674 85.2187112596621 -96.5909936948666</t>
  </si>
  <si>
    <t>-690.046041785723 78.1899021037011 -211.916927160514</t>
  </si>
  <si>
    <t>-688.234640619988 70.3909332373796 -310.215185998751</t>
  </si>
  <si>
    <t>-683.685991780252 62.5130080143306 -398.846355133033</t>
  </si>
  <si>
    <t>-675.893963979686 53.76320579872 -487.169428233265</t>
  </si>
  <si>
    <t>-661.622699687019 40.5694931213807 -610.226660032197</t>
  </si>
  <si>
    <t>-623.909190426019 34.5203172530867 -684.024569592135</t>
  </si>
  <si>
    <t>-667.185532294613 73.9260768765171 -558.945987261536</t>
  </si>
  <si>
    <t>-658.407825141207 211.096950709528 -555.955790410655</t>
  </si>
  <si>
    <t>-599.1981810833 260.578981617427 -271.989303770209</t>
  </si>
  <si>
    <t>-358.853261976762 258.11898711815 -255.281948050998</t>
  </si>
  <si>
    <t>-668.619926832225 18.8247797484789 -553.204615704949</t>
  </si>
  <si>
    <t>-513.935718405708 8.60175474456332 -304.334595316598</t>
  </si>
  <si>
    <t>-689.807264375793 179.982957166604 -102.852512190841</t>
  </si>
  <si>
    <t>-677.46488150749 187.532436415634 300.440589400382</t>
  </si>
  <si>
    <t>-738.982447603833 245.246918971929 740.600748897403</t>
  </si>
  <si>
    <t>-604.300705514961 192.830515635182 805.412965860376</t>
  </si>
  <si>
    <t>-632.000556856011 -31.648360574228 308.371277942301</t>
  </si>
  <si>
    <t>-679.476897855333 -25.3484067560576 753.496166018987</t>
  </si>
  <si>
    <t>-574.150153616208 -117.395279439168 827.799332688493</t>
  </si>
  <si>
    <t>9763-20170724T105052.342385700.bin</t>
  </si>
  <si>
    <t>-682.179780991937 84.8960372350423 -96.5872689185778</t>
  </si>
  <si>
    <t>-690.348159491777 77.8652974890699 -211.913107842924</t>
  </si>
  <si>
    <t>-688.560412468343 70.0122298630502 -310.207631121614</t>
  </si>
  <si>
    <t>-684.043419828575 62.0664253086786 -398.834326489292</t>
  </si>
  <si>
    <t>-676.293315027678 53.2308864383942 -487.152497682292</t>
  </si>
  <si>
    <t>-662.091433398138 39.9003678462943 -610.202987895413</t>
  </si>
  <si>
    <t>-624.283490481953 33.7734001287286 -683.946094797598</t>
  </si>
  <si>
    <t>-667.674647529604 73.3144677640853 -558.962105011081</t>
  </si>
  <si>
    <t>-659.172743002669 210.466528915698 -556.055646803589</t>
  </si>
  <si>
    <t>-605.524429374845 260.325399258133 -271.051941568384</t>
  </si>
  <si>
    <t>-365.349345089479 260.015740476516 -251.902804356188</t>
  </si>
  <si>
    <t>-669.007300350855 18.2183834826244 -553.147075145806</t>
  </si>
  <si>
    <t>-514.243545432148 8.46578576616048 -304.725061591515</t>
  </si>
  <si>
    <t>-690.016013395949 179.626129503169 -102.84041682893</t>
  </si>
  <si>
    <t>-677.758640826143 187.466595964589 300.449712313964</t>
  </si>
  <si>
    <t>-738.938671949159 245.374112115705 740.58396481319</t>
  </si>
  <si>
    <t>-604.314260932581 192.76195277787 805.356993240871</t>
  </si>
  <si>
    <t>-632.157649440701 -32.0741411684639 308.36345824572</t>
  </si>
  <si>
    <t>-679.586885981975 -25.4614808331537 753.516637226118</t>
  </si>
  <si>
    <t>-574.233221191956 -117.501959916352 827.789610845391</t>
  </si>
  <si>
    <t>9763-20170724T105052.409578000.bin</t>
  </si>
  <si>
    <t>-682.753488035753 83.9859459304578 -96.4241676688142</t>
  </si>
  <si>
    <t>-690.998155677669 76.99363954864 -211.746935111857</t>
  </si>
  <si>
    <t>-689.242627287628 69.1439095563553 -310.042246787999</t>
  </si>
  <si>
    <t>-684.740627005037 61.1919933481561 -398.66924653586</t>
  </si>
  <si>
    <t>-676.990959462497 52.3445031097465 -486.986255422589</t>
  </si>
  <si>
    <t>-662.774137800272 38.9929587261149 -610.032722413283</t>
  </si>
  <si>
    <t>-624.759569161367 32.8088144501903 -683.664726155478</t>
  </si>
  <si>
    <t>-668.477654007871 72.4170016919779 -558.811459571544</t>
  </si>
  <si>
    <t>-660.593798833794 209.615464193045 -555.798888954134</t>
  </si>
  <si>
    <t>-617.918578844879 259.787980697935 -269.001501065028</t>
  </si>
  <si>
    <t>-377.960818769668 262.215691219948 -247.431806429161</t>
  </si>
  <si>
    <t>-669.583020195986 17.3197019978704 -552.960601138977</t>
  </si>
  <si>
    <t>-514.882249993599 7.96977240481215 -305.644869741179</t>
  </si>
  <si>
    <t>-690.586285628223 178.672169981849 -102.60091781438</t>
  </si>
  <si>
    <t>-677.230666478046 186.459651446238 300.655367151326</t>
  </si>
  <si>
    <t>-738.949432476508 245.559269695965 740.600767140028</t>
  </si>
  <si>
    <t>-604.281744828715 192.806329055658 805.168814000804</t>
  </si>
  <si>
    <t>-632.475678570994 -32.9164628551925 308.453903040581</t>
  </si>
  <si>
    <t>-679.758813280248 -25.6453443227076 753.574547231698</t>
  </si>
  <si>
    <t>-573.963207700159 -117.233626204502 827.778031444525</t>
  </si>
  <si>
    <t>9763-20170724T105052.442676700.bin</t>
  </si>
  <si>
    <t>-682.872719721548 83.3053189185162 -96.3152931952403</t>
  </si>
  <si>
    <t>-691.219453108068 76.3249231620268 -211.631486081452</t>
  </si>
  <si>
    <t>-689.542761689389 68.4989794763569 -309.929999645565</t>
  </si>
  <si>
    <t>-685.107861811758 60.574872315457 -398.562908850966</t>
  </si>
  <si>
    <t>-677.420832642272 51.7626359434246 -486.888852839651</t>
  </si>
  <si>
    <t>-663.286546451067 38.4690183963532 -609.951077501657</t>
  </si>
  <si>
    <t>-625.184562283463 32.2826296353321 -683.537941589711</t>
  </si>
  <si>
    <t>-669.00947979014 71.8692397176912 -558.716580884715</t>
  </si>
  <si>
    <t>-661.383526499384 209.077002482562 -555.547264192521</t>
  </si>
  <si>
    <t>-622.858270496615 258.197454089188 -267.981350635618</t>
  </si>
  <si>
    <t>-382.819489876466 261.597662931239 -247.470658681478</t>
  </si>
  <si>
    <t>-670.00328940109 16.7684736273377 -552.878577298936</t>
  </si>
  <si>
    <t>-515.053969010439 7.24102386913773 -305.962575432385</t>
  </si>
  <si>
    <t>-690.699493134516 178.017385333463 -102.485492749577</t>
  </si>
  <si>
    <t>-677.084499558729 185.965891489619 300.75901987413</t>
  </si>
  <si>
    <t>-738.970604914024 245.662099414364 740.576622232428</t>
  </si>
  <si>
    <t>-604.3112590296 192.758915398265 805.039245664887</t>
  </si>
  <si>
    <t>-632.637376129737 -33.3258408919496 308.52904919983</t>
  </si>
  <si>
    <t>-679.91794381508 -25.8951378025608 753.616147677449</t>
  </si>
  <si>
    <t>-573.828750667426 -117.167900307513 827.789406754676</t>
  </si>
  <si>
    <t>9763-20170724T105052.508445800.bin</t>
  </si>
  <si>
    <t>-682.548675639293 82.2864870008498 -96.3153062722996</t>
  </si>
  <si>
    <t>-691.220330625647 75.2157239903056 -211.601933796279</t>
  </si>
  <si>
    <t>-689.861334146538 67.4001817258511 -309.906216870747</t>
  </si>
  <si>
    <t>-685.728254955459 59.5199951235816 -398.557631396152</t>
  </si>
  <si>
    <t>-678.35641399441 50.7873007610224 -486.918366759362</t>
  </si>
  <si>
    <t>-664.675576199514 37.6426640048298 -610.047923694407</t>
  </si>
  <si>
    <t>-626.491084726778 31.5169154475477 -683.596876472466</t>
  </si>
  <si>
    <t>-670.282481819542 70.981284643799 -558.760385137752</t>
  </si>
  <si>
    <t>-663.041042737362 208.189360530664 -555.139254211423</t>
  </si>
  <si>
    <t>-625.578825723794 254.976987479386 -267.044281113077</t>
  </si>
  <si>
    <t>-385.443142015331 258.450825680118 -247.714888484225</t>
  </si>
  <si>
    <t>-671.109066618061 15.8727232914903 -552.969087371409</t>
  </si>
  <si>
    <t>-514.961413225371 6.08395030567135 -306.630085651004</t>
  </si>
  <si>
    <t>-690.393829193639 176.921825007423 -102.543592324001</t>
  </si>
  <si>
    <t>-677.405430991687 185.736269593719 300.70350834521</t>
  </si>
  <si>
    <t>-738.95506892538 245.797693378304 740.416247517671</t>
  </si>
  <si>
    <t>-604.266509092297 192.872554175915 804.799873267767</t>
  </si>
  <si>
    <t>-632.592167949129 -33.6969849980867 308.603729597929</t>
  </si>
  <si>
    <t>-679.907185933589 -25.7695449935998 753.664999308823</t>
  </si>
  <si>
    <t>-574.04396060821 -117.309813993853 827.831356437317</t>
  </si>
  <si>
    <t>9763-20170724T105052.541535800.bin</t>
  </si>
  <si>
    <t>-682.41893726162 81.9358504437664 -96.3932023078936</t>
  </si>
  <si>
    <t>-691.239319386687 74.8076605838262 -211.665105973699</t>
  </si>
  <si>
    <t>-690.046202092793 66.9577418497279 -309.968862670609</t>
  </si>
  <si>
    <t>-686.07856264553 59.0504691922588 -398.625197938567</t>
  </si>
  <si>
    <t>-678.887736543547 50.2946080602426 -486.998835989566</t>
  </si>
  <si>
    <t>-665.476229020517 37.1209404437648 -610.154805316279</t>
  </si>
  <si>
    <t>-627.285268534445 31.0073733729062 -683.701349166851</t>
  </si>
  <si>
    <t>-670.965136970318 70.4715329032304 -558.862274200111</t>
  </si>
  <si>
    <t>-663.58778170227 207.683986602544 -555.034870351723</t>
  </si>
  <si>
    <t>-624.982374031451 254.618942261548 -267.114784534237</t>
  </si>
  <si>
    <t>-384.754683148406 256.377770747147 -248.718446449769</t>
  </si>
  <si>
    <t>-671.790762601678 15.364479236023 -553.057484646724</t>
  </si>
  <si>
    <t>-515.225490860705 5.78639073484055 -307.111970985262</t>
  </si>
  <si>
    <t>-690.360481430409 176.672817903101 -102.655972677241</t>
  </si>
  <si>
    <t>-677.604855060938 185.81760693427 300.591319361266</t>
  </si>
  <si>
    <t>-738.911864685895 245.875473623505 740.324410453217</t>
  </si>
  <si>
    <t>-604.288083370012 192.804215581516 804.72308003164</t>
  </si>
  <si>
    <t>-632.48102056311 -33.8442119953988 308.592321483087</t>
  </si>
  <si>
    <t>-679.938564150486 -25.8064354149276 753.668241038667</t>
  </si>
  <si>
    <t>-574.210136817317 -117.495034541074 827.843777040708</t>
  </si>
  <si>
    <t>9763-20170724T105052.612740200.bin</t>
  </si>
  <si>
    <t>-682.264275123285 81.2247194621423 -96.5099641609843</t>
  </si>
  <si>
    <t>-691.338536451668 74.0294267050742 -211.757979691244</t>
  </si>
  <si>
    <t>-690.436528191498 66.0656969933618 -310.055628084519</t>
  </si>
  <si>
    <t>-686.762550439771 58.0327536146033 -398.713418105327</t>
  </si>
  <si>
    <t>-679.896310576816 49.1276804186089 -487.097851937132</t>
  </si>
  <si>
    <t>-666.970585145664 35.7201572444058 -610.28049909109</t>
  </si>
  <si>
    <t>-628.870904271607 29.5468289371152 -683.869434248236</t>
  </si>
  <si>
    <t>-672.197572568536 69.1677589668946 -559.02392456952</t>
  </si>
  <si>
    <t>-664.484986036882 206.378179720447 -555.342217635351</t>
  </si>
  <si>
    <t>-623.653045076039 253.790640037517 -267.807878664466</t>
  </si>
  <si>
    <t>-383.264275869419 253.79071330343 -251.557244727067</t>
  </si>
  <si>
    <t>-673.119581303269 14.0724333994474 -553.123928866472</t>
  </si>
  <si>
    <t>-515.474640475883 4.44760009900324 -307.323741607666</t>
  </si>
  <si>
    <t>-690.286236072336 176.11581234004 -102.808081106443</t>
  </si>
  <si>
    <t>-677.409577863361 185.453294722296 300.430888615392</t>
  </si>
  <si>
    <t>-738.859030209095 245.894874779095 740.163216972337</t>
  </si>
  <si>
    <t>-604.234128279082 192.860744161269 804.590127055717</t>
  </si>
  <si>
    <t>-632.237105787493 -34.0764461295094 308.59875361179</t>
  </si>
  <si>
    <t>-679.902210739512 -25.6768920565548 753.638593184443</t>
  </si>
  <si>
    <t>-574.261417598226 -117.452940682563 827.830570662478</t>
  </si>
  <si>
    <t>9763-20170724T105052.644826600.bin</t>
  </si>
  <si>
    <t>-682.204304384527 80.8350305519109 -96.5276547492646</t>
  </si>
  <si>
    <t>-691.406917860644 73.6357404806899 -211.765284148928</t>
  </si>
  <si>
    <t>-690.636042754263 65.5950007927127 -310.057692252805</t>
  </si>
  <si>
    <t>-687.089820955611 57.4644101056901 -398.711933268871</t>
  </si>
  <si>
    <t>-680.360750241788 48.4333921254663 -487.093997632557</t>
  </si>
  <si>
    <t>-667.637197334455 34.8208845608417 -610.275206016787</t>
  </si>
  <si>
    <t>-629.596797122451 28.5382824012913 -683.885548912771</t>
  </si>
  <si>
    <t>-672.74131610446 68.353613869579 -559.061779511664</t>
  </si>
  <si>
    <t>-664.880352848649 205.557980058433 -555.58169890759</t>
  </si>
  <si>
    <t>-623.207928479163 253.350815318169 -268.230921157161</t>
  </si>
  <si>
    <t>-382.885260638934 252.863037740624 -251.035414070859</t>
  </si>
  <si>
    <t>-673.731092910743 13.2685735599061 -553.07682808424</t>
  </si>
  <si>
    <t>-515.607922589163 3.41046189558597 -307.3436154809</t>
  </si>
  <si>
    <t>-690.098429734447 175.731116967998 -102.828711045162</t>
  </si>
  <si>
    <t>-677.168771003915 185.062739301721 300.40867194491</t>
  </si>
  <si>
    <t>-738.855041426628 245.830245543664 740.087077937029</t>
  </si>
  <si>
    <t>-604.178832147095 192.916274733812 804.505374960224</t>
  </si>
  <si>
    <t>-632.318514928119 -34.3043140343611 308.606366829856</t>
  </si>
  <si>
    <t>-679.96936712962 -25.8060040519861 753.625604167322</t>
  </si>
  <si>
    <t>-574.173619347237 -117.39583259425 827.826954362153</t>
  </si>
  <si>
    <t>9763-20170724T105052.714043900.bin</t>
  </si>
  <si>
    <t>-681.951409281884 80.8817981966613 -96.5712941418939</t>
  </si>
  <si>
    <t>-691.303210558919 73.632503935881 -211.793753884414</t>
  </si>
  <si>
    <t>-690.698031320369 65.4394802271961 -310.074821857468</t>
  </si>
  <si>
    <t>-687.317881298892 57.1302264538888 -398.718776172534</t>
  </si>
  <si>
    <t>-680.771846170297 47.8783943005235 -487.091986605636</t>
  </si>
  <si>
    <t>-668.322798336373 33.9133162755379 -610.26171604279</t>
  </si>
  <si>
    <t>-630.404266216528 27.3615343749818 -683.911567931497</t>
  </si>
  <si>
    <t>-673.218422544598 67.5917513671591 -559.123643506212</t>
  </si>
  <si>
    <t>-664.874478942098 204.771163025551 -556.078545069539</t>
  </si>
  <si>
    <t>-622.160509358774 253.640283239606 -269.061922517221</t>
  </si>
  <si>
    <t>-382.017031224944 250.921207926028 -249.707832697864</t>
  </si>
  <si>
    <t>-674.383529200637 12.5255539312564 -552.998015434607</t>
  </si>
  <si>
    <t>-515.338657768306 1.92148526547885 -307.086485752791</t>
  </si>
  <si>
    <t>-689.594906607405 175.628946092124 -102.900319961175</t>
  </si>
  <si>
    <t>-676.574415769996 184.888201531661 300.335839037178</t>
  </si>
  <si>
    <t>-738.802311712311 245.917177642864 739.878169604218</t>
  </si>
  <si>
    <t>-604.203598089637 192.828636860898 804.314917366819</t>
  </si>
  <si>
    <t>-632.311926817935 -34.4419636489902 308.59251377469</t>
  </si>
  <si>
    <t>-679.88174963255 -25.5673154336132 753.60149648825</t>
  </si>
  <si>
    <t>-574.475726145274 -117.572935739585 827.843189648551</t>
  </si>
  <si>
    <t>9763-20170724T105052.746128600.bin</t>
  </si>
  <si>
    <t>-681.99887955097 81.0474497494442 -96.6071569704734</t>
  </si>
  <si>
    <t>-691.364539222904 73.7769112929539 -211.827147674712</t>
  </si>
  <si>
    <t>-690.829324120751 65.5044447723349 -310.101876654484</t>
  </si>
  <si>
    <t>-687.537208326401 57.0987670590225 -398.740156551911</t>
  </si>
  <si>
    <t>-681.104303616864 47.7248969435545 -487.108756153742</t>
  </si>
  <si>
    <t>-668.840303045507 33.5618985755002 -610.274518777951</t>
  </si>
  <si>
    <t>-631.000243109683 26.8273457454404 -683.948200826656</t>
  </si>
  <si>
    <t>-673.58816405036 67.32170438091 -559.176218262189</t>
  </si>
  <si>
    <t>-664.953230259046 204.487841513918 -556.284770907837</t>
  </si>
  <si>
    <t>-621.701277038501 253.076164518828 -269.301107117575</t>
  </si>
  <si>
    <t>-381.647613418275 249.622035800483 -248.973899090338</t>
  </si>
  <si>
    <t>-674.885896357606 12.2670282223216 -552.97451684099</t>
  </si>
  <si>
    <t>-515.483876724448 1.30095583462639 -306.86160950849</t>
  </si>
  <si>
    <t>-689.461128281356 175.665348960928 -102.965751949825</t>
  </si>
  <si>
    <t>-676.402638378442 184.928112910158 300.269054707078</t>
  </si>
  <si>
    <t>-738.762281827129 245.920040189335 739.75989579175</t>
  </si>
  <si>
    <t>-604.184791168355 192.805050524268 804.21917578975</t>
  </si>
  <si>
    <t>-632.233900489353 -34.456074868624 308.548101508638</t>
  </si>
  <si>
    <t>-679.864571982728 -25.5079819048187 753.58611477724</t>
  </si>
  <si>
    <t>-574.630672573879 -117.697122481672 827.844556662462</t>
  </si>
  <si>
    <t>9763-20170724T105052.809907200.bin</t>
  </si>
  <si>
    <t>-682.064276367656 81.1797445918194 -96.6977824232395</t>
  </si>
  <si>
    <t>-691.384060656461 73.9223906696534 -211.922263795025</t>
  </si>
  <si>
    <t>-690.935915763843 65.578804374152 -310.191481048195</t>
  </si>
  <si>
    <t>-687.774321603278 57.0770066616831 -398.825419499172</t>
  </si>
  <si>
    <t>-681.5246734217 47.5735543084418 -487.193249318617</t>
  </si>
  <si>
    <t>-669.57276140995 33.1940784581491 -610.364692529165</t>
  </si>
  <si>
    <t>-631.84687476102 26.1329501000444 -684.066243708686</t>
  </si>
  <si>
    <t>-674.053924002168 67.041636435509 -559.300212493452</t>
  </si>
  <si>
    <t>-664.706920441541 204.157549039365 -556.616791899665</t>
  </si>
  <si>
    <t>-620.16611536607 252.186646667178 -269.736110022585</t>
  </si>
  <si>
    <t>-380.446769439351 247.912982809012 -245.919364465765</t>
  </si>
  <si>
    <t>-675.610491378285 12.001862451317 -553.025807600845</t>
  </si>
  <si>
    <t>-515.998723374538 0.355729112784275 -306.628597819255</t>
  </si>
  <si>
    <t>-689.198337200422 175.743710801694 -103.090598166202</t>
  </si>
  <si>
    <t>-676.23695762131 184.866308058519 300.150595910397</t>
  </si>
  <si>
    <t>-738.691650134564 245.993770798622 739.595341410525</t>
  </si>
  <si>
    <t>-604.112338874625 192.898826814813 804.067011999419</t>
  </si>
  <si>
    <t>-632.455418494313 -34.3326345984995 308.470905980529</t>
  </si>
  <si>
    <t>-679.827454593911 -25.3396569322645 753.572339210248</t>
  </si>
  <si>
    <t>-574.880627800839 -117.849156978798 827.838575769373</t>
  </si>
  <si>
    <t>9763-20170724T105052.848012000.bin</t>
  </si>
  <si>
    <t>-682.215028811901 81.2889001305989 -96.7286571241665</t>
  </si>
  <si>
    <t>-691.483704877147 74.0580356931184 -211.958992083229</t>
  </si>
  <si>
    <t>-691.051451443748 65.7026950902023 -310.227244919671</t>
  </si>
  <si>
    <t>-687.928630394521 57.1778145856383 -398.860364670541</t>
  </si>
  <si>
    <t>-681.742566206354 47.6382692979687 -487.228757034197</t>
  </si>
  <si>
    <t>-669.905427529667 33.1946212376488 -610.403786781511</t>
  </si>
  <si>
    <t>-632.224023325462 25.9780750566506 -684.112940744965</t>
  </si>
  <si>
    <t>-674.270690142921 67.0675311443165 -559.346174735832</t>
  </si>
  <si>
    <t>-664.505574674953 204.163836268144 -556.700099767132</t>
  </si>
  <si>
    <t>-619.247801317719 252.098330631183 -269.915714122761</t>
  </si>
  <si>
    <t>-379.696179835486 247.423635419653 -244.537848318241</t>
  </si>
  <si>
    <t>-675.95821755175 12.0335279067413 -553.054994354575</t>
  </si>
  <si>
    <t>-516.439013361978 0.15629038675138 -306.533691567904</t>
  </si>
  <si>
    <t>-689.150374322825 175.959039441503 -103.140171979784</t>
  </si>
  <si>
    <t>-676.348556813166 184.925346059621 300.109618812982</t>
  </si>
  <si>
    <t>-738.667563590103 246.106967936859 739.560297635552</t>
  </si>
  <si>
    <t>-604.126578108441 192.892766707878 804.014123055713</t>
  </si>
  <si>
    <t>-632.740377808901 -34.4372171529822 308.429656546523</t>
  </si>
  <si>
    <t>-679.949046663635 -25.5264489757553 753.579009774326</t>
  </si>
  <si>
    <t>-574.634039347003 -117.644346689261 827.810500109753</t>
  </si>
  <si>
    <t>9763-20170724T105052.912199300.bin</t>
  </si>
  <si>
    <t>-682.194679625962 81.4828670003685 -96.7415563851749</t>
  </si>
  <si>
    <t>-691.305175547448 74.3210579023391 -211.988878836594</t>
  </si>
  <si>
    <t>-690.863425642693 65.9848451064397 -310.258785723382</t>
  </si>
  <si>
    <t>-687.783243924887 57.4649377709438 -398.893591485293</t>
  </si>
  <si>
    <t>-681.690682823458 47.9167088555107 -487.267668219665</t>
  </si>
  <si>
    <t>-670.038083876016 33.4471340012185 -610.457242826159</t>
  </si>
  <si>
    <t>-632.405721205519 25.9518322054018 -684.163742812794</t>
  </si>
  <si>
    <t>-674.189028243106 67.3278354829092 -559.386783366235</t>
  </si>
  <si>
    <t>-663.539677593129 204.354303220073 -556.772344505701</t>
  </si>
  <si>
    <t>-616.231714441327 252.021919461008 -270.27459693346</t>
  </si>
  <si>
    <t>-377.031195280768 248.047451793017 -241.670842637937</t>
  </si>
  <si>
    <t>-676.14273076441 12.3011980382453 -553.108230228123</t>
  </si>
  <si>
    <t>-517.197957849419 0.272139564936651 -306.416531713209</t>
  </si>
  <si>
    <t>-688.446982324584 175.933131786029 -103.207430998054</t>
  </si>
  <si>
    <t>-676.495271360536 185.114307575412 300.06358139392</t>
  </si>
  <si>
    <t>-738.615499873235 246.277747800028 739.424491805511</t>
  </si>
  <si>
    <t>-604.126110588139 192.890511453493 803.84273397281</t>
  </si>
  <si>
    <t>-633.197633098208 -34.6003919079938 308.342525850104</t>
  </si>
  <si>
    <t>-680.079389510113 -25.6485131650259 753.586681586576</t>
  </si>
  <si>
    <t>-574.913917606307 -117.959830388154 827.790235061533</t>
  </si>
  <si>
    <t>9763-20170724T105052.944285000.bin</t>
  </si>
  <si>
    <t>-682.044180078899 81.7362443488653 -96.685862165852</t>
  </si>
  <si>
    <t>-691.095269253994 74.5857455327507 -211.93852998362</t>
  </si>
  <si>
    <t>-690.640629403411 66.2420016409867 -310.207603795977</t>
  </si>
  <si>
    <t>-687.564264758775 57.7096133847472 -398.841604949595</t>
  </si>
  <si>
    <t>-681.491475641016 48.1428962910454 -487.214906008082</t>
  </si>
  <si>
    <t>-669.882565345195 33.6408807449168 -610.404850061389</t>
  </si>
  <si>
    <t>-632.254650107483 26.0170922354789 -684.10048276764</t>
  </si>
  <si>
    <t>-673.950975303612 67.5332616669889 -559.335604780715</t>
  </si>
  <si>
    <t>-662.896795101017 204.529290977805 -556.816185613537</t>
  </si>
  <si>
    <t>-614.198227626344 251.982589512731 -270.515745496458</t>
  </si>
  <si>
    <t>-375.088879722042 248.495478199693 -241.097690608566</t>
  </si>
  <si>
    <t>-676.031272555833 12.5115603707054 -553.054459147315</t>
  </si>
  <si>
    <t>-517.390630573101 0.426697262133075 -306.246917244153</t>
  </si>
  <si>
    <t>-688.049446643493 176.117554635531 -103.154409161735</t>
  </si>
  <si>
    <t>-676.331503569042 185.170546815061 300.126373640204</t>
  </si>
  <si>
    <t>-738.605768370296 246.332257852041 739.455718329063</t>
  </si>
  <si>
    <t>-604.09204284468 192.968700147554 803.842536605354</t>
  </si>
  <si>
    <t>-633.240350607638 -34.7987785822486 308.375985779567</t>
  </si>
  <si>
    <t>-680.15409603806 -25.7041853244989 753.618500766073</t>
  </si>
  <si>
    <t>-574.723725878054 -117.744988807034 827.782235240185</t>
  </si>
  <si>
    <t>9763-20170724T105053.012388100.bin</t>
  </si>
  <si>
    <t>-681.576343681856 82.2041638338526 -96.5210749702036</t>
  </si>
  <si>
    <t>-690.487556723805 75.1121100709977 -211.788243317249</t>
  </si>
  <si>
    <t>-690.017241730836 66.7543044790068 -310.056177588067</t>
  </si>
  <si>
    <t>-686.968658485022 58.1880776525161 -398.687771010763</t>
  </si>
  <si>
    <t>-680.965481551649 48.5664082861308 -487.05986394503</t>
  </si>
  <si>
    <t>-669.497851741293 33.9669784478151 -610.251412434647</t>
  </si>
  <si>
    <t>-631.851261880169 26.1998732255809 -683.922572936207</t>
  </si>
  <si>
    <t>-673.424267474511 67.8974685200346 -559.196489612687</t>
  </si>
  <si>
    <t>-661.684596641644 204.830012233722 -556.932595015541</t>
  </si>
  <si>
    <t>-610.663427583599 252.182232292411 -271.020329683582</t>
  </si>
  <si>
    <t>-371.788305500936 250.042967443281 -239.636296648406</t>
  </si>
  <si>
    <t>-675.66415770876 12.8855174236433 -552.885447015735</t>
  </si>
  <si>
    <t>-517.112874966288 0.379820059244594 -305.519825579779</t>
  </si>
  <si>
    <t>-687.012775856198 176.459916639077 -102.995681372928</t>
  </si>
  <si>
    <t>-676.02049147773 185.430443769533 300.307400378823</t>
  </si>
  <si>
    <t>-738.538711635539 246.497988262367 739.513886825323</t>
  </si>
  <si>
    <t>-604.034459565333 193.119642639364 803.908422549997</t>
  </si>
  <si>
    <t>-633.124866988469 -35.2151503199414 308.499103508152</t>
  </si>
  <si>
    <t>-680.435243986715 -26.1071682374502 753.73024125054</t>
  </si>
  <si>
    <t>-574.74166873964 -117.910210044362 827.813525388648</t>
  </si>
  <si>
    <t>9763-20170724T105053.046478400.bin</t>
  </si>
  <si>
    <t>-681.261242718369 82.3133554700487 -96.4392664122216</t>
  </si>
  <si>
    <t>-690.074000343189 75.2324146713961 -211.714605939939</t>
  </si>
  <si>
    <t>-689.557340396528 66.871440657126 -309.982005190469</t>
  </si>
  <si>
    <t>-686.481775115403 58.2997156007652 -398.612330128754</t>
  </si>
  <si>
    <t>-680.466285328003 48.6705975056916 -486.982716566224</t>
  </si>
  <si>
    <t>-668.996465664388 34.0595768591022 -610.172714624789</t>
  </si>
  <si>
    <t>-631.300877917384 26.2867964390416 -683.818080110265</t>
  </si>
  <si>
    <t>-672.915020613911 67.994489393403 -559.120129338703</t>
  </si>
  <si>
    <t>-660.904995732788 204.923050609386 -556.944757751778</t>
  </si>
  <si>
    <t>-608.953705800837 252.326517549451 -271.208585248993</t>
  </si>
  <si>
    <t>-370.09427735685 250.602431274232 -239.679702279391</t>
  </si>
  <si>
    <t>-675.172474582542 12.9837839706372 -552.805693264309</t>
  </si>
  <si>
    <t>-516.584264970831 0.197028333448543 -305.069912313808</t>
  </si>
  <si>
    <t>-686.461069667654 176.644256671882 -102.931550158206</t>
  </si>
  <si>
    <t>-675.776839152327 185.464046145489 300.383165431503</t>
  </si>
  <si>
    <t>-738.518461099414 246.575081446857 739.556603507633</t>
  </si>
  <si>
    <t>-604.03339021933 193.150089512571 803.952161668827</t>
  </si>
  <si>
    <t>-633.085098042082 -35.3477159889976 308.580123494057</t>
  </si>
  <si>
    <t>-680.644277650854 -26.4732235449405 753.788847939721</t>
  </si>
  <si>
    <t>-574.709191293169 -118.029530696087 827.832786786757</t>
  </si>
  <si>
    <t>9763-20170724T105053.108651200.bin</t>
  </si>
  <si>
    <t>-680.646478408238 82.7827016195201 -96.2529514869598</t>
  </si>
  <si>
    <t>-689.277790877321 75.7347583203841 -211.544172652948</t>
  </si>
  <si>
    <t>-688.622520618187 67.3649353202256 -309.809968029099</t>
  </si>
  <si>
    <t>-685.427920349705 58.7725921031254 -398.433930155154</t>
  </si>
  <si>
    <t>-679.299839465295 49.1109990214618 -486.793040641882</t>
  </si>
  <si>
    <t>-667.67900209064 34.4439026023463 -609.962266106264</t>
  </si>
  <si>
    <t>-629.805436032004 26.6794546065667 -683.517164349062</t>
  </si>
  <si>
    <t>-671.696877272104 68.4033453876521 -558.933566836376</t>
  </si>
  <si>
    <t>-659.253756775057 205.285087618245 -556.850259489943</t>
  </si>
  <si>
    <t>-605.405301441303 253.059815675001 -271.527395039002</t>
  </si>
  <si>
    <t>-366.649294674239 251.717169758256 -239.206244911354</t>
  </si>
  <si>
    <t>-673.888505830425 13.3931119016979 -552.589553103565</t>
  </si>
  <si>
    <t>-515.443482911269 0.447900993579196 -303.914368905667</t>
  </si>
  <si>
    <t>-685.801311161754 177.179057656702 -102.709429548967</t>
  </si>
  <si>
    <t>-675.470026537201 185.389840812224 300.627293334097</t>
  </si>
  <si>
    <t>-738.639728752253 246.394051283693 739.770791864161</t>
  </si>
  <si>
    <t>-604.185526745375 192.825951746832 804.112355457778</t>
  </si>
  <si>
    <t>-632.796422967835 -35.3284083789556 308.71471634666</t>
  </si>
  <si>
    <t>-680.706918927335 -26.5625816667919 753.866419997024</t>
  </si>
  <si>
    <t>-574.609437947432 -117.965824311483 827.866742733687</t>
  </si>
  <si>
    <t>9763-20170724T105053.144764200.bin</t>
  </si>
  <si>
    <t>-680.418876794603 82.9965517558421 -96.1794374731143</t>
  </si>
  <si>
    <t>-688.936653965807 76.0067070009804 -211.48245866843</t>
  </si>
  <si>
    <t>-688.189402484181 67.6183745972201 -309.746128994817</t>
  </si>
  <si>
    <t>-684.914665985808 58.9823397551952 -398.363027627021</t>
  </si>
  <si>
    <t>-678.709329186074 49.2516113799115 -486.709221229794</t>
  </si>
  <si>
    <t>-666.98421667275 34.460835459437 -609.853657355467</t>
  </si>
  <si>
    <t>-628.976614787159 26.6870870998773 -683.33848159304</t>
  </si>
  <si>
    <t>-671.065410355548 68.4719297576364 -558.864448471161</t>
  </si>
  <si>
    <t>-658.387672594314 205.346740640733 -556.853315132625</t>
  </si>
  <si>
    <t>-603.570705172307 253.47892922658 -271.775106932637</t>
  </si>
  <si>
    <t>-364.858015034935 252.314037876214 -239.129337089775</t>
  </si>
  <si>
    <t>-673.22234160782 13.4671708497879 -552.463256019652</t>
  </si>
  <si>
    <t>-514.95330253808 0.832886431780707 -303.58889144844</t>
  </si>
  <si>
    <t>-685.635391615641 177.410586499765 -102.598331616835</t>
  </si>
  <si>
    <t>-675.431581087941 185.248114370092 300.749086255149</t>
  </si>
  <si>
    <t>-738.734164057976 246.085001838984 739.887781128623</t>
  </si>
  <si>
    <t>-604.168832590762 192.79409042328 804.226922947092</t>
  </si>
  <si>
    <t>-632.67464290046 -35.4009766754982 308.756095637465</t>
  </si>
  <si>
    <t>-680.809136796132 -26.7673926426664 753.890867545007</t>
  </si>
  <si>
    <t>-574.512399680532 -117.956471025146 827.869570606894</t>
  </si>
  <si>
    <t>9763-20170724T105053.210922900.bin</t>
  </si>
  <si>
    <t>-679.69271412924 83.4354677225008 -96.1194919134789</t>
  </si>
  <si>
    <t>-687.981227781784 76.4950609454447 -211.442360795547</t>
  </si>
  <si>
    <t>-687.035243521106 68.0026227860867 -309.695283423063</t>
  </si>
  <si>
    <t>-683.581053659804 59.2152683500212 -398.290322323736</t>
  </si>
  <si>
    <t>-677.197539692087 49.2761787334 -486.60063442971</t>
  </si>
  <si>
    <t>-665.225977274463 34.1355313104953 -609.678918802554</t>
  </si>
  <si>
    <t>-626.951961699173 26.2622252171636 -683.014718612232</t>
  </si>
  <si>
    <t>-669.409095054408 68.2913890197281 -558.794880409726</t>
  </si>
  <si>
    <t>-656.221293557996 205.109252375928 -557.17698644218</t>
  </si>
  <si>
    <t>-600.218052880971 254.141133355066 -272.482918589879</t>
  </si>
  <si>
    <t>-361.467221845684 253.206475750517 -240.109112932083</t>
  </si>
  <si>
    <t>-671.578999243568 13.3049418650003 -552.241688320211</t>
  </si>
  <si>
    <t>-514.064609613903 1.80068149884232 -303.448691647323</t>
  </si>
  <si>
    <t>-684.822659982779 177.868301363993 -102.494280352732</t>
  </si>
  <si>
    <t>-674.996797770273 185.1780501582 300.87232498687</t>
  </si>
  <si>
    <t>-738.863629732695 245.772641295962 740.032664946967</t>
  </si>
  <si>
    <t>-604.280209623377 192.527035087608 804.371569240706</t>
  </si>
  <si>
    <t>-632.357428298227 -35.2063825153473 308.814058319896</t>
  </si>
  <si>
    <t>-680.863098213744 -26.9310521904151 753.896840017297</t>
  </si>
  <si>
    <t>-574.514600960875 -118.050388177715 827.887054441198</t>
  </si>
  <si>
    <t>9763-20170724T105053.245015400.bin</t>
  </si>
  <si>
    <t>-679.198677775298 83.7736685414993 -96.0622943523019</t>
  </si>
  <si>
    <t>-687.413027472078 76.8598601550223 -211.392069467047</t>
  </si>
  <si>
    <t>-686.3729659614 68.3252061334022 -309.640406659688</t>
  </si>
  <si>
    <t>-682.821956502452 59.4748960643276 -398.225318037667</t>
  </si>
  <si>
    <t>-676.330461868311 49.4485014661593 -486.517845144342</t>
  </si>
  <si>
    <t>-664.196199802007 34.1605225078922 -609.562052335391</t>
  </si>
  <si>
    <t>-625.802751988823 26.2061445918148 -682.826615384978</t>
  </si>
  <si>
    <t>-668.444010639552 68.3771890231185 -558.724155448897</t>
  </si>
  <si>
    <t>-654.910084207802 205.16420195511 -557.321767534465</t>
  </si>
  <si>
    <t>-598.47285773633 254.648525962023 -272.791729701844</t>
  </si>
  <si>
    <t>-359.644981535763 253.709995343243 -240.991474200076</t>
  </si>
  <si>
    <t>-670.627891718708 13.3987966327586 -552.108603578018</t>
  </si>
  <si>
    <t>-513.680628532605 2.6530280479376 -303.206542776906</t>
  </si>
  <si>
    <t>-684.282046008997 178.171845832378 -102.429372700543</t>
  </si>
  <si>
    <t>-674.786766462982 185.229436276611 300.949747059582</t>
  </si>
  <si>
    <t>-738.941407867301 245.561003840361 740.120341178245</t>
  </si>
  <si>
    <t>-604.294504979376 192.441126153629 804.430147862299</t>
  </si>
  <si>
    <t>-632.027913235193 -35.2314134333485 308.843902723018</t>
  </si>
  <si>
    <t>-680.852831987711 -26.9341029844893 753.886055823173</t>
  </si>
  <si>
    <t>-574.54448838685 -118.088515504585 827.890921453031</t>
  </si>
  <si>
    <t>9763-20170724T105053.311193900.bin</t>
  </si>
  <si>
    <t>-678.021229391589 84.571322686606 -96.0139853128815</t>
  </si>
  <si>
    <t>-686.08053761597 77.6597940235629 -211.354792856905</t>
  </si>
  <si>
    <t>-684.911948117394 68.977623370359 -309.588747284768</t>
  </si>
  <si>
    <t>-681.247332408872 59.9373740537033 -398.149899271596</t>
  </si>
  <si>
    <t>-674.645366834679 49.6654952486481 -486.406082971143</t>
  </si>
  <si>
    <t>-662.360845843018 33.9775195776772 -609.384807380901</t>
  </si>
  <si>
    <t>-623.722763559341 25.7780650199086 -682.493711103006</t>
  </si>
  <si>
    <t>-666.651681046271 68.3587789624553 -558.661831857757</t>
  </si>
  <si>
    <t>-652.623271007056 205.110486316107 -557.689688124902</t>
  </si>
  <si>
    <t>-594.639857152272 255.385813225635 -273.609550371345</t>
  </si>
  <si>
    <t>-355.754929047305 254.141263541206 -242.251856113767</t>
  </si>
  <si>
    <t>-668.881554174845 13.4031906934563 -551.874175987035</t>
  </si>
  <si>
    <t>-513.294096682111 4.26932573697604 -302.631984118953</t>
  </si>
  <si>
    <t>-682.95539066164 179.057605191378 -102.3898332484</t>
  </si>
  <si>
    <t>-673.932090978474 185.77475352219 301.005903463958</t>
  </si>
  <si>
    <t>-738.956080108754 245.480153212983 740.147737288741</t>
  </si>
  <si>
    <t>-604.29511023832 192.395941789291 804.458060280684</t>
  </si>
  <si>
    <t>-631.41634114218 -35.1934216009026 308.906215865815</t>
  </si>
  <si>
    <t>-680.888766850246 -27.0858809413705 753.850559474957</t>
  </si>
  <si>
    <t>-574.225358022102 -117.81058104513 827.87244880171</t>
  </si>
  <si>
    <t>9763-20170724T105053.344287300.bin</t>
  </si>
  <si>
    <t>-677.241556522363 85.0679652482902 -96.0061301390095</t>
  </si>
  <si>
    <t>-685.190806120833 78.1336670318219 -211.353220987662</t>
  </si>
  <si>
    <t>-683.949617328873 69.3694404983569 -309.579034187456</t>
  </si>
  <si>
    <t>-680.228512924055 60.2309538539257 -398.127788085876</t>
  </si>
  <si>
    <t>-673.579243020865 49.8374912636818 -486.366039949867</t>
  </si>
  <si>
    <t>-661.238766304411 33.9554895589974 -609.314370045845</t>
  </si>
  <si>
    <t>-622.479453614585 25.6549050911169 -682.34745601874</t>
  </si>
  <si>
    <t>-665.547615594976 68.4166568773751 -558.64708641054</t>
  </si>
  <si>
    <t>-651.337666942648 205.134665351585 -557.956104117519</t>
  </si>
  <si>
    <t>-592.680672931209 255.966776562428 -274.113472358833</t>
  </si>
  <si>
    <t>-353.728097586416 254.166642143043 -243.30270234826</t>
  </si>
  <si>
    <t>-667.790923064453 13.4721486575879 -551.774682237099</t>
  </si>
  <si>
    <t>-512.81907362981 5.18958495087782 -302.425586211957</t>
  </si>
  <si>
    <t>-682.054045748147 179.521815904857 -102.393624002108</t>
  </si>
  <si>
    <t>-673.269564306905 186.130849888734 301.009187124457</t>
  </si>
  <si>
    <t>-738.926126235233 245.57665590691 740.107329163912</t>
  </si>
  <si>
    <t>-604.301201781124 192.410492485437 804.425402458768</t>
  </si>
  <si>
    <t>-630.925091086263 -34.9882667103445 308.92246806173</t>
  </si>
  <si>
    <t>-680.793475415178 -26.9426429829182 753.82015203763</t>
  </si>
  <si>
    <t>-574.564190357822 -118.132700977817 827.894687361046</t>
  </si>
  <si>
    <t>9763-20170724T105053.408318800.bin</t>
  </si>
  <si>
    <t>-675.531356150694 85.9859931770779 -95.9714946799206</t>
  </si>
  <si>
    <t>-683.212812909093 78.9951699144649 -211.333282937028</t>
  </si>
  <si>
    <t>-681.789918447941 70.0145995147573 -309.537071713237</t>
  </si>
  <si>
    <t>-677.925477489899 60.6154647307335 -398.052337505186</t>
  </si>
  <si>
    <t>-671.154496386766 49.897166354149 -486.242560541256</t>
  </si>
  <si>
    <t>-658.667293787675 33.4947550158784 -609.107805299651</t>
  </si>
  <si>
    <t>-619.651501786746 24.9755675791339 -681.979083425558</t>
  </si>
  <si>
    <t>-663.023791796565 68.1697054642846 -558.590570827499</t>
  </si>
  <si>
    <t>-648.76146406004 204.908930999965 -558.72702611119</t>
  </si>
  <si>
    <t>-589.386911334145 256.244373501441 -275.124209240989</t>
  </si>
  <si>
    <t>-350.299794165181 254.746515586412 -245.35941665881</t>
  </si>
  <si>
    <t>-665.300843243614 13.2555472357476 -551.491082416229</t>
  </si>
  <si>
    <t>-510.923095143188 6.11754532259192 -301.656900407008</t>
  </si>
  <si>
    <t>-680.199529155335 180.360723888749 -102.400831244558</t>
  </si>
  <si>
    <t>-671.972203666318 186.49545481745 301.021236594774</t>
  </si>
  <si>
    <t>-738.937580078853 245.425749563774 740.032896679169</t>
  </si>
  <si>
    <t>-604.098068392323 192.756029854326 804.309627140266</t>
  </si>
  <si>
    <t>-629.829696995963 -34.7683391814096 309.026234928201</t>
  </si>
  <si>
    <t>-680.71075866156 -26.865909814248 753.780238491033</t>
  </si>
  <si>
    <t>-574.826694855863 -118.409971454904 827.912119695211</t>
  </si>
  <si>
    <t>9763-20170724T105053.445418000.bin</t>
  </si>
  <si>
    <t>-674.670726907757 86.4392840447858 -96.0117777617845</t>
  </si>
  <si>
    <t>-682.205126692715 79.4107744323205 -211.380961257342</t>
  </si>
  <si>
    <t>-680.675892024557 70.2889738352637 -309.570111981902</t>
  </si>
  <si>
    <t>-676.723768110219 60.7196371782111 -398.063393652283</t>
  </si>
  <si>
    <t>-669.874419610134 49.7892771046468 -486.221488123928</t>
  </si>
  <si>
    <t>-657.288217170345 33.0473524382903 -609.030710007114</t>
  </si>
  <si>
    <t>-618.126440016632 24.4167615935498 -681.810534483144</t>
  </si>
  <si>
    <t>-661.69654140628 67.862154743299 -558.614289791568</t>
  </si>
  <si>
    <t>-647.576892567065 204.608702675537 -559.29636439772</t>
  </si>
  <si>
    <t>-588.170535795707 256.747802964787 -275.846966638299</t>
  </si>
  <si>
    <t>-349.102931132827 255.944339553816 -245.89831120453</t>
  </si>
  <si>
    <t>-663.957142065912 12.9670424330793 -551.362503810018</t>
  </si>
  <si>
    <t>-509.652508598182 6.19835949433354 -301.443513559623</t>
  </si>
  <si>
    <t>-679.463155230664 180.955197569449 -102.451581969296</t>
  </si>
  <si>
    <t>-671.384821712519 186.816796219704 300.977533624756</t>
  </si>
  <si>
    <t>-738.923822515251 245.417171337529 739.972978054685</t>
  </si>
  <si>
    <t>-604.04601456664 192.83492245916 804.241118657398</t>
  </si>
  <si>
    <t>-629.265125102187 -34.6247016398022 309.050346076137</t>
  </si>
  <si>
    <t>-680.641957083418 -26.8038946813019 753.743354463115</t>
  </si>
  <si>
    <t>-574.70372429485 -118.267486450173 827.897196827733</t>
  </si>
  <si>
    <t>9763-20170724T105053.509494500.bin</t>
  </si>
  <si>
    <t>-673.642467470443 87.2349406141141 -96.1322539863498</t>
  </si>
  <si>
    <t>-680.793640445456 80.1202631925153 -211.52066660582</t>
  </si>
  <si>
    <t>-678.960819437277 70.667062396835 -309.673237208854</t>
  </si>
  <si>
    <t>-674.745673800931 60.6976836097895 -398.11010680959</t>
  </si>
  <si>
    <t>-667.645723589321 49.2702210712923 -486.185404805001</t>
  </si>
  <si>
    <t>-654.723323552599 31.7339735336045 -608.848674019842</t>
  </si>
  <si>
    <t>-615.218518562132 22.86307444671 -681.413959111506</t>
  </si>
  <si>
    <t>-659.371178982802 66.8767479855885 -558.68199534663</t>
  </si>
  <si>
    <t>-645.775139303938 203.661059525017 -560.515358428725</t>
  </si>
  <si>
    <t>-586.539963498117 259.031416915238 -277.643591665493</t>
  </si>
  <si>
    <t>-347.587692491419 259.375713254114 -246.779230242524</t>
  </si>
  <si>
    <t>-661.448529150915 12.0247653863105 -551.059148252625</t>
  </si>
  <si>
    <t>-507.325016619931 6.24477072146942 -300.98459018549</t>
  </si>
  <si>
    <t>-678.759660805154 182.158753260582 -102.626382425219</t>
  </si>
  <si>
    <t>-669.969019899828 187.07462756587 300.800502966627</t>
  </si>
  <si>
    <t>-738.805162659586 245.487942046048 739.686224904187</t>
  </si>
  <si>
    <t>-603.88825085215 193.088345831631 804.021314319342</t>
  </si>
  <si>
    <t>-628.641695790043 -34.3189839258177 309.042724731327</t>
  </si>
  <si>
    <t>-680.675189838417 -26.9803989485431 753.645207297507</t>
  </si>
  <si>
    <t>-574.411698302397 -118.022163743743 827.852781908254</t>
  </si>
  <si>
    <t>9763-20170724T105053.542581000.bin</t>
  </si>
  <si>
    <t>-673.571655650082 87.6353162709279 -96.1579423076702</t>
  </si>
  <si>
    <t>-680.458221056845 80.5116632243123 -211.561857458275</t>
  </si>
  <si>
    <t>-678.430308479045 70.8836988104006 -309.693519896403</t>
  </si>
  <si>
    <t>-674.052351050623 60.6908600013189 -398.097145755063</t>
  </si>
  <si>
    <t>-666.803966885228 48.9763097579714 -486.122482579868</t>
  </si>
  <si>
    <t>-653.689405345599 30.9740066482723 -608.698005761081</t>
  </si>
  <si>
    <t>-614.002925783599 21.9425023459132 -681.144025850721</t>
  </si>
  <si>
    <t>-658.48554584556 66.3086730180237 -558.680257702395</t>
  </si>
  <si>
    <t>-645.16828290665 203.10303080965 -561.077765426403</t>
  </si>
  <si>
    <t>-585.717087873609 260.01187991711 -278.556802147935</t>
  </si>
  <si>
    <t>-346.733175571264 260.522668597526 -247.940995664348</t>
  </si>
  <si>
    <t>-660.435319402314 11.4831730199649 -550.836724168518</t>
  </si>
  <si>
    <t>-506.457533691834 6.35722912692427 -300.626790020268</t>
  </si>
  <si>
    <t>-678.715995308833 182.4953860466 -102.676629209242</t>
  </si>
  <si>
    <t>-669.543133664821 187.008727301819 300.746360618796</t>
  </si>
  <si>
    <t>-738.745944307524 245.480138204701 739.549488722938</t>
  </si>
  <si>
    <t>-603.786544179031 193.251207588038 803.934393594972</t>
  </si>
  <si>
    <t>-628.399016652084 -34.1236503395994 309.052385363966</t>
  </si>
  <si>
    <t>-680.709091161192 -27.0230639626784 753.63035862396</t>
  </si>
  <si>
    <t>-574.436206133832 -118.051708727881 827.840522514657</t>
  </si>
  <si>
    <t>9763-20170724T105053.609779600.bin</t>
  </si>
  <si>
    <t>-673.738911890371 88.5527950294263 -96.2566624703312</t>
  </si>
  <si>
    <t>-679.907777248208 81.3996448983876 -211.699414218581</t>
  </si>
  <si>
    <t>-677.384348752381 71.3756246406454 -309.779953476964</t>
  </si>
  <si>
    <t>-672.609647127297 60.6773176707395 -398.103119410744</t>
  </si>
  <si>
    <t>-665.017454916038 48.3130690494493 -486.010614148802</t>
  </si>
  <si>
    <t>-651.48064208038 29.2538210200523 -608.380210530988</t>
  </si>
  <si>
    <t>-611.376984338119 19.7709031544396 -680.538507976534</t>
  </si>
  <si>
    <t>-656.531324677339 65.0203298761528 -558.695587852518</t>
  </si>
  <si>
    <t>-643.591986455234 201.831225077186 -562.326541485751</t>
  </si>
  <si>
    <t>-582.687777155041 261.173854262277 -280.616839560619</t>
  </si>
  <si>
    <t>-343.692579939279 262.629032368719 -250.119905514813</t>
  </si>
  <si>
    <t>-658.343569326299 10.2615596117673 -550.367320680769</t>
  </si>
  <si>
    <t>-505.170027906965 7.35371227895234 -300.08568794724</t>
  </si>
  <si>
    <t>-678.838939882708 183.338907964497 -102.847056984343</t>
  </si>
  <si>
    <t>-669.366776293376 187.262868760939 300.575219685107</t>
  </si>
  <si>
    <t>-738.650944408561 245.555181145109 739.378957392199</t>
  </si>
  <si>
    <t>-603.674184899009 193.451374162846 803.828454590316</t>
  </si>
  <si>
    <t>-628.4839289341 -33.4633605087749 308.988283734584</t>
  </si>
  <si>
    <t>-680.688864427841 -26.8865319876334 753.603967289196</t>
  </si>
  <si>
    <t>-574.609696143664 -118.143216537149 827.811484612932</t>
  </si>
  <si>
    <t>9763-20170724T105053.641865600.bin</t>
  </si>
  <si>
    <t>-673.906329352523 89.3626655642304 -96.2890325709212</t>
  </si>
  <si>
    <t>-679.741912592606 82.1655664914208 -211.746144748011</t>
  </si>
  <si>
    <t>-676.926080774665 71.9046697239637 -309.794464277496</t>
  </si>
  <si>
    <t>-671.885733244808 60.9126804423722 -398.066716481599</t>
  </si>
  <si>
    <t>-664.029130308457 48.1762983362537 -485.897880380974</t>
  </si>
  <si>
    <t>-650.125066521524 28.5146110348019 -608.130958912851</t>
  </si>
  <si>
    <t>-609.790122621321 18.7670991571513 -680.12459018921</t>
  </si>
  <si>
    <t>-655.338077723008 64.5255824507599 -558.639922534418</t>
  </si>
  <si>
    <t>-642.473232054172 201.320019876514 -563.005234736755</t>
  </si>
  <si>
    <t>-581.295547303421 262.245127722692 -281.692792089079</t>
  </si>
  <si>
    <t>-342.320895463552 263.92718940903 -251.047341511252</t>
  </si>
  <si>
    <t>-657.149116672643 9.80815046659404 -550.044396826389</t>
  </si>
  <si>
    <t>-504.837535253031 8.26884736068814 -299.889945952855</t>
  </si>
  <si>
    <t>-679.059727780183 184.158486646616 -102.965525259012</t>
  </si>
  <si>
    <t>-669.57399347159 187.918008706082 300.45803117684</t>
  </si>
  <si>
    <t>-738.61787533796 245.658079664999 739.35025039569</t>
  </si>
  <si>
    <t>-603.736808944711 193.318189131414 803.808976850151</t>
  </si>
  <si>
    <t>-628.580725617377 -33.239736647854 308.934707540312</t>
  </si>
  <si>
    <t>-680.733402438079 -26.9375520062645 753.590076068101</t>
  </si>
  <si>
    <t>-574.606331665908 -118.142618795761 827.792252106063</t>
  </si>
  <si>
    <t>9763-20170724T105053.710049100.bin</t>
  </si>
  <si>
    <t>-674.557271715635 91.494077007781 -96.3747060921459</t>
  </si>
  <si>
    <t>-679.769756745949 84.163083005488 -211.853315633354</t>
  </si>
  <si>
    <t>-676.356798916005 73.4044706804402 -309.829099420535</t>
  </si>
  <si>
    <t>-670.755344015288 61.8112025750322 -397.99057400703</t>
  </si>
  <si>
    <t>-662.318989721448 48.323721452268 -485.655782959545</t>
  </si>
  <si>
    <t>-647.588309736269 27.4571633085709 -607.591798282265</t>
  </si>
  <si>
    <t>-606.781223229093 17.1843346561952 -679.245652012545</t>
  </si>
  <si>
    <t>-653.148833727686 63.9548147653031 -558.496733377468</t>
  </si>
  <si>
    <t>-640.40685012718 200.708452670172 -564.299349411824</t>
  </si>
  <si>
    <t>-579.3672463531 264.675603854037 -283.633039933154</t>
  </si>
  <si>
    <t>-340.569102255558 267.200740267724 -251.696497368278</t>
  </si>
  <si>
    <t>-654.992270862606 9.3243034697316 -549.370709480916</t>
  </si>
  <si>
    <t>-504.760081287993 10.2755665389955 -299.591958352734</t>
  </si>
  <si>
    <t>-679.763041761871 186.376658994107 -103.248809382837</t>
  </si>
  <si>
    <t>-670.386403515826 189.634192869688 300.181711282862</t>
  </si>
  <si>
    <t>-738.539582733244 245.909284580279 739.362832621379</t>
  </si>
  <si>
    <t>-603.762203330899 193.289867416765 803.810964131769</t>
  </si>
  <si>
    <t>-629.002252008094 -32.2473803544246 308.888495672437</t>
  </si>
  <si>
    <t>-680.792452490345 -26.9149779304639 753.610259148689</t>
  </si>
  <si>
    <t>-574.936063188388 -118.448533582392 827.794651887509</t>
  </si>
  <si>
    <t>9763-20170724T105053.744142300.bin</t>
  </si>
  <si>
    <t>-675.056048635964 92.4777352951071 -96.4477574096553</t>
  </si>
  <si>
    <t>-679.94879243962 85.0964007668108 -211.937043665746</t>
  </si>
  <si>
    <t>-676.25769094712 74.1182337022763 -309.878577420258</t>
  </si>
  <si>
    <t>-670.404818749155 62.256434369458 -397.987911094966</t>
  </si>
  <si>
    <t>-661.718541070355 48.4316794932458 -485.576034357748</t>
  </si>
  <si>
    <t>-646.641342030522 27.0222003256677 -607.375649472263</t>
  </si>
  <si>
    <t>-605.606786880829 16.498591309705 -678.862963781841</t>
  </si>
  <si>
    <t>-652.341348175505 63.7380003632204 -558.459665057781</t>
  </si>
  <si>
    <t>-639.612121705883 200.459396261878 -564.834322225602</t>
  </si>
  <si>
    <t>-578.333252560859 265.595091645544 -284.48909339039</t>
  </si>
  <si>
    <t>-339.608726906917 268.253487912463 -252.018444648932</t>
  </si>
  <si>
    <t>-654.210556650262 9.14876104421933 -549.095494926794</t>
  </si>
  <si>
    <t>-504.740789303059 11.0896037356902 -299.52416792884</t>
  </si>
  <si>
    <t>-680.298325889641 187.42986882191 -103.393025845605</t>
  </si>
  <si>
    <t>-670.892521023967 190.423703543648 300.038820075489</t>
  </si>
  <si>
    <t>-738.484267471038 246.045463544441 739.370931267893</t>
  </si>
  <si>
    <t>-603.778771569096 193.252978059013 803.827972079385</t>
  </si>
  <si>
    <t>-629.48855311969 -31.7129667703573 308.863118546072</t>
  </si>
  <si>
    <t>-680.952295248607 -27.1544764694358 753.635589245635</t>
  </si>
  <si>
    <t>-574.858713877541 -118.443383895189 827.782678899459</t>
  </si>
  <si>
    <t>9763-20170724T105053.810325400.bin</t>
  </si>
  <si>
    <t>-675.691756682167 93.8283533448853 -96.5830794527266</t>
  </si>
  <si>
    <t>-680.131490700369 86.3568483446404 -212.084955193906</t>
  </si>
  <si>
    <t>-675.962872390994 75.0478050084059 -309.96948586773</t>
  </si>
  <si>
    <t>-669.646032443073 62.7845462363077 -397.991884809808</t>
  </si>
  <si>
    <t>-660.467263275776 48.4561844423899 -485.448812979129</t>
  </si>
  <si>
    <t>-644.674101812876 26.2362627882976 -607.012230936417</t>
  </si>
  <si>
    <t>-603.190808352933 15.2912111958574 -678.176513976696</t>
  </si>
  <si>
    <t>-650.652089700209 63.2769515029033 -558.374992341053</t>
  </si>
  <si>
    <t>-637.832317824665 199.957208643575 -565.598280171168</t>
  </si>
  <si>
    <t>-574.737958232559 266.757140764373 -286.048417762029</t>
  </si>
  <si>
    <t>-336.213960348079 270.07022777516 -252.192535324096</t>
  </si>
  <si>
    <t>-652.595563257595 8.75133205698216 -548.6610752778</t>
  </si>
  <si>
    <t>-504.393474351955 12.104640413032 -299.622418201268</t>
  </si>
  <si>
    <t>-680.809811966802 188.77997330013 -103.614048626721</t>
  </si>
  <si>
    <t>-671.868650601959 191.724326518743 299.828704351038</t>
  </si>
  <si>
    <t>-738.381914144032 246.231566283111 739.424192370081</t>
  </si>
  <si>
    <t>-603.744353453478 193.292475396347 803.902657156903</t>
  </si>
  <si>
    <t>-629.915344007585 -30.9776925900999 308.77308902754</t>
  </si>
  <si>
    <t>-681.008400874164 -27.1440657906483 753.648322417258</t>
  </si>
  <si>
    <t>-574.973090676872 -118.524784303524 827.765696432289</t>
  </si>
  <si>
    <t>9763-20170724T105053.843415700.bin</t>
  </si>
  <si>
    <t>-675.873654588753 94.1948450203395 -96.6261123229722</t>
  </si>
  <si>
    <t>-680.140218661422 86.711426961193 -212.133748227364</t>
  </si>
  <si>
    <t>-675.753055712238 75.2762882372099 -309.994124553769</t>
  </si>
  <si>
    <t>-669.213524421261 62.8517022325234 -397.977725305326</t>
  </si>
  <si>
    <t>-659.787811083306 48.3144169555846 -485.373670381106</t>
  </si>
  <si>
    <t>-643.626758965051 25.7522204149641 -606.825637744982</t>
  </si>
  <si>
    <t>-601.936894867568 14.6297756690446 -677.841670223596</t>
  </si>
  <si>
    <t>-649.737351895995 62.9295124062667 -558.309403728121</t>
  </si>
  <si>
    <t>-636.824767605754 199.589892620075 -565.818298797442</t>
  </si>
  <si>
    <t>-572.821828884453 266.819971410922 -286.578261963348</t>
  </si>
  <si>
    <t>-334.421937601154 270.775745472416 -251.927214511929</t>
  </si>
  <si>
    <t>-651.739481708341 8.43196300571208 -548.45178127146</t>
  </si>
  <si>
    <t>-504.069261301847 12.2303619194156 -299.799317089903</t>
  </si>
  <si>
    <t>-680.896622146477 189.164862053077 -103.693414490029</t>
  </si>
  <si>
    <t>-672.386875095844 192.190847695752 299.758021824227</t>
  </si>
  <si>
    <t>-738.345068072583 246.259072285106 739.482545069366</t>
  </si>
  <si>
    <t>-603.6862618219 193.376324291423 803.963046188696</t>
  </si>
  <si>
    <t>-629.986966713253 -30.6891498395676 308.743928233693</t>
  </si>
  <si>
    <t>-681.049148021418 -27.1776693932918 753.647657122858</t>
  </si>
  <si>
    <t>-575.133593113813 -118.698846292473 827.763007544876</t>
  </si>
  <si>
    <t>9763-20170724T105053.911606900.bin</t>
  </si>
  <si>
    <t>-676.259917772015 94.8653333141331 -96.6532363884279</t>
  </si>
  <si>
    <t>-680.241387638206 87.4079283465744 -212.172629949255</t>
  </si>
  <si>
    <t>-675.524282541064 75.810016863104 -309.998531311481</t>
  </si>
  <si>
    <t>-668.654509666603 63.1639714773514 -397.925341913768</t>
  </si>
  <si>
    <t>-658.86980673179 48.3309487102586 -485.232287516752</t>
  </si>
  <si>
    <t>-642.178407692859 25.2780907953832 -606.520243492288</t>
  </si>
  <si>
    <t>-600.194593240821 13.9344617107051 -677.327697242681</t>
  </si>
  <si>
    <t>-648.47617575008 62.65083844278 -558.178425847476</t>
  </si>
  <si>
    <t>-635.420699876005 199.265536105602 -566.040025899945</t>
  </si>
  <si>
    <t>-569.999053112848 266.885210388276 -287.223295162942</t>
  </si>
  <si>
    <t>-331.809982064656 271.761389397003 -251.263639569522</t>
  </si>
  <si>
    <t>-650.571006084476 8.19420770742909 -548.116353301583</t>
  </si>
  <si>
    <t>-503.863707014504 12.3728943891203 -300.55271846369</t>
  </si>
  <si>
    <t>-681.337459068218 190.142100589145 -103.735161469802</t>
  </si>
  <si>
    <t>-673.307789700695 192.927364006849 299.72793020543</t>
  </si>
  <si>
    <t>-738.299213820198 246.374907618356 739.686235343621</t>
  </si>
  <si>
    <t>-603.727462548685 193.273412190205 804.16859324982</t>
  </si>
  <si>
    <t>-630.319313658729 -30.3097727826785 308.700156441416</t>
  </si>
  <si>
    <t>-681.202900732057 -27.4044136336097 753.650592630416</t>
  </si>
  <si>
    <t>-575.030622033576 -118.64910188938 827.7392703933</t>
  </si>
  <si>
    <t>9763-20170724T105053.942690500.bin</t>
  </si>
  <si>
    <t>-676.546609889279 95.0743115171431 -96.6530853392724</t>
  </si>
  <si>
    <t>-680.437551468709 87.62464803838 -212.176075532044</t>
  </si>
  <si>
    <t>-675.597791844982 75.9884410595596 -309.991521399042</t>
  </si>
  <si>
    <t>-668.599612717762 63.2907140959678 -397.900664194645</t>
  </si>
  <si>
    <t>-658.669397372087 48.3885086919443 -485.179360541065</t>
  </si>
  <si>
    <t>-641.757492255243 25.221070053019 -606.414921413849</t>
  </si>
  <si>
    <t>-599.664154507242 13.8353027445005 -677.150642985781</t>
  </si>
  <si>
    <t>-648.129817059354 62.6393243940795 -558.118160511806</t>
  </si>
  <si>
    <t>-634.961094042359 199.242404525455 -566.032306554241</t>
  </si>
  <si>
    <t>-568.716073361375 266.948236424883 -287.430943391011</t>
  </si>
  <si>
    <t>-330.614566787387 272.44399988887 -250.985220916468</t>
  </si>
  <si>
    <t>-650.269357046612 8.19258594736289 -548.012125967907</t>
  </si>
  <si>
    <t>-503.73886612259 12.2365889821697 -300.8797325303</t>
  </si>
  <si>
    <t>-681.526322298955 190.43272058641 -103.729364465971</t>
  </si>
  <si>
    <t>-673.648524311184 193.093066320904 299.737562785242</t>
  </si>
  <si>
    <t>-738.271632536877 246.388677030292 739.781916738378</t>
  </si>
  <si>
    <t>-603.753219769895 193.165576036269 804.275338323482</t>
  </si>
  <si>
    <t>-630.696958541031 -30.1752787232285 308.698828326575</t>
  </si>
  <si>
    <t>-681.390574364076 -27.7349562146462 753.677712709735</t>
  </si>
  <si>
    <t>-574.878297206083 -118.608060301729 827.735274948767</t>
  </si>
  <si>
    <t>9763-20170724T105054.012879300.bin</t>
  </si>
  <si>
    <t>-676.943856940322 95.6206732647818 -96.6158269999496</t>
  </si>
  <si>
    <t>-680.752884075695 88.2538659978788 -212.146939990176</t>
  </si>
  <si>
    <t>-675.752373423248 76.6230755449167 -309.95481737972</t>
  </si>
  <si>
    <t>-668.5737652993 63.9050039024276 -397.846675914293</t>
  </si>
  <si>
    <t>-658.428488730965 48.9570675999705 -485.092672670069</t>
  </si>
  <si>
    <t>-641.180966294892 25.6985624144597 -606.263451564154</t>
  </si>
  <si>
    <t>-598.924079397687 14.30195479892 -676.900036241004</t>
  </si>
  <si>
    <t>-647.632308279448 63.1524119461412 -558.004751802027</t>
  </si>
  <si>
    <t>-634.161492592156 199.730230590417 -565.912464747454</t>
  </si>
  <si>
    <t>-566.271646900953 267.293605515241 -287.67275031751</t>
  </si>
  <si>
    <t>-328.345508662026 273.332501966295 -250.18181279123</t>
  </si>
  <si>
    <t>-649.909285167883 8.71461516976751 -547.879593600019</t>
  </si>
  <si>
    <t>-503.594039495442 12.1031251088309 -302.290161565563</t>
  </si>
  <si>
    <t>-681.695137873393 191.02333600102 -103.619307042001</t>
  </si>
  <si>
    <t>-673.894922300566 193.406580999604 299.850803441887</t>
  </si>
  <si>
    <t>-738.234275587265 246.494775150383 739.988715076981</t>
  </si>
  <si>
    <t>-603.89867211042 192.829593405664 804.496899742529</t>
  </si>
  <si>
    <t>-672.084172201647 0.0671675681849138 -91.6971073800423</t>
  </si>
  <si>
    <t>-631.03628675344 -29.6428301584117 308.661582518831</t>
  </si>
  <si>
    <t>-681.296827601452 -27.441909601358 753.684006597066</t>
  </si>
  <si>
    <t>-575.042949783564 -118.616610480136 827.742096133072</t>
  </si>
  <si>
    <t>9763-20170724T105054.045972400.bin</t>
  </si>
  <si>
    <t>-677.042795763244 95.8141810817926 -96.5732918394887</t>
  </si>
  <si>
    <t>-680.855561637869 88.5011679385591 -212.107725592439</t>
  </si>
  <si>
    <t>-675.802642145671 76.909613308459 -309.917414660533</t>
  </si>
  <si>
    <t>-668.55446193225 64.2248335274203 -397.808362784811</t>
  </si>
  <si>
    <t>-658.318066939498 49.3069249676362 -485.048868538482</t>
  </si>
  <si>
    <t>-640.920419444751 26.0874802375215 -606.205809016188</t>
  </si>
  <si>
    <t>-598.603230319079 14.7121177002186 -676.809586905565</t>
  </si>
  <si>
    <t>-647.390281797959 63.5249396042461 -557.937020580605</t>
  </si>
  <si>
    <t>-633.736633974347 200.08604076652 -565.798787031026</t>
  </si>
  <si>
    <t>-565.447839582046 267.139621059099 -287.533321247547</t>
  </si>
  <si>
    <t>-327.503248538715 273.383766768595 -250.194289942566</t>
  </si>
  <si>
    <t>-649.762160567443 9.08533933358945 -547.844301323861</t>
  </si>
  <si>
    <t>-503.466933196416 11.9510671840417 -303.186356619233</t>
  </si>
  <si>
    <t>-681.625382717174 191.136246105261 -103.513499262008</t>
  </si>
  <si>
    <t>-673.820078782947 193.476395767725 299.956752387211</t>
  </si>
  <si>
    <t>-738.233021341791 246.522533799471 740.099476271871</t>
  </si>
  <si>
    <t>-603.920650763978 192.778943640477 804.590624072467</t>
  </si>
  <si>
    <t>-672.277801945832 0.286345945329458 -91.6868950610639</t>
  </si>
  <si>
    <t>-631.028469728421 -29.3698607637507 308.65501213081</t>
  </si>
  <si>
    <t>-681.217716095676 -27.2484845681686 753.682919551225</t>
  </si>
  <si>
    <t>-575.454098340769 -118.970044130901 827.767253766729</t>
  </si>
  <si>
    <t>9763-20170724T105054.110146000.bin</t>
  </si>
  <si>
    <t>-676.349125902409 95.3369177798193 -96.612087192622</t>
  </si>
  <si>
    <t>-680.30300235873 88.0242224996487 -212.141781223445</t>
  </si>
  <si>
    <t>-675.173340916054 76.5322499805015 -309.959393031291</t>
  </si>
  <si>
    <t>-667.777188157959 63.9757879689525 -397.856322761056</t>
  </si>
  <si>
    <t>-657.315305179191 49.2215013869652 -485.097950055591</t>
  </si>
  <si>
    <t>-639.521797161856 26.2657584885994 -606.247669664322</t>
  </si>
  <si>
    <t>-597.053900445454 14.9691163347873 -676.773352939918</t>
  </si>
  <si>
    <t>-646.038943181745 63.5960923811328 -557.902160423723</t>
  </si>
  <si>
    <t>-632.178416407047 200.182941043918 -565.389723806931</t>
  </si>
  <si>
    <t>-564.400387901142 264.824976589253 -286.429547166384</t>
  </si>
  <si>
    <t>-326.262302617191 271.964506083004 -250.511023086566</t>
  </si>
  <si>
    <t>-648.664795976463 9.13876639033128 -547.969110503692</t>
  </si>
  <si>
    <t>-501.906923655995 10.9946191624538 -303.981761363062</t>
  </si>
  <si>
    <t>-680.95248261629 190.921642646116 -103.503488177693</t>
  </si>
  <si>
    <t>-672.883801086982 193.511537660591 299.960077341887</t>
  </si>
  <si>
    <t>-738.071072664944 246.771936385548 740.089179817356</t>
  </si>
  <si>
    <t>-603.654482547279 193.280188714807 804.572771522274</t>
  </si>
  <si>
    <t>-631.295030760493 -28.8544305338962 308.69646194911</t>
  </si>
  <si>
    <t>-681.32817083197 -27.4336887593543 753.672247732089</t>
  </si>
  <si>
    <t>-575.164986378002 -118.674509852801 827.778790678363</t>
  </si>
  <si>
    <t>9763-20170724T105054.144242300.bin</t>
  </si>
  <si>
    <t>-676.340508398917 95.4815879393693 -96.7492196717945</t>
  </si>
  <si>
    <t>-680.551622207626 88.0454749008829 -212.262025045537</t>
  </si>
  <si>
    <t>-675.433532834656 76.6099421742033 -310.086719374398</t>
  </si>
  <si>
    <t>-667.965762524487 64.1635946149379 -397.993238257488</t>
  </si>
  <si>
    <t>-657.350620678384 49.5751654268797 -485.244391922977</t>
  </si>
  <si>
    <t>-639.259083877844 26.9068360987126 -606.403966563954</t>
  </si>
  <si>
    <t>-596.665347190416 15.7225160474727 -676.871666472813</t>
  </si>
  <si>
    <t>-645.859943988594 64.1215783521104 -557.980867777016</t>
  </si>
  <si>
    <t>-632.289546330995 200.735622914088 -565.169143532398</t>
  </si>
  <si>
    <t>-565.182870536052 264.613220845707 -285.870801606438</t>
  </si>
  <si>
    <t>-326.985003391152 271.234350194946 -250.250707312603</t>
  </si>
  <si>
    <t>-648.580783442827 9.64245667110686 -548.194371713353</t>
  </si>
  <si>
    <t>-501.432585548802 10.9964559246353 -304.301512207397</t>
  </si>
  <si>
    <t>-681.306576764506 191.081399349394 -103.697713806523</t>
  </si>
  <si>
    <t>-672.481426974948 193.884093290211 299.748641321798</t>
  </si>
  <si>
    <t>-737.911592453748 246.93880093899 739.905150592291</t>
  </si>
  <si>
    <t>-603.432694583486 193.694865314638 804.464049202071</t>
  </si>
  <si>
    <t>-631.310635970299 -28.2119073438075 308.693784303177</t>
  </si>
  <si>
    <t>-681.066005617312 -27.0857142493555 753.574846088644</t>
  </si>
  <si>
    <t>-575.531654937098 -118.938214818415 827.823746377463</t>
  </si>
  <si>
    <t>9763-20170724T105054.209426800.bin</t>
  </si>
  <si>
    <t>-677.456920190138 95.7413790357441 -97.1454685080863</t>
  </si>
  <si>
    <t>-681.968407985511 88.1471627507024 -212.636648641886</t>
  </si>
  <si>
    <t>-676.763942375337 76.928451472281 -310.48187237653</t>
  </si>
  <si>
    <t>-669.083923369494 64.8005043445423 -398.414699097896</t>
  </si>
  <si>
    <t>-658.125427234377 50.6463441763838 -485.694805298887</t>
  </si>
  <si>
    <t>-639.419313678927 28.698203933066 -606.893680542566</t>
  </si>
  <si>
    <t>-596.478248745593 17.9568226042718 -677.219385508564</t>
  </si>
  <si>
    <t>-646.304822090297 65.6255048372072 -558.290506513429</t>
  </si>
  <si>
    <t>-634.099228287013 202.438867782846 -564.750033413392</t>
  </si>
  <si>
    <t>-572.071207173396 265.835317687139 -284.171040522556</t>
  </si>
  <si>
    <t>-333.93625274548 272.70241931402 -248.17892338355</t>
  </si>
  <si>
    <t>-648.997033700589 11.0874105923019 -548.829550459263</t>
  </si>
  <si>
    <t>-500.162478167143 10.6092818915906 -305.439614820131</t>
  </si>
  <si>
    <t>-683.572937641346 191.506296671031 -104.221778293078</t>
  </si>
  <si>
    <t>-673.31158378768 194.635834778515 299.188222653753</t>
  </si>
  <si>
    <t>-737.639151176984 247.217744304463 739.530654764376</t>
  </si>
  <si>
    <t>-603.192973782894 194.143037771655 804.296419229984</t>
  </si>
  <si>
    <t>-671.137767309351 0.137063500670592 -92.144489201268</t>
  </si>
  <si>
    <t>-630.988945215826 -27.3529829824486 308.463886276445</t>
  </si>
  <si>
    <t>-680.670300039579 -26.6013138258909 753.3494887671</t>
  </si>
  <si>
    <t>-575.839714067003 -119.053803660012 827.850245527206</t>
  </si>
  <si>
    <t>9763-20170724T105054.241511700.bin</t>
  </si>
  <si>
    <t>-678.166501461822 95.5246578569677 -97.3241909375054</t>
  </si>
  <si>
    <t>-682.729531974667 87.9386068087376 -212.813891553565</t>
  </si>
  <si>
    <t>-677.46217916281 76.8963483491536 -310.675883542985</t>
  </si>
  <si>
    <t>-669.683352713789 64.9869060369294 -398.629715142003</t>
  </si>
  <si>
    <t>-658.584356867372 51.108273461271 -485.93636308918</t>
  </si>
  <si>
    <t>-639.638958354865 29.6013030199579 -607.17721734764</t>
  </si>
  <si>
    <t>-596.570554473226 19.1585581412362 -677.470066103931</t>
  </si>
  <si>
    <t>-646.708436690301 66.3533174868378 -558.46766797703</t>
  </si>
  <si>
    <t>-635.458888299651 203.244607788367 -564.402689682157</t>
  </si>
  <si>
    <t>-577.788000570762 266.278914356432 -282.814425424109</t>
  </si>
  <si>
    <t>-339.379159980523 272.50966856734 -248.561335214153</t>
  </si>
  <si>
    <t>-649.243356919047 11.7774500100918 -549.182583930636</t>
  </si>
  <si>
    <t>-499.422149030674 10.1857042071199 -306.042712483201</t>
  </si>
  <si>
    <t>-684.706130309467 191.199141629721 -104.385568079536</t>
  </si>
  <si>
    <t>-674.222551303026 194.75455868649 299.015190349156</t>
  </si>
  <si>
    <t>-737.512617853307 247.293385732966 739.459852241239</t>
  </si>
  <si>
    <t>-603.035082418612 194.396845269882 804.306206178955</t>
  </si>
  <si>
    <t>-630.713737444598 -27.4113158744415 308.274865753921</t>
  </si>
  <si>
    <t>-680.620370252401 -26.4974609797509 753.266180518529</t>
  </si>
  <si>
    <t>-575.890395014445 -119.029717293879 827.80965203287</t>
  </si>
  <si>
    <t>9763-20170724T105054.311704800.bin</t>
  </si>
  <si>
    <t>-679.900587539065 94.3890563836226 -97.4832308888261</t>
  </si>
  <si>
    <t>-684.567659472843 86.92834967831 -212.976815583968</t>
  </si>
  <si>
    <t>-679.304487995848 76.3443511997139 -310.889801843494</t>
  </si>
  <si>
    <t>-671.490779165274 64.9790758801082 -398.912507252199</t>
  </si>
  <si>
    <t>-660.316610035036 51.7755717256039 -486.314259995673</t>
  </si>
  <si>
    <t>-641.221842573573 31.3473762287667 -607.718013598264</t>
  </si>
  <si>
    <t>-597.967589309792 21.6645930741258 -678.005729989143</t>
  </si>
  <si>
    <t>-648.679122482776 67.6697615286325 -558.744705849281</t>
  </si>
  <si>
    <t>-639.574637871146 204.743943694152 -563.487493281038</t>
  </si>
  <si>
    <t>-590.409869858623 268.377987559198 -280.424401271202</t>
  </si>
  <si>
    <t>-351.089525752631 272.688712063619 -252.891525479041</t>
  </si>
  <si>
    <t>-650.569791116867 13.0038391217674 -549.843668421627</t>
  </si>
  <si>
    <t>-498.343096880081 9.95743341337084 -306.555260964016</t>
  </si>
  <si>
    <t>-687.348713557738 190.310863747574 -104.498618529327</t>
  </si>
  <si>
    <t>-676.431823352251 194.689669187229 298.882476302125</t>
  </si>
  <si>
    <t>-737.319717340821 247.404344254001 739.534471350376</t>
  </si>
  <si>
    <t>-602.806902714923 194.712075151047 804.474210202696</t>
  </si>
  <si>
    <t>-630.629412662955 -27.6063532714161 308.006293625458</t>
  </si>
  <si>
    <t>-680.662163916327 -26.3579171586307 753.172850449613</t>
  </si>
  <si>
    <t>-576.140188641107 -119.131413743548 827.708192956931</t>
  </si>
  <si>
    <t>9763-20170724T105054.340785900.bin</t>
  </si>
  <si>
    <t>-680.68662417776 93.5714642496946 -97.4789966312992</t>
  </si>
  <si>
    <t>-685.413495859701 86.1951085793171 -212.975544408256</t>
  </si>
  <si>
    <t>-680.214479149355 75.8071087286528 -310.912944127616</t>
  </si>
  <si>
    <t>-672.461256477546 64.6675020438799 -398.969956902512</t>
  </si>
  <si>
    <t>-661.347673282089 51.7405721259418 -486.420573990147</t>
  </si>
  <si>
    <t>-642.33552489953 31.752981084139 -607.910759289461</t>
  </si>
  <si>
    <t>-598.987825227229 22.4814745452873 -678.196264092086</t>
  </si>
  <si>
    <t>-649.953492112101 67.8985884672502 -558.83148679772</t>
  </si>
  <si>
    <t>-642.075470665246 205.085996363284 -563.136605164235</t>
  </si>
  <si>
    <t>-597.574974191076 269.069896434927 -279.381475604542</t>
  </si>
  <si>
    <t>-357.810134553444 273.349814866352 -256.029268339514</t>
  </si>
  <si>
    <t>-651.450124260715 13.1984865537177 -550.066420011751</t>
  </si>
  <si>
    <t>-497.911170323976 9.67512725961342 -306.874412882197</t>
  </si>
  <si>
    <t>-688.189014712754 189.60809785069 -104.440920681145</t>
  </si>
  <si>
    <t>-677.446402880932 194.493837941843 298.939081174606</t>
  </si>
  <si>
    <t>-737.252105056302 247.538672713084 739.669986975607</t>
  </si>
  <si>
    <t>-602.776479258061 194.760622953413 804.616899372495</t>
  </si>
  <si>
    <t>-630.925820069356 -27.7871280237737 307.933521145394</t>
  </si>
  <si>
    <t>-680.751566031639 -26.4415508841321 753.156955087706</t>
  </si>
  <si>
    <t>-575.94213317048 -118.917668315015 827.658462703888</t>
  </si>
  <si>
    <t>9763-20170724T105054.413995200.bin</t>
  </si>
  <si>
    <t>-682.015790286572 92.7071903045066 -97.3075383620192</t>
  </si>
  <si>
    <t>-686.932202061374 85.4642466955813 -212.804690908645</t>
  </si>
  <si>
    <t>-681.954890588525 75.427081896059 -310.790192463561</t>
  </si>
  <si>
    <t>-674.418575147536 64.7011578292149 -398.917291048432</t>
  </si>
  <si>
    <t>-663.533359127896 52.291466169537 -486.471522086687</t>
  </si>
  <si>
    <t>-644.847508910888 33.1380901985603 -608.146611618595</t>
  </si>
  <si>
    <t>-601.223741425564 24.7379814047292 -678.370666700742</t>
  </si>
  <si>
    <t>-652.683145711829 68.9450546209016 -558.853654893473</t>
  </si>
  <si>
    <t>-646.815006222884 206.221972339038 -562.3586186288</t>
  </si>
  <si>
    <t>-615.088814379399 269.98328576206 -276.84312914817</t>
  </si>
  <si>
    <t>-374.705304488256 275.45578918896 -261.458015037402</t>
  </si>
  <si>
    <t>-653.457317629802 14.1881784100021 -550.353143556529</t>
  </si>
  <si>
    <t>-497.720093102988 9.71377509175863 -307.651041287328</t>
  </si>
  <si>
    <t>-689.630013540166 188.672713757602 -104.088977505319</t>
  </si>
  <si>
    <t>-678.662237461 194.115125716298 299.277753102344</t>
  </si>
  <si>
    <t>-737.254264603565 247.524656184393 740.074488247855</t>
  </si>
  <si>
    <t>-602.672409547502 194.905711216033 804.930484717966</t>
  </si>
  <si>
    <t>-631.218265634746 -28.2615634320382 307.893925901402</t>
  </si>
  <si>
    <t>-680.852410471526 -26.475845149934 753.179047581871</t>
  </si>
  <si>
    <t>-575.797034277649 -118.724681466222 827.615383170003</t>
  </si>
  <si>
    <t>9763-20170724T105054.443067400.bin</t>
  </si>
  <si>
    <t>-682.551731790772 92.4069041272396 -97.1290595930227</t>
  </si>
  <si>
    <t>-687.662186945529 85.2184516917932 -212.621189666669</t>
  </si>
  <si>
    <t>-682.832580084685 75.3686899998925 -310.632984834561</t>
  </si>
  <si>
    <t>-675.418417996622 64.8703591250644 -398.797903296957</t>
  </si>
  <si>
    <t>-664.641313590479 52.7496057262563 -486.40611544886</t>
  </si>
  <si>
    <t>-646.089316876754 34.0664587951003 -608.174511396484</t>
  </si>
  <si>
    <t>-602.288369912874 26.118134143773 -678.341011747482</t>
  </si>
  <si>
    <t>-654.025802584484 69.6808018102522 -558.758478157509</t>
  </si>
  <si>
    <t>-648.853575733061 206.990374750055 -561.918830080095</t>
  </si>
  <si>
    <t>-624.156765141372 270.177182673148 -275.582024854707</t>
  </si>
  <si>
    <t>-383.565175785224 277.137568698631 -264.713922826209</t>
  </si>
  <si>
    <t>-654.480570982373 14.895113865646 -550.421883749148</t>
  </si>
  <si>
    <t>-497.765156898366 10.4735802751568 -307.959295050628</t>
  </si>
  <si>
    <t>-690.148977586758 188.385993030909 -103.83829770974</t>
  </si>
  <si>
    <t>-678.714922997557 193.82317613844 299.515627600321</t>
  </si>
  <si>
    <t>-737.290838230719 247.538613327872 740.284508004645</t>
  </si>
  <si>
    <t>-602.684972420295 194.89743192231 805.072271777429</t>
  </si>
  <si>
    <t>-631.12182587443 -28.4156827581223 307.938792391744</t>
  </si>
  <si>
    <t>-680.917532524468 -26.551237448012 753.216007423016</t>
  </si>
  <si>
    <t>-575.801610339807 -118.757855050696 827.619609800877</t>
  </si>
  <si>
    <t>9763-20170724T105054.507233500.bin</t>
  </si>
  <si>
    <t>-683.133660883052 91.7480499207641 -96.8239650941247</t>
  </si>
  <si>
    <t>-688.72301241973 84.597955052458 -212.296265755383</t>
  </si>
  <si>
    <t>-684.211300862451 75.0551309981631 -310.353562724077</t>
  </si>
  <si>
    <t>-677.0405357595 64.9476095617422 -398.584395008471</t>
  </si>
  <si>
    <t>-666.458317882755 53.3366191254997 -486.285234765754</t>
  </si>
  <si>
    <t>-648.123340690551 35.4941247625643 -608.212576182324</t>
  </si>
  <si>
    <t>-603.991429626652 28.3273744582791 -678.255772933767</t>
  </si>
  <si>
    <t>-656.264581066101 70.7610851594818 -558.581263917606</t>
  </si>
  <si>
    <t>-652.680595262027 208.137596329687 -561.155776103858</t>
  </si>
  <si>
    <t>-636.068459619253 269.231282862537 -273.783443820014</t>
  </si>
  <si>
    <t>-395.369107494459 279.801499374689 -272.060122008333</t>
  </si>
  <si>
    <t>-656.11871153955 15.9302496447904 -550.535552946322</t>
  </si>
  <si>
    <t>-497.407134688406 10.7945162544549 -307.163714210359</t>
  </si>
  <si>
    <t>-690.83900635518 187.869881901675 -103.425269012591</t>
  </si>
  <si>
    <t>-678.566618708301 193.383148355537 299.903003651589</t>
  </si>
  <si>
    <t>-737.352694370075 247.656837947871 740.55103930022</t>
  </si>
  <si>
    <t>-602.829984545517 194.692935057247 805.24848600204</t>
  </si>
  <si>
    <t>-630.990905518003 -28.3730696329055 308.098671809249</t>
  </si>
  <si>
    <t>-680.923047016757 -26.5365336690502 753.287607319595</t>
  </si>
  <si>
    <t>-575.910170979709 -118.873916967209 827.674471336949</t>
  </si>
  <si>
    <t>9763-20170724T105054.546337400.bin</t>
  </si>
  <si>
    <t>-683.216070700105 91.5343807346035 -96.7553896807869</t>
  </si>
  <si>
    <t>-689.0313498165 84.3714813068643 -212.21569566875</t>
  </si>
  <si>
    <t>-684.704873774443 74.9414790232299 -310.292244335512</t>
  </si>
  <si>
    <t>-677.695633838196 64.9855752677827 -398.55326749704</t>
  </si>
  <si>
    <t>-667.267417478192 53.577316487248 -486.299126577678</t>
  </si>
  <si>
    <t>-649.138547488775 36.0728938608281 -608.306326022146</t>
  </si>
  <si>
    <t>-604.908211424617 29.2280979734198 -678.31964655432</t>
  </si>
  <si>
    <t>-657.311972431366 71.1991837914527 -558.580529739383</t>
  </si>
  <si>
    <t>-654.438308641183 208.595978035281 -560.852632350071</t>
  </si>
  <si>
    <t>-637.455622429944 268.405900118413 -273.232207920056</t>
  </si>
  <si>
    <t>-396.745345749457 278.838724450247 -274.01209372541</t>
  </si>
  <si>
    <t>-656.920285777601 16.3523664041115 -550.653469842931</t>
  </si>
  <si>
    <t>-497.214785897871 10.9829809993155 -307.02292065143</t>
  </si>
  <si>
    <t>-691.069676399722 187.740943208755 -103.321508923382</t>
  </si>
  <si>
    <t>-678.58309118339 193.424023361849 299.99776051443</t>
  </si>
  <si>
    <t>-737.378154811305 247.694377211048 740.647833467057</t>
  </si>
  <si>
    <t>-602.867717191139 194.653078791309 805.307255694356</t>
  </si>
  <si>
    <t>-630.786932498029 -28.3452627689853 308.127397825801</t>
  </si>
  <si>
    <t>-680.909493771451 -26.5224205184313 753.305566919315</t>
  </si>
  <si>
    <t>-575.951623405541 -118.914009835015 827.702592858771</t>
  </si>
  <si>
    <t>9763-20170724T105054.612181600.bin</t>
  </si>
  <si>
    <t>-683.372685427292 91.4809685196246 -96.708782206053</t>
  </si>
  <si>
    <t>-689.608105521193 84.2967401863282 -212.145822784392</t>
  </si>
  <si>
    <t>-685.611773337204 75.0408080468271 -310.252961001766</t>
  </si>
  <si>
    <t>-678.887574460157 65.3145951071847 -398.561680555295</t>
  </si>
  <si>
    <t>-668.729784372304 54.2087884491409 -486.378049403586</t>
  </si>
  <si>
    <t>-650.961986343747 37.2012496630052 -608.508531643453</t>
  </si>
  <si>
    <t>-606.597390371955 30.8886236986787 -678.486997093464</t>
  </si>
  <si>
    <t>-659.078448680319 72.1221268389461 -558.629061827797</t>
  </si>
  <si>
    <t>-656.386775811441 209.5309555755 -560.34699433395</t>
  </si>
  <si>
    <t>-635.181638029356 267.323481175483 -272.594430065759</t>
  </si>
  <si>
    <t>-394.304329112814 272.167499782859 -274.951687732412</t>
  </si>
  <si>
    <t>-658.482799198398 17.2487727041835 -550.900916403057</t>
  </si>
  <si>
    <t>-496.533146767158 11.5381050272688 -306.31510772683</t>
  </si>
  <si>
    <t>-691.554972161668 187.859417285059 -103.215807830601</t>
  </si>
  <si>
    <t>-678.70155326446 193.609738600889 300.090956922231</t>
  </si>
  <si>
    <t>-737.446083320812 247.582245564291 740.796247665332</t>
  </si>
  <si>
    <t>-602.858892042784 194.688139398151 805.416665363857</t>
  </si>
  <si>
    <t>-630.031851427316 -28.1513958647186 308.156821466319</t>
  </si>
  <si>
    <t>-680.719251624939 -26.2469229814567 753.272316536925</t>
  </si>
  <si>
    <t>-575.882544305117 -118.732211441366 827.723728085495</t>
  </si>
  <si>
    <t>9763-20170724T105054.642260900.bin</t>
  </si>
  <si>
    <t>-683.343529489063 91.2378940728534 -96.7116865973819</t>
  </si>
  <si>
    <t>-689.768834082806 84.0542520985439 -212.138441020031</t>
  </si>
  <si>
    <t>-685.928516765421 74.8891827175332 -310.260428663087</t>
  </si>
  <si>
    <t>-679.341443621251 65.2805457564336 -398.592274130174</t>
  </si>
  <si>
    <t>-669.316329266121 54.3277555000486 -486.443174963503</t>
  </si>
  <si>
    <t>-651.728647652047 37.5706687816362 -608.634323794032</t>
  </si>
  <si>
    <t>-607.376898263577 31.4729916807503 -678.639824699562</t>
  </si>
  <si>
    <t>-659.780416322559 72.3889112119869 -558.672625437208</t>
  </si>
  <si>
    <t>-656.854078567554 209.803776845939 -560.138781402923</t>
  </si>
  <si>
    <t>-632.88525658916 266.415833767661 -272.368320275349</t>
  </si>
  <si>
    <t>-391.97001823656 268.172364030144 -275.135490457733</t>
  </si>
  <si>
    <t>-659.155784975417 17.5003418228814 -551.055450859292</t>
  </si>
  <si>
    <t>-496.043696802502 11.5054600562673 -306.197869379672</t>
  </si>
  <si>
    <t>-691.533280089306 187.717521643079 -103.208703297943</t>
  </si>
  <si>
    <t>-678.758754287413 193.534355951193 300.0996220804</t>
  </si>
  <si>
    <t>-737.44852963407 247.523905728661 740.812312180263</t>
  </si>
  <si>
    <t>-602.815129148519 194.770756339232 805.451705655246</t>
  </si>
  <si>
    <t>-629.724595886709 -27.9715792853008 308.15079797275</t>
  </si>
  <si>
    <t>-680.681169263976 -26.2311143843456 753.250249122783</t>
  </si>
  <si>
    <t>-575.833138617742 -118.681417699899 827.729448057735</t>
  </si>
  <si>
    <t>9763-20170724T105054.726358000.bin</t>
  </si>
  <si>
    <t>-683.266366336845 90.9520446638314 -96.6979967051728</t>
  </si>
  <si>
    <t>-689.922258416742 83.8390626925489 -212.116097353893</t>
  </si>
  <si>
    <t>-686.319428887723 74.8359929198075 -310.262087381561</t>
  </si>
  <si>
    <t>-679.961139376418 65.4176905677743 -398.631149213823</t>
  </si>
  <si>
    <t>-670.177095865467 54.698657645529 -486.537979922759</t>
  </si>
  <si>
    <t>-652.937974906904 38.3147392887026 -608.829424303347</t>
  </si>
  <si>
    <t>-608.679045602048 32.5014448347583 -678.917919825099</t>
  </si>
  <si>
    <t>-660.810236112842 72.9814680603852 -558.733945426298</t>
  </si>
  <si>
    <t>-657.301082280367 210.418512966146 -559.699905232908</t>
  </si>
  <si>
    <t>-626.892961487668 265.359089813378 -272.214199748883</t>
  </si>
  <si>
    <t>-386.012806126418 262.514096679186 -276.638948784725</t>
  </si>
  <si>
    <t>-660.23781743691 18.0676077062974 -551.296134564437</t>
  </si>
  <si>
    <t>-495.423176059405 11.0649139316708 -305.681585509143</t>
  </si>
  <si>
    <t>-691.145902838741 187.669480046238 -103.166207077816</t>
  </si>
  <si>
    <t>-678.303798296596 193.233364128601 300.143549472356</t>
  </si>
  <si>
    <t>-737.399489817587 247.418514816382 740.814232881026</t>
  </si>
  <si>
    <t>-602.731801055715 194.859493290681 805.540600284154</t>
  </si>
  <si>
    <t>-629.446673861388 -27.7640778112859 308.107675090353</t>
  </si>
  <si>
    <t>-680.563938514061 -26.0053681872957 753.229607340989</t>
  </si>
  <si>
    <t>-575.985348704169 -118.741415052735 827.731886255865</t>
  </si>
  <si>
    <t>9763-20170724T105054.809589400.bin</t>
  </si>
  <si>
    <t>-682.667515737901 91.9767488760122 -96.5163749123469</t>
  </si>
  <si>
    <t>-689.615173640142 84.8881199442258 -211.918704902712</t>
  </si>
  <si>
    <t>-686.033113624741 75.9698683488309 -310.073126298166</t>
  </si>
  <si>
    <t>-679.602166142045 66.658726872937 -398.448320462823</t>
  </si>
  <si>
    <t>-669.654238400045 56.0721667578212 -486.352870980054</t>
  </si>
  <si>
    <t>-652.090445340084 39.8989022770807 -608.626103285688</t>
  </si>
  <si>
    <t>-608.179934668475 34.0005613484502 -678.926260987275</t>
  </si>
  <si>
    <t>-659.775398263758 74.4865536526459 -558.447024173958</t>
  </si>
  <si>
    <t>-654.752131901782 211.873669412279 -558.992686128923</t>
  </si>
  <si>
    <t>-621.500194107616 265.409304159749 -271.556658099263</t>
  </si>
  <si>
    <t>-380.646396782801 260.601370340352 -275.710074515947</t>
  </si>
  <si>
    <t>-659.863314820923 19.5453063368886 -551.192445868851</t>
  </si>
  <si>
    <t>-495.126466696014 9.19168003188497 -306.309667190057</t>
  </si>
  <si>
    <t>-689.730383104484 188.264867873587 -102.969102441072</t>
  </si>
  <si>
    <t>-677.203228444757 193.884459803467 300.349810562784</t>
  </si>
  <si>
    <t>-737.504002856318 247.34759747563 741.019168452357</t>
  </si>
  <si>
    <t>-602.90043189683 194.57780424061 805.706783032849</t>
  </si>
  <si>
    <t>-629.811629336774 -27.7680811394926 308.128039410912</t>
  </si>
  <si>
    <t>-680.58277089133 -26.1051847770452 753.222118191264</t>
  </si>
  <si>
    <t>-575.808090450736 -118.597760778081 827.751978607125</t>
  </si>
  <si>
    <t>9763-20170724T105054.842677300.bin</t>
  </si>
  <si>
    <t>-682.574548977934 92.2559161647632 -96.460521755731</t>
  </si>
  <si>
    <t>-689.611920148705 85.2263014793539 -211.861096519448</t>
  </si>
  <si>
    <t>-686.075410895396 76.3970427612644 -310.025140176602</t>
  </si>
  <si>
    <t>-679.672492111579 67.185202134872 -398.412897587343</t>
  </si>
  <si>
    <t>-669.738478402605 56.7158325278549 -486.333018357822</t>
  </si>
  <si>
    <t>-652.179403157744 40.7255878601602 -608.631080163492</t>
  </si>
  <si>
    <t>-608.468177716937 34.7954028097213 -679.052520263556</t>
  </si>
  <si>
    <t>-659.771885436384 75.2394861657833 -558.38708736089</t>
  </si>
  <si>
    <t>-654.438509320911 212.611134204797 -558.713751501864</t>
  </si>
  <si>
    <t>-622.229555644331 266.071408043334 -271.144993259137</t>
  </si>
  <si>
    <t>-381.364137873699 261.464042282887 -274.816209207718</t>
  </si>
  <si>
    <t>-660.040706918162 20.284802814316 -551.240465712977</t>
  </si>
  <si>
    <t>-495.669378475462 8.63306909879157 -306.779468506409</t>
  </si>
  <si>
    <t>-689.46968372263 188.588349284536 -102.902842359091</t>
  </si>
  <si>
    <t>-676.983121244207 194.029130926062 300.419838200808</t>
  </si>
  <si>
    <t>-737.553914859213 247.370356542274 741.074460246902</t>
  </si>
  <si>
    <t>-602.999174758888 194.46644561248 805.754428548418</t>
  </si>
  <si>
    <t>-629.764531929222 -27.6529455853481 308.152906475925</t>
  </si>
  <si>
    <t>-680.482294323003 -25.9614342002667 753.202352999914</t>
  </si>
  <si>
    <t>-575.801438053596 -118.52866627828 827.771385746147</t>
  </si>
  <si>
    <t>9763-20170724T105054.911878400.bin</t>
  </si>
  <si>
    <t>-682.218548699834 91.7631752681461 -96.40051381247</t>
  </si>
  <si>
    <t>-689.38598369997 84.8155634259751 -211.798118059795</t>
  </si>
  <si>
    <t>-685.994636006518 76.2005145255982 -309.986266253604</t>
  </si>
  <si>
    <t>-679.734058035009 67.2443525697036 -398.410479777738</t>
  </si>
  <si>
    <t>-669.952277921053 57.0913020439727 -486.384685805949</t>
  </si>
  <si>
    <t>-652.614206604987 41.6075636938738 -608.779392535933</t>
  </si>
  <si>
    <t>-609.409092982078 35.6757114752993 -679.512385358288</t>
  </si>
  <si>
    <t>-660.013104975305 75.9142057822539 -558.364951200525</t>
  </si>
  <si>
    <t>-654.371666100408 213.266694489733 -558.036391323819</t>
  </si>
  <si>
    <t>-623.117894455682 265.506258550187 -270.138101506733</t>
  </si>
  <si>
    <t>-382.239970232747 261.416412294322 -273.603195255692</t>
  </si>
  <si>
    <t>-660.474486887298 20.9281522883255 -551.474257778016</t>
  </si>
  <si>
    <t>-496.631011619717 6.98250585501091 -307.34067043326</t>
  </si>
  <si>
    <t>-688.667556252624 188.233046926975 -102.798793996653</t>
  </si>
  <si>
    <t>-677.022120923675 193.905610714127 300.545786600392</t>
  </si>
  <si>
    <t>-737.592964609447 247.314148142093 741.162624452146</t>
  </si>
  <si>
    <t>-603.107932435361 194.248846514149 805.85558147974</t>
  </si>
  <si>
    <t>-629.746171374002 -28.0100647889115 308.184930487537</t>
  </si>
  <si>
    <t>-680.608254718034 -26.1924514414586 753.205002048939</t>
  </si>
  <si>
    <t>-575.538206618998 -118.32340095833 827.766743210674</t>
  </si>
  <si>
    <t>9763-20170724T105054.943976100.bin</t>
  </si>
  <si>
    <t>-682.022661932856 91.4194998637115 -96.3910880220724</t>
  </si>
  <si>
    <t>-689.258578813772 84.5224982939908 -211.787351579373</t>
  </si>
  <si>
    <t>-685.993257117607 76.0177815321235 -309.989550932823</t>
  </si>
  <si>
    <t>-679.872963477387 67.1877570732358 -398.4361337387</t>
  </si>
  <si>
    <t>-670.257181679277 57.1863721536668 -486.446118025553</t>
  </si>
  <si>
    <t>-653.177783706956 41.940447760803 -608.90711271043</t>
  </si>
  <si>
    <t>-610.277042871268 36.0303983421963 -679.82695827559</t>
  </si>
  <si>
    <t>-660.417829046941 76.1494336566823 -558.403224772146</t>
  </si>
  <si>
    <t>-654.645330058327 213.493546122058 -557.709686334733</t>
  </si>
  <si>
    <t>-623.306189942143 264.809037093937 -269.654489217892</t>
  </si>
  <si>
    <t>-382.432374331576 260.79682800671 -273.479081129739</t>
  </si>
  <si>
    <t>-660.969247139757 21.1493074169111 -551.632811229468</t>
  </si>
  <si>
    <t>-497.274143478503 6.69713654663769 -307.602633381049</t>
  </si>
  <si>
    <t>-688.446198973281 187.942287250774 -102.741028089578</t>
  </si>
  <si>
    <t>-676.904767753155 193.659853462458 300.60590478868</t>
  </si>
  <si>
    <t>-737.618571287508 247.237642793683 741.213992069633</t>
  </si>
  <si>
    <t>-603.105566602672 194.22833166622 805.894196509201</t>
  </si>
  <si>
    <t>-629.520257173394 -28.1334877748723 308.155491099705</t>
  </si>
  <si>
    <t>-680.491364152823 -25.9662655705961 753.172509848216</t>
  </si>
  <si>
    <t>-575.877431813497 -118.577719032563 827.780700522136</t>
  </si>
  <si>
    <t>9763-20170724T105055.015157200.bin</t>
  </si>
  <si>
    <t>-681.743148006737 90.6425192552301 -96.2983152078335</t>
  </si>
  <si>
    <t>-689.173289932287 83.9128690733567 -211.692121839473</t>
  </si>
  <si>
    <t>-686.188295896189 75.6108463801529 -309.92050807327</t>
  </si>
  <si>
    <t>-680.367303352472 66.9874730248537 -398.407739663084</t>
  </si>
  <si>
    <t>-671.095540250578 57.2139283080107 -486.480175339452</t>
  </si>
  <si>
    <t>-654.54373396083 42.3075938835843 -609.055283041909</t>
  </si>
  <si>
    <t>-612.212524935778 36.4322626627954 -680.319442067982</t>
  </si>
  <si>
    <t>-661.448507385611 76.377110355515 -558.410400203018</t>
  </si>
  <si>
    <t>-655.364643896623 213.712197274984 -557.108795890883</t>
  </si>
  <si>
    <t>-623.874845654972 263.28884346088 -268.765576185006</t>
  </si>
  <si>
    <t>-383.007540889121 259.54459128076 -273.218995015994</t>
  </si>
  <si>
    <t>-662.206201359057 21.3572878586513 -551.82167883688</t>
  </si>
  <si>
    <t>-498.181612182489 6.53401990039833 -307.971361773319</t>
  </si>
  <si>
    <t>-687.984917905572 187.175247028574 -102.521732964048</t>
  </si>
  <si>
    <t>-676.593712760274 192.925809222398 300.829032775219</t>
  </si>
  <si>
    <t>-737.676337915987 247.065602559126 741.336885831084</t>
  </si>
  <si>
    <t>-603.162207232429 194.034004841199 805.996583649139</t>
  </si>
  <si>
    <t>-629.347236999875 -28.5487364926828 308.130259005191</t>
  </si>
  <si>
    <t>-680.477608248591 -25.9497263209219 753.128640564254</t>
  </si>
  <si>
    <t>-575.706466551512 -118.357498526884 827.768691870683</t>
  </si>
  <si>
    <t>9763-20170724T105055.041224800.bin</t>
  </si>
  <si>
    <t>-681.694741823513 90.2770519519443 -96.2373861572236</t>
  </si>
  <si>
    <t>-689.248799530469 83.6121318407145 -211.626915803586</t>
  </si>
  <si>
    <t>-686.369424876483 75.4015425482933 -309.866183822416</t>
  </si>
  <si>
    <t>-680.642847548148 66.8763196160398 -398.369129016526</t>
  </si>
  <si>
    <t>-671.464880307709 57.215164601565 -486.46375660913</t>
  </si>
  <si>
    <t>-655.042241831827 42.4806615604236 -609.0770327162</t>
  </si>
  <si>
    <t>-612.954606909985 36.6052818249575 -680.485283742342</t>
  </si>
  <si>
    <t>-661.846775829974 76.4791055779783 -558.370749796802</t>
  </si>
  <si>
    <t>-655.617265794554 213.796299772227 -556.750750950974</t>
  </si>
  <si>
    <t>-624.109400970669 262.780733642549 -268.308422877926</t>
  </si>
  <si>
    <t>-383.242836664441 259.311264096886 -273.011175667529</t>
  </si>
  <si>
    <t>-662.691163065087 21.4500403444406 -551.871142473712</t>
  </si>
  <si>
    <t>-498.54738578128 6.22789028045577 -308.189849421895</t>
  </si>
  <si>
    <t>-687.85537877398 186.842670817321 -102.397486568854</t>
  </si>
  <si>
    <t>-676.311339272606 192.556906403409 300.94943647751</t>
  </si>
  <si>
    <t>-737.720562762339 247.037215452288 741.409431769437</t>
  </si>
  <si>
    <t>-603.252692476545 193.849960417208 806.037761813914</t>
  </si>
  <si>
    <t>-629.320877875186 -28.5098222284664 308.128693421857</t>
  </si>
  <si>
    <t>-680.400732789884 -25.7892675471044 753.112461244044</t>
  </si>
  <si>
    <t>-575.843951531701 -118.418651450525 827.778331614734</t>
  </si>
  <si>
    <t>9763-20170724T105055.107414600.bin</t>
  </si>
  <si>
    <t>-681.764420718024 89.8281275702184 -96.1046211768337</t>
  </si>
  <si>
    <t>-689.574170054356 83.2849062795999 -211.484155282192</t>
  </si>
  <si>
    <t>-686.870981516669 75.3045363442493 -309.747323315569</t>
  </si>
  <si>
    <t>-681.285438696533 67.0397247752537 -398.283953456237</t>
  </si>
  <si>
    <t>-672.228976413655 57.6890790779398 -486.424678987591</t>
  </si>
  <si>
    <t>-655.955107129091 43.4408649327083 -609.115248825116</t>
  </si>
  <si>
    <t>-614.317128897772 37.6185377927739 -680.790832615026</t>
  </si>
  <si>
    <t>-662.58664597342 77.2378054527137 -558.251622677164</t>
  </si>
  <si>
    <t>-655.870613984341 214.51591718841 -555.937919673357</t>
  </si>
  <si>
    <t>-624.490836731525 262.067156648572 -267.241822712141</t>
  </si>
  <si>
    <t>-383.618344878836 259.585144179813 -272.25894670243</t>
  </si>
  <si>
    <t>-663.646097382124 22.1836955333292 -551.998636798956</t>
  </si>
  <si>
    <t>-499.677395385754 5.58263455041379 -308.886270458107</t>
  </si>
  <si>
    <t>-687.569848044586 186.402882942683 -102.162689518088</t>
  </si>
  <si>
    <t>-675.84337583075 192.050803624205 301.179905404174</t>
  </si>
  <si>
    <t>-737.79332328311 247.048414266162 741.500350881819</t>
  </si>
  <si>
    <t>-603.425717678123 193.533711046263 806.06685800574</t>
  </si>
  <si>
    <t>-629.532035969347 -28.5951014906327 308.156419747458</t>
  </si>
  <si>
    <t>-680.386393737595 -25.6936911694725 753.12334944314</t>
  </si>
  <si>
    <t>-575.825859141001 -118.317010290358 827.791361322367</t>
  </si>
  <si>
    <t>9763-20170724T105055.141505600.bin</t>
  </si>
  <si>
    <t>-681.782670741871 89.7923914484777 -96.0787359369532</t>
  </si>
  <si>
    <t>-689.723400484848 83.3017723896055 -211.452228322614</t>
  </si>
  <si>
    <t>-687.139993227603 75.4359359761033 -309.727935569176</t>
  </si>
  <si>
    <t>-681.664970930537 67.3040566064853 -398.2837423648</t>
  </si>
  <si>
    <t>-672.720470920103 58.1150696168172 -486.452970312553</t>
  </si>
  <si>
    <t>-656.60397913569 44.1226817991326 -609.193647463388</t>
  </si>
  <si>
    <t>-615.242678640225 38.3457913786597 -681.033070273044</t>
  </si>
  <si>
    <t>-663.09466622104 77.8129535884466 -558.241314042627</t>
  </si>
  <si>
    <t>-656.024500254188 215.072473233394 -555.556615731978</t>
  </si>
  <si>
    <t>-624.33181116154 261.786819232036 -266.758164589412</t>
  </si>
  <si>
    <t>-383.463465985243 259.86905831724 -272.201524083817</t>
  </si>
  <si>
    <t>-664.297513787808 22.7469433728029 -552.121702650019</t>
  </si>
  <si>
    <t>-500.458369418098 5.31000121210536 -309.535318386123</t>
  </si>
  <si>
    <t>-687.310846703781 186.307885521352 -102.101182393176</t>
  </si>
  <si>
    <t>-675.785444808131 192.062287053875 301.245777901438</t>
  </si>
  <si>
    <t>-737.81647821269 247.056578990355 741.529230319188</t>
  </si>
  <si>
    <t>-603.459146796103 193.482229413328 806.067614345817</t>
  </si>
  <si>
    <t>-629.665039361973 -28.5850118547139 308.153490035962</t>
  </si>
  <si>
    <t>-680.371337726081 -25.6437373567494 753.124841666681</t>
  </si>
  <si>
    <t>-575.923872481823 -118.385728197255 827.803958757727</t>
  </si>
  <si>
    <t>9763-20170724T105055.207159100.bin</t>
  </si>
  <si>
    <t>-681.909998984606 89.7809085687072 -96.1041851962704</t>
  </si>
  <si>
    <t>-690.059695916188 83.4171657752388 -211.470174188546</t>
  </si>
  <si>
    <t>-687.674641232458 75.7905278506069 -309.769714823735</t>
  </si>
  <si>
    <t>-682.385426518649 67.9309847623938 -398.361354269676</t>
  </si>
  <si>
    <t>-673.631882486338 59.0669199808438 -486.582913534598</t>
  </si>
  <si>
    <t>-657.786838896904 45.5834028855109 -609.415964878011</t>
  </si>
  <si>
    <t>-617.029848346667 39.871694531648 -681.605216481374</t>
  </si>
  <si>
    <t>-663.96731133596 79.0600975572672 -558.284519325116</t>
  </si>
  <si>
    <t>-655.9658247084 216.254852538691 -554.941925245067</t>
  </si>
  <si>
    <t>-623.031175885051 261.213289428848 -266.003619487326</t>
  </si>
  <si>
    <t>-382.186407158456 260.213525534076 -272.610104063058</t>
  </si>
  <si>
    <t>-665.551609445372 23.9734943982326 -552.441989725008</t>
  </si>
  <si>
    <t>-501.950956968434 4.94719564442448 -310.646879374187</t>
  </si>
  <si>
    <t>-686.829642762515 186.216985670527 -102.056031199354</t>
  </si>
  <si>
    <t>-675.740386607137 192.172069839734 301.300170372417</t>
  </si>
  <si>
    <t>-737.820962947546 247.050330963935 741.561848835274</t>
  </si>
  <si>
    <t>-603.534948749243 193.290287499288 806.094165585077</t>
  </si>
  <si>
    <t>-630.242169707607 -28.5175207821228 308.058869042029</t>
  </si>
  <si>
    <t>-680.355207230611 -25.5445933306214 753.111709030209</t>
  </si>
  <si>
    <t>-576.029653318315 -118.414039460475 827.802788809191</t>
  </si>
  <si>
    <t>9763-20170724T105055.242251900.bin</t>
  </si>
  <si>
    <t>-682.111206960505 89.854739647875 -96.1004230441683</t>
  </si>
  <si>
    <t>-690.340503730985 83.563841683002 -211.464798017918</t>
  </si>
  <si>
    <t>-688.007500538097 76.0456276889956 -309.773963755797</t>
  </si>
  <si>
    <t>-682.7584733106 68.3035401259483 -398.378306966493</t>
  </si>
  <si>
    <t>-674.038308248317 59.5745424892 -486.616658913559</t>
  </si>
  <si>
    <t>-658.232294070624 46.2973005202584 -609.477207429551</t>
  </si>
  <si>
    <t>-617.720564141468 40.6011957014643 -681.805498231946</t>
  </si>
  <si>
    <t>-664.283659545818 79.6861066140089 -558.272864046057</t>
  </si>
  <si>
    <t>-655.673945163526 216.83516446419 -554.611354667965</t>
  </si>
  <si>
    <t>-621.975706659351 261.091026948372 -265.652767032634</t>
  </si>
  <si>
    <t>-381.146518860815 260.079561887329 -272.804693482458</t>
  </si>
  <si>
    <t>-666.091731719942 24.5937993957377 -552.551888005093</t>
  </si>
  <si>
    <t>-502.715048388779 4.91642219023447 -310.880774376473</t>
  </si>
  <si>
    <t>-686.716543002173 186.21245249224 -102.018025473586</t>
  </si>
  <si>
    <t>-675.703335375171 192.122478124494 301.340894860791</t>
  </si>
  <si>
    <t>-737.823363842913 247.018947735296 741.589670353209</t>
  </si>
  <si>
    <t>-603.565098720061 193.191663125143 806.1238155062</t>
  </si>
  <si>
    <t>-630.573660077741 -28.3013499216893 308.010376679989</t>
  </si>
  <si>
    <t>-680.240367911433 -25.2658232829665 753.108962460468</t>
  </si>
  <si>
    <t>-576.271056900615 -118.524162754401 827.812127411146</t>
  </si>
  <si>
    <t>9763-20170724T105055.307934600.bin</t>
  </si>
  <si>
    <t>-682.586108658751 89.7789716380396 -96.070066474016</t>
  </si>
  <si>
    <t>-690.998653897969 83.657806146897 -211.430288028162</t>
  </si>
  <si>
    <t>-688.815166354997 76.3343982447811 -309.757678682395</t>
  </si>
  <si>
    <t>-683.698437972603 68.7907269795221 -398.386801236016</t>
  </si>
  <si>
    <t>-675.106903651454 60.2786683159343 -486.659065559158</t>
  </si>
  <si>
    <t>-659.477497980583 47.3228158038337 -609.576514645692</t>
  </si>
  <si>
    <t>-619.482463974535 41.6327947731202 -682.192230046291</t>
  </si>
  <si>
    <t>-665.207073451451 80.5716723786579 -558.244133477503</t>
  </si>
  <si>
    <t>-655.221110764069 217.612595084714 -553.969395182218</t>
  </si>
  <si>
    <t>-619.850248653189 260.823673602201 -265.052666905479</t>
  </si>
  <si>
    <t>-379.038585490236 258.96938102615 -272.615804843153</t>
  </si>
  <si>
    <t>-667.503332614529 25.476520073775 -552.728887951768</t>
  </si>
  <si>
    <t>-504.59338003303 3.93999998281697 -311.563366934243</t>
  </si>
  <si>
    <t>-686.4949603386 186.068653430477 -101.90930118741</t>
  </si>
  <si>
    <t>-675.676730665019 192.043553820082 301.45393206543</t>
  </si>
  <si>
    <t>-737.81591873838 247.157370347764 741.681698848835</t>
  </si>
  <si>
    <t>-603.707758195046 192.94778836971 806.208085507227</t>
  </si>
  <si>
    <t>-631.366667613266 -28.1574626890404 307.905855873724</t>
  </si>
  <si>
    <t>-680.344386906921 -25.3863268192097 753.113400729025</t>
  </si>
  <si>
    <t>-576.275588130349 -118.545982024545 827.801188281012</t>
  </si>
  <si>
    <t>9763-20170724T105055.378658400.bin</t>
  </si>
  <si>
    <t>-683.083221893643 89.6946011141392 -96.0277274670447</t>
  </si>
  <si>
    <t>-691.633272248438 83.7190127506101 -211.38541520826</t>
  </si>
  <si>
    <t>-689.702410184533 76.5797679334589 -309.731566568196</t>
  </si>
  <si>
    <t>-684.867108719762 69.2311206771196 -398.393003768561</t>
  </si>
  <si>
    <t>-676.610062843263 60.9384853930617 -486.717950344738</t>
  </si>
  <si>
    <t>-661.501785255105 48.3147370524957 -609.73501600032</t>
  </si>
  <si>
    <t>-622.029419624552 42.6456461313462 -682.63782101366</t>
  </si>
  <si>
    <t>-666.754089132948 81.4161343319067 -558.256632209243</t>
  </si>
  <si>
    <t>-655.497940673882 218.339074672717 -553.417256414819</t>
  </si>
  <si>
    <t>-618.528048849576 260.507364905079 -264.546706807458</t>
  </si>
  <si>
    <t>-377.729072432681 257.661325169159 -272.201995890145</t>
  </si>
  <si>
    <t>-669.54628388482 26.3237296047428 -552.946127704612</t>
  </si>
  <si>
    <t>-506.748680494357 3.27623171106029 -311.491155967027</t>
  </si>
  <si>
    <t>-686.184000974488 185.871800579972 -101.801060791957</t>
  </si>
  <si>
    <t>-675.713313464041 191.955591580874 301.569764377721</t>
  </si>
  <si>
    <t>-737.814271905931 247.199078752246 741.757215424251</t>
  </si>
  <si>
    <t>-603.792877284267 192.768788170136 806.277799232591</t>
  </si>
  <si>
    <t>-632.185036372791 -28.059148607083 307.831740912134</t>
  </si>
  <si>
    <t>-680.33052733913 -25.292875888782 753.112376179456</t>
  </si>
  <si>
    <t>-576.484147966631 -118.691803807903 827.810617263423</t>
  </si>
  <si>
    <t>9763-20170724T105055.409243000.bin</t>
  </si>
  <si>
    <t>-683.264288290172 89.7542231938942 -95.9944489452751</t>
  </si>
  <si>
    <t>-691.890434956322 83.8348343938399 -211.349444564719</t>
  </si>
  <si>
    <t>-690.043003895204 76.7573141017415 -309.701640521107</t>
  </si>
  <si>
    <t>-685.290459190713 69.4721831176505 -398.3728550529</t>
  </si>
  <si>
    <t>-677.122969779033 61.2490101728592 -486.712495946101</t>
  </si>
  <si>
    <t>-662.147445805856 48.7278129633987 -609.756383295287</t>
  </si>
  <si>
    <t>-622.853685814706 43.053243359127 -682.755201449189</t>
  </si>
  <si>
    <t>-667.219024763778 81.7810051746533 -558.228889254361</t>
  </si>
  <si>
    <t>-655.335054662401 218.638115433685 -553.145321838116</t>
  </si>
  <si>
    <t>-617.489800796218 260.413497753886 -264.330955975584</t>
  </si>
  <si>
    <t>-376.701802866222 257.319463350853 -272.230645264978</t>
  </si>
  <si>
    <t>-670.255854234819 26.6945309237678 -552.992820207852</t>
  </si>
  <si>
    <t>-507.402175610548 2.61164707391231 -311.266381888273</t>
  </si>
  <si>
    <t>-685.993176309812 185.798008202195 -101.735306534244</t>
  </si>
  <si>
    <t>-675.676103587959 191.96530027244 301.6381758753</t>
  </si>
  <si>
    <t>-737.823115220547 247.242857293996 741.820776444646</t>
  </si>
  <si>
    <t>-603.833359934471 192.71525671882 806.324815105893</t>
  </si>
  <si>
    <t>-632.633529934758 -27.987648306907 307.807302025209</t>
  </si>
  <si>
    <t>-680.348303835017 -25.2915348732347 753.131604860211</t>
  </si>
  <si>
    <t>-576.436518110245 -118.627533764064 827.817870564337</t>
  </si>
  <si>
    <t>9763-20170724T105055.447340100.bin</t>
  </si>
  <si>
    <t>-683.449149360285 89.8243670822469 -95.9672204749759</t>
  </si>
  <si>
    <t>-692.18389749895 83.9581379077235 -211.316786685643</t>
  </si>
  <si>
    <t>-690.406584738189 76.9291365820984 -309.673703866582</t>
  </si>
  <si>
    <t>-685.708247700909 69.6902574887374 -398.351606409484</t>
  </si>
  <si>
    <t>-677.585892524475 61.5138440882822 -486.699853110016</t>
  </si>
  <si>
    <t>-662.664314377898 49.0580836434647 -609.756892841566</t>
  </si>
  <si>
    <t>-623.474482738002 43.3650693667066 -682.810031800006</t>
  </si>
  <si>
    <t>-667.590418498197 82.0782512537978 -558.194211334447</t>
  </si>
  <si>
    <t>-655.090762909009 218.879196328614 -552.91122683702</t>
  </si>
  <si>
    <t>-616.342324204629 260.183632654632 -264.148935124891</t>
  </si>
  <si>
    <t>-375.565685263498 256.932721620747 -272.332134427638</t>
  </si>
  <si>
    <t>-670.870761427516 27.0001186398713 -553.016914417946</t>
  </si>
  <si>
    <t>-507.981818327831 1.9928966632242 -311.07279807082</t>
  </si>
  <si>
    <t>-685.88155753148 185.762876510273 -101.677625092998</t>
  </si>
  <si>
    <t>-675.592908596993 191.979170983751 301.695837529099</t>
  </si>
  <si>
    <t>-737.828646943829 247.285180388191 741.866105742089</t>
  </si>
  <si>
    <t>-603.926747507876 192.531869686123 806.361512116062</t>
  </si>
  <si>
    <t>-633.059165184255 -27.795285164422 307.780580057399</t>
  </si>
  <si>
    <t>-680.263712864651 -25.1140410458861 753.13351015819</t>
  </si>
  <si>
    <t>-576.496662109883 -118.600704608951 827.832665477547</t>
  </si>
  <si>
    <t>9763-20170724T105055.508068500.bin</t>
  </si>
  <si>
    <t>-683.995989964363 89.878880946146 -95.942906620096</t>
  </si>
  <si>
    <t>-692.946285359598 84.1231078118219 -211.281345221163</t>
  </si>
  <si>
    <t>-691.283701329125 77.174634611084 -309.646116038896</t>
  </si>
  <si>
    <t>-686.661436484924 70.0058440529633 -398.333701207384</t>
  </si>
  <si>
    <t>-678.587981017458 61.892846674529 -486.692172754381</t>
  </si>
  <si>
    <t>-663.706553825079 49.5174640902153 -609.762234191188</t>
  </si>
  <si>
    <t>-624.65562649866 43.6991463577026 -682.87979180075</t>
  </si>
  <si>
    <t>-668.384784687921 82.4919784316317 -558.147108544207</t>
  </si>
  <si>
    <t>-654.769252368502 219.168407493714 -552.517282264923</t>
  </si>
  <si>
    <t>-614.4590687826 259.671741827188 -263.855249862781</t>
  </si>
  <si>
    <t>-373.682630009513 255.980617696585 -271.853587446594</t>
  </si>
  <si>
    <t>-672.125564546594 27.4344230138902 -553.063210748294</t>
  </si>
  <si>
    <t>-509.123255520637 0.53895843317332 -310.847747664957</t>
  </si>
  <si>
    <t>-685.867905094007 185.737526807969 -101.582548540344</t>
  </si>
  <si>
    <t>-675.433367625969 191.850859619163 301.788757530092</t>
  </si>
  <si>
    <t>-737.835158755287 247.422838390515 741.920092437139</t>
  </si>
  <si>
    <t>-604.063887787895 192.315818772405 806.385220707055</t>
  </si>
  <si>
    <t>-634.097911118482 -27.492324536566 307.754926590976</t>
  </si>
  <si>
    <t>-680.40715067578 -25.3564457622158 753.166531745782</t>
  </si>
  <si>
    <t>-576.660514719531 -118.852380547035 827.88216283779</t>
  </si>
  <si>
    <t>9763-20170724T105055.546163200.bin</t>
  </si>
  <si>
    <t>-684.310095102379 89.9143817144648 -95.946726311968</t>
  </si>
  <si>
    <t>-693.3372708122 84.2019056238014 -211.281458420894</t>
  </si>
  <si>
    <t>-691.700888339285 77.2852039289214 -309.648777289302</t>
  </si>
  <si>
    <t>-687.086593575755 70.1440165879214 -398.339079260869</t>
  </si>
  <si>
    <t>-679.005625346506 62.055993356186 -486.699156083374</t>
  </si>
  <si>
    <t>-664.097769193716 49.7124435466258 -609.769207585636</t>
  </si>
  <si>
    <t>-625.1048937202 43.7540891155222 -682.906609614601</t>
  </si>
  <si>
    <t>-668.67959170261 82.6673050565814 -558.133023409449</t>
  </si>
  <si>
    <t>-654.493445930872 219.281698424466 -552.346535750061</t>
  </si>
  <si>
    <t>-613.589088860637 259.413935723144 -263.71636583644</t>
  </si>
  <si>
    <t>-372.813041808385 255.322778545649 -271.528860993125</t>
  </si>
  <si>
    <t>-672.636280747604 27.6210611652009 -553.091218538756</t>
  </si>
  <si>
    <t>-685.857736905087 185.732265034728 -101.562982042833</t>
  </si>
  <si>
    <t>-675.417335704698 191.76992374113 301.809294509764</t>
  </si>
  <si>
    <t>-737.846351727821 247.453683936669 741.925198146369</t>
  </si>
  <si>
    <t>-604.150990609025 192.146109872551 806.376168624666</t>
  </si>
  <si>
    <t>-634.790589269316 -27.2680492515626 307.725638232985</t>
  </si>
  <si>
    <t>-680.458301046769 -25.4321811032867 753.188731833202</t>
  </si>
  <si>
    <t>-576.466663502866 -118.664495142669 827.893333467661</t>
  </si>
  <si>
    <t>9763-20170724T105055.610905800.bin</t>
  </si>
  <si>
    <t>-685.061435013665 90.6382187231939 -96.0493279457876</t>
  </si>
  <si>
    <t>-694.067116704683 84.947316613262 -211.386803951407</t>
  </si>
  <si>
    <t>-692.435433873735 78.0773843120567 -309.757543969953</t>
  </si>
  <si>
    <t>-687.83443936731 70.9931118025822 -398.452924773589</t>
  </si>
  <si>
    <t>-679.77550367044 62.9738315366997 -486.821485124123</t>
  </si>
  <si>
    <t>-664.907679135809 50.7380696300638 -609.907064358543</t>
  </si>
  <si>
    <t>-626.129065783779 44.4135406613134 -683.127618053795</t>
  </si>
  <si>
    <t>-669.281416747432 83.6355067488844 -558.216147473671</t>
  </si>
  <si>
    <t>-654.106139346547 220.121664689833 -552.091860553867</t>
  </si>
  <si>
    <t>-611.765736739552 259.712576683272 -263.593955990723</t>
  </si>
  <si>
    <t>-370.988565382049 255.100208771277 -271.071574813147</t>
  </si>
  <si>
    <t>-673.61925005483 28.6092936464911 -553.270132523471</t>
  </si>
  <si>
    <t>-685.922040666206 185.933171649643 -101.645118527666</t>
  </si>
  <si>
    <t>-675.711816801966 192.158746752507 301.730185903823</t>
  </si>
  <si>
    <t>-737.889309077123 247.578857021785 741.897611208272</t>
  </si>
  <si>
    <t>-604.262898580245 192.030592327182 806.28464244408</t>
  </si>
  <si>
    <t>-636.675693644619 -26.2113186201466 307.628624067088</t>
  </si>
  <si>
    <t>-680.338720306763 -25.1903723183189 753.224346053074</t>
  </si>
  <si>
    <t>-577.02051872913 -119.123475835771 827.985315942627</t>
  </si>
  <si>
    <t>9763-20170724T105055.642991500.bin</t>
  </si>
  <si>
    <t>-685.513520029389 91.2663541740944 -96.1642041608549</t>
  </si>
  <si>
    <t>-694.437144104057 85.5473087388905 -211.506670589034</t>
  </si>
  <si>
    <t>-692.770813255253 78.6873928820587 -309.877521825994</t>
  </si>
  <si>
    <t>-688.15233422556 71.6282113463865 -398.574003927103</t>
  </si>
  <si>
    <t>-680.089717086521 63.6487252420723 -486.94586364051</t>
  </si>
  <si>
    <t>-665.230208751689 51.4848810963128 -610.039505740109</t>
  </si>
  <si>
    <t>-626.562647369805 44.9882799173981 -683.303660972061</t>
  </si>
  <si>
    <t>-669.512721941476 84.346023681459 -558.318023701314</t>
  </si>
  <si>
    <t>-653.86546766751 220.774778978339 -552.045837832473</t>
  </si>
  <si>
    <t>-610.839198378765 260.12745455452 -263.616788456102</t>
  </si>
  <si>
    <t>-370.053710053487 255.409484453458 -270.754289007062</t>
  </si>
  <si>
    <t>-674.025696835246 29.3290230519922 -553.426104715662</t>
  </si>
  <si>
    <t>-686.044689301013 186.201612759967 -101.769017463839</t>
  </si>
  <si>
    <t>-675.931196347271 192.505547573498 301.60750968974</t>
  </si>
  <si>
    <t>-737.937145637595 247.596081479925 741.841276741799</t>
  </si>
  <si>
    <t>-604.310398969393 191.994682592614 806.181484522504</t>
  </si>
  <si>
    <t>-638.166697069814 -25.3981929514914 307.578889674197</t>
  </si>
  <si>
    <t>-680.302260911363 -25.1232268053177 753.26801446811</t>
  </si>
  <si>
    <t>-577.235535748057 -119.315584269608 828.050033950556</t>
  </si>
  <si>
    <t>9763-20170724T105055.707740200.bin</t>
  </si>
  <si>
    <t>-686.763606265165 92.9090452774458 -96.427712776284</t>
  </si>
  <si>
    <t>-695.451490028991 87.1187798886949 -211.784741875706</t>
  </si>
  <si>
    <t>-693.699951889157 80.2572241199518 -310.153887548775</t>
  </si>
  <si>
    <t>-689.049786465384 73.2262591322572 -398.851066048829</t>
  </si>
  <si>
    <t>-681.000143783905 65.3036241481125 -487.229114053645</t>
  </si>
  <si>
    <t>-666.204675339971 53.2502639717854 -610.341298409684</t>
  </si>
  <si>
    <t>-627.734913194809 46.3872845746262 -683.676224386794</t>
  </si>
  <si>
    <t>-670.30172540591 86.0533522241133 -558.567943257851</t>
  </si>
  <si>
    <t>-653.79976802891 222.369813533345 -552.094891448029</t>
  </si>
  <si>
    <t>-609.810777607342 261.618303498579 -263.796882722439</t>
  </si>
  <si>
    <t>-369.032391415517 256.866043223008 -271.146259768462</t>
  </si>
  <si>
    <t>-675.129134468638 31.0554355247816 -553.763492333022</t>
  </si>
  <si>
    <t>-513.282515727563 0.196612145172367 -311.806392643249</t>
  </si>
  <si>
    <t>-686.767187857683 187.026586661686 -102.040162606561</t>
  </si>
  <si>
    <t>-676.597161720958 193.065092330079 301.339036131179</t>
  </si>
  <si>
    <t>-738.208465580596 247.512312130961 741.750567243247</t>
  </si>
  <si>
    <t>-604.768296698525 191.280710446627 805.930293230289</t>
  </si>
  <si>
    <t>-641.928385034132 -23.19028750693 307.545247680157</t>
  </si>
  <si>
    <t>-680.2778181361 -25.0757425736515 753.430212659683</t>
  </si>
  <si>
    <t>-577.848222277352 -119.949543699476 828.226169334282</t>
  </si>
  <si>
    <t>9763-20170724T105055.746845800.bin</t>
  </si>
  <si>
    <t>-687.534898575578 93.6737234826076 -96.6031287653656</t>
  </si>
  <si>
    <t>-696.104389109317 87.8720709845916 -211.968354264479</t>
  </si>
  <si>
    <t>-694.337910782713 80.9902797624147 -310.335939637581</t>
  </si>
  <si>
    <t>-689.708743972895 73.9409407166672 -399.03266892965</t>
  </si>
  <si>
    <t>-681.713883476787 65.9996632619598 -487.413967938546</t>
  </si>
  <si>
    <t>-667.030356325306 53.920914038802 -610.537137992799</t>
  </si>
  <si>
    <t>-628.668506652619 46.6980012148676 -683.894083739356</t>
  </si>
  <si>
    <t>-670.998948380779 86.7282362222506 -558.756523269545</t>
  </si>
  <si>
    <t>-654.059080344385 222.998833000149 -552.302052011259</t>
  </si>
  <si>
    <t>-609.799583479911 262.355549154121 -264.060122708798</t>
  </si>
  <si>
    <t>-369.012607462449 257.704449081722 -271.188555746381</t>
  </si>
  <si>
    <t>-675.984597058894 31.7439928732181 -553.957017893047</t>
  </si>
  <si>
    <t>-514.583189392564 0.728475586272452 -311.543494174848</t>
  </si>
  <si>
    <t>-687.388856689229 187.585497594469 -102.220304280696</t>
  </si>
  <si>
    <t>-677.124620072212 193.176375876314 301.162986827907</t>
  </si>
  <si>
    <t>-738.363634553145 247.436745692492 741.672673707611</t>
  </si>
  <si>
    <t>-605.090281857681 190.73234118764 805.782655659644</t>
  </si>
  <si>
    <t>-644.084660572374 -22.2057536446191 307.526365574021</t>
  </si>
  <si>
    <t>-680.474669250205 -25.4052777669219 753.53071607244</t>
  </si>
  <si>
    <t>-577.636196074913 -119.876574751926 828.274959967192</t>
  </si>
  <si>
    <t>9763-20170724T105055.812570100.bin</t>
  </si>
  <si>
    <t>-688.545949845651 94.7255937238988 -97.0478703308839</t>
  </si>
  <si>
    <t>-696.956794700129 88.9121138234136 -212.424093084866</t>
  </si>
  <si>
    <t>-695.111808655369 81.9933372639653 -310.787654122975</t>
  </si>
  <si>
    <t>-690.43431188255 74.9055443451123 -399.478902200782</t>
  </si>
  <si>
    <t>-682.414350892171 66.9192111215868 -487.8538693145</t>
  </si>
  <si>
    <t>-667.719033809549 54.7712684344424 -610.968797846981</t>
  </si>
  <si>
    <t>-629.488302975285 46.4892087881085 -684.28211029999</t>
  </si>
  <si>
    <t>-671.495734642346 87.5912754728165 -559.181880197811</t>
  </si>
  <si>
    <t>-653.535293882685 223.72135722854 -552.698671600896</t>
  </si>
  <si>
    <t>-609.322316678774 263.035242696717 -264.443807977249</t>
  </si>
  <si>
    <t>-368.544546381476 258.559583055927 -271.985753476989</t>
  </si>
  <si>
    <t>-676.875558204931 32.6425206198694 -554.402212276599</t>
  </si>
  <si>
    <t>-516.50219132051 1.07901508066902 -311.269835911027</t>
  </si>
  <si>
    <t>-687.875956624451 188.060287379067 -102.700422393169</t>
  </si>
  <si>
    <t>-677.61362524109 193.696750705144 300.682250091559</t>
  </si>
  <si>
    <t>-738.473329368798 247.50328917463 741.296380285456</t>
  </si>
  <si>
    <t>-605.415143843495 190.23616264988 805.353209672335</t>
  </si>
  <si>
    <t>-689.146998508649 1.19966582804886 -93.3631690100092</t>
  </si>
  <si>
    <t>-646.772569661406 -21.4272191490895 307.320082099931</t>
  </si>
  <si>
    <t>-680.591039718529 -25.5601628650043 753.643959954391</t>
  </si>
  <si>
    <t>-577.593678752753 -119.911472549304 828.320949805396</t>
  </si>
  <si>
    <t>9763-20170724T105055.853669100.bin</t>
  </si>
  <si>
    <t>-688.832708820161 94.6560935245702 -97.1973716473036</t>
  </si>
  <si>
    <t>-697.232744121163 88.9081789777863 -212.577710879129</t>
  </si>
  <si>
    <t>-695.34644382571 82.0121083662577 -310.942048030297</t>
  </si>
  <si>
    <t>-690.619109065223 74.9333542168838 -399.631348430187</t>
  </si>
  <si>
    <t>-682.536741124194 66.9431272534116 -488.000337186223</t>
  </si>
  <si>
    <t>-667.742227650027 54.7762778463889 -611.101409331894</t>
  </si>
  <si>
    <t>-629.555294238721 45.9133388300986 -684.369687369007</t>
  </si>
  <si>
    <t>-671.454675765348 87.5950147216117 -559.309008411487</t>
  </si>
  <si>
    <t>-652.920253999119 223.655698903711 -552.784415399484</t>
  </si>
  <si>
    <t>-609.003906463356 262.689362082016 -264.44612376716</t>
  </si>
  <si>
    <t>-368.228701312448 258.545868172171 -272.259144567986</t>
  </si>
  <si>
    <t>-677.050439791132 32.6657140392526 -554.552448660562</t>
  </si>
  <si>
    <t>-517.140510500348 0.473962929268282 -310.937448936887</t>
  </si>
  <si>
    <t>-687.811581194441 188.009851359076 -102.881718875793</t>
  </si>
  <si>
    <t>-677.969800096372 193.759996693146 300.509757830428</t>
  </si>
  <si>
    <t>-738.45568448192 247.678260848109 741.138506201072</t>
  </si>
  <si>
    <t>-605.538371331498 190.094145157282 805.203739173277</t>
  </si>
  <si>
    <t>-689.736811087473 0.94258199595356 -93.4664064467282</t>
  </si>
  <si>
    <t>-647.248141239753 -21.4478270744596 307.218076205008</t>
  </si>
  <si>
    <t>-680.579155151871 -25.5053503194274 753.649812360121</t>
  </si>
  <si>
    <t>-577.988456055421 -120.302699508033 828.321792683408</t>
  </si>
  <si>
    <t>9763-20170724T105055.909326900.bin</t>
  </si>
  <si>
    <t>-689.051647137136 93.3275674898202 -97.2668856471788</t>
  </si>
  <si>
    <t>-697.504508433931 87.6801663579852 -212.648443667778</t>
  </si>
  <si>
    <t>-695.614481496527 80.8130002870482 -311.014716291104</t>
  </si>
  <si>
    <t>-690.865278815643 73.738948763398 -399.70306289444</t>
  </si>
  <si>
    <t>-682.743332408291 65.7280840111457 -488.066577385994</t>
  </si>
  <si>
    <t>-667.876045953333 53.5043689370311 -611.153409357612</t>
  </si>
  <si>
    <t>-629.767404453703 43.6565617149695 -684.336506281107</t>
  </si>
  <si>
    <t>-671.42159460258 86.3283010865814 -559.352427588569</t>
  </si>
  <si>
    <t>-651.864995030538 222.240203540284 -552.746535797774</t>
  </si>
  <si>
    <t>-608.263630391897 260.574790640169 -264.266665595708</t>
  </si>
  <si>
    <t>-367.490873181053 256.759175619994 -272.314862062273</t>
  </si>
  <si>
    <t>-677.415364149068 31.4385326448732 -554.625322469285</t>
  </si>
  <si>
    <t>-687.501786351864 186.956345048191 -102.99682621511</t>
  </si>
  <si>
    <t>-678.322060949863 193.245245393616 300.402249627434</t>
  </si>
  <si>
    <t>-738.397293549934 247.819691286373 740.941364463922</t>
  </si>
  <si>
    <t>-605.468027500775 190.282483809167 805.024110172647</t>
  </si>
  <si>
    <t>-647.288236424316 -22.5116805049886 307.077815689852</t>
  </si>
  <si>
    <t>-680.585571379432 -25.4515999244873 753.613314766148</t>
  </si>
  <si>
    <t>-578.042478239567 -120.339436639348 828.235864120113</t>
  </si>
  <si>
    <t>9763-20170724T105055.942414000.bin</t>
  </si>
  <si>
    <t>-689.024795799734 92.6502398199477 -97.2175057460157</t>
  </si>
  <si>
    <t>-697.571702185274 87.0299946685657 -212.593447097043</t>
  </si>
  <si>
    <t>-695.689843311008 80.1584985665531 -310.959572964695</t>
  </si>
  <si>
    <t>-690.919748460891 73.0681768953798 -399.645564416526</t>
  </si>
  <si>
    <t>-682.749885875475 65.0263136801832 -488.001810339617</t>
  </si>
  <si>
    <t>-667.787424236875 52.7428385587721 -611.071082289242</t>
  </si>
  <si>
    <t>-629.691865762794 42.5711657209235 -684.216858850389</t>
  </si>
  <si>
    <t>-671.286113471912 85.5833338820064 -559.27751821893</t>
  </si>
  <si>
    <t>-651.281979842315 221.424362094612 -552.610637130707</t>
  </si>
  <si>
    <t>-607.654870297886 259.71566433176 -264.129021485404</t>
  </si>
  <si>
    <t>-366.883616078072 255.829780680282 -272.18937867351</t>
  </si>
  <si>
    <t>-677.457285210917 30.713082349366 -554.551288460575</t>
  </si>
  <si>
    <t>-687.279352440318 186.377299040222 -102.969936382012</t>
  </si>
  <si>
    <t>-678.387363709405 192.928363122037 300.431449705209</t>
  </si>
  <si>
    <t>-738.363481561896 247.932720274156 740.900127903454</t>
  </si>
  <si>
    <t>-605.429836533432 190.405997390889 804.982922827056</t>
  </si>
  <si>
    <t>-647.065956031851 -23.2432316557542 307.088396164276</t>
  </si>
  <si>
    <t>-680.664641664912 -25.5976673185726 753.596360358278</t>
  </si>
  <si>
    <t>-577.919838170448 -120.293136618378 828.185915362982</t>
  </si>
  <si>
    <t>9763-20170724T105056.008596400.bin</t>
  </si>
  <si>
    <t>-688.638981413278 90.9444331020047 -97.1022904755097</t>
  </si>
  <si>
    <t>-697.466721769651 85.3816381874185 -212.459741332713</t>
  </si>
  <si>
    <t>-695.621143386728 78.4564340827105 -310.822799614545</t>
  </si>
  <si>
    <t>-690.804236929243 71.272463948424 -399.498732665138</t>
  </si>
  <si>
    <t>-682.509929036919 63.0879544121951 -487.83030884213</t>
  </si>
  <si>
    <t>-667.294675115846 50.5505368189702 -610.843079003879</t>
  </si>
  <si>
    <t>-629.192574045002 40.0508014275845 -683.938922948905</t>
  </si>
  <si>
    <t>-670.754444575868 83.4827719970513 -559.105163633008</t>
  </si>
  <si>
    <t>-649.92047120048 219.200356727431 -552.484425566504</t>
  </si>
  <si>
    <t>-606.346518685731 257.729285780259 -264.026424644294</t>
  </si>
  <si>
    <t>-365.571800060048 253.37691130358 -271.735362470422</t>
  </si>
  <si>
    <t>-677.225846032865 28.6525064703219 -554.317247895662</t>
  </si>
  <si>
    <t>-686.663298764043 185.023693578273 -102.867271184171</t>
  </si>
  <si>
    <t>-678.184231699664 192.0252241698 300.535469448699</t>
  </si>
  <si>
    <t>-738.306686981302 248.043499501297 740.84782652423</t>
  </si>
  <si>
    <t>-605.303128445854 190.681280070949 804.933150555773</t>
  </si>
  <si>
    <t>-646.422813692059 -24.7274316055812 307.147607163223</t>
  </si>
  <si>
    <t>-680.890916407462 -26.0319969208172 753.582881348137</t>
  </si>
  <si>
    <t>-577.489102076807 -120.062000973125 828.106130072668</t>
  </si>
  <si>
    <t>9763-20170724T105056.042689200.bin</t>
  </si>
  <si>
    <t>-688.294157627385 90.1182750139162 -97.0676578201397</t>
  </si>
  <si>
    <t>-697.245018925845 84.5745946728885 -212.416508090071</t>
  </si>
  <si>
    <t>-695.456551040301 77.612334812881 -310.778132350674</t>
  </si>
  <si>
    <t>-690.672693402714 70.3727278190904 -399.451308012728</t>
  </si>
  <si>
    <t>-682.393522441553 62.1096394762337 -487.776893732142</t>
  </si>
  <si>
    <t>-667.181298465219 49.437527231031 -610.776250971402</t>
  </si>
  <si>
    <t>-629.093798041605 38.8667968856385 -683.869485046649</t>
  </si>
  <si>
    <t>-670.595657997295 82.4216756380022 -559.06843605092</t>
  </si>
  <si>
    <t>-649.532243486389 218.109962089389 -552.5527449181</t>
  </si>
  <si>
    <t>-605.909344908779 256.815608808723 -264.125815498458</t>
  </si>
  <si>
    <t>-365.12914659539 252.3579380567 -271.603773335647</t>
  </si>
  <si>
    <t>-677.15534087438 27.6060465556097 -554.232219277482</t>
  </si>
  <si>
    <t>-686.262872046761 184.377923118285 -102.813815774394</t>
  </si>
  <si>
    <t>-677.873246637747 191.524284192765 300.588209087111</t>
  </si>
  <si>
    <t>-738.274896248714 248.112872420861 740.805023074254</t>
  </si>
  <si>
    <t>-605.310747420379 190.674732334203 804.904199693932</t>
  </si>
  <si>
    <t>-646.008193371232 -25.0670660195569 307.17012309901</t>
  </si>
  <si>
    <t>-680.754271447198 -25.7884956219716 753.560295385337</t>
  </si>
  <si>
    <t>-577.919223259402 -120.410702572658 828.118211937864</t>
  </si>
  <si>
    <t>9763-20170724T105056.109375100.bin</t>
  </si>
  <si>
    <t>-687.363872861943 88.4854046226924 -97.0053207855775</t>
  </si>
  <si>
    <t>-696.617002135987 82.9225849089544 -212.329457538853</t>
  </si>
  <si>
    <t>-695.017683357046 75.8859903734012 -310.688889026328</t>
  </si>
  <si>
    <t>-690.378127561892 68.5550773590576 -399.36236867463</t>
  </si>
  <si>
    <t>-682.216725611357 60.1753203231419 -487.687955438627</t>
  </si>
  <si>
    <t>-667.14225793294 47.3131503386087 -610.684335003897</t>
  </si>
  <si>
    <t>-629.103520093153 36.6503887870356 -683.789746421721</t>
  </si>
  <si>
    <t>-670.472892899076 80.3743135886461 -559.020301519308</t>
  </si>
  <si>
    <t>-649.263806416307 216.050050389932 -552.693643349411</t>
  </si>
  <si>
    <t>-605.36969947522 255.131760332489 -264.358557669755</t>
  </si>
  <si>
    <t>-364.583925083432 250.664421449934 -271.644039003213</t>
  </si>
  <si>
    <t>-677.078692988753 25.571827391034 -554.099100049057</t>
  </si>
  <si>
    <t>-685.333101072208 182.988897954026 -102.749777264333</t>
  </si>
  <si>
    <t>-677.069223979107 190.394649476332 300.650187080757</t>
  </si>
  <si>
    <t>-738.246211175056 248.023968123914 740.669226017545</t>
  </si>
  <si>
    <t>-605.07072841234 191.07421960972 804.765429483271</t>
  </si>
  <si>
    <t>-645.507764209641 -26.3960500996732 307.268224575912</t>
  </si>
  <si>
    <t>-680.984803522218 -26.2545816830527 753.56777809225</t>
  </si>
  <si>
    <t>-577.470961090396 -120.159797674293 828.093030967763</t>
  </si>
  <si>
    <t>9763-20170724T105056.142461600.bin</t>
  </si>
  <si>
    <t>-686.835733604467 87.8914008022848 -96.9987667570814</t>
  </si>
  <si>
    <t>-696.262236802597 82.3149938684733 -212.308083201581</t>
  </si>
  <si>
    <t>-694.782498743048 75.2578732117365 -310.668088944147</t>
  </si>
  <si>
    <t>-690.239139650142 67.904141877337 -399.344492340512</t>
  </si>
  <si>
    <t>-682.162561890434 59.4970441770981 -487.675366915619</t>
  </si>
  <si>
    <t>-667.194881168473 46.5917305504568 -610.680279594674</t>
  </si>
  <si>
    <t>-629.195471503126 35.8998199282032 -683.801932369275</t>
  </si>
  <si>
    <t>-670.494531633079 79.6725550168785 -559.026972345991</t>
  </si>
  <si>
    <t>-649.35594260257 215.362425190552 -552.737904723779</t>
  </si>
  <si>
    <t>-605.201639293179 254.5999038517 -264.463608622831</t>
  </si>
  <si>
    <t>-364.416838946825 250.334100854938 -271.901692877573</t>
  </si>
  <si>
    <t>-677.068338242865 24.8688838772762 -554.077047677423</t>
  </si>
  <si>
    <t>-684.874734725635 182.34629829086 -102.747907184384</t>
  </si>
  <si>
    <t>-676.751600983024 189.973450478335 300.650837116606</t>
  </si>
  <si>
    <t>-738.246234489179 247.954416446416 740.58697101328</t>
  </si>
  <si>
    <t>-605.008799877813 191.142980500936 804.67728194197</t>
  </si>
  <si>
    <t>-645.234225419329 -27.0563509576971 307.311745653898</t>
  </si>
  <si>
    <t>-681.032143819118 -26.3583175264948 753.567894540589</t>
  </si>
  <si>
    <t>-577.336326125908 -120.068219463928 828.0858827723</t>
  </si>
  <si>
    <t>9763-20170724T105056.211090400.bin</t>
  </si>
  <si>
    <t>-685.813204125885 86.860459311253 -97.0598508249406</t>
  </si>
  <si>
    <t>-695.532702337429 81.2728190083901 -212.344420960854</t>
  </si>
  <si>
    <t>-694.327154006975 74.2509275749826 -310.710611958908</t>
  </si>
  <si>
    <t>-690.040219340668 66.9464187455035 -399.403937474076</t>
  </si>
  <si>
    <t>-682.227682700319 58.6072289328558 -487.764875376126</t>
  </si>
  <si>
    <t>-667.636177066973 45.8167785730193 -610.827135992724</t>
  </si>
  <si>
    <t>-629.79699477501 35.2171952462431 -684.045021583171</t>
  </si>
  <si>
    <t>-670.851118812513 78.8573220188248 -559.142449871728</t>
  </si>
  <si>
    <t>-650.047725448082 214.591281522804 -552.792529543349</t>
  </si>
  <si>
    <t>-605.130389356721 253.948891233726 -264.652659798107</t>
  </si>
  <si>
    <t>-364.352858610233 250.256175088618 -272.616175043292</t>
  </si>
  <si>
    <t>-677.263133929335 24.0332530263834 -554.204644968545</t>
  </si>
  <si>
    <t>-683.984842445836 181.246011627608 -102.798387370412</t>
  </si>
  <si>
    <t>-676.141664807344 189.353326808174 300.596462554263</t>
  </si>
  <si>
    <t>-738.173461268415 248.107434165315 740.34668517167</t>
  </si>
  <si>
    <t>-604.935106880293 191.335615788707 804.470180806178</t>
  </si>
  <si>
    <t>-644.471046033475 -27.9530004855287 307.346859615798</t>
  </si>
  <si>
    <t>-680.945522683682 -26.2353890773327 753.55693376435</t>
  </si>
  <si>
    <t>-577.552612766941 -120.266137151473 828.091825006082</t>
  </si>
  <si>
    <t>9763-20170724T105056.244177900.bin</t>
  </si>
  <si>
    <t>-685.313118122903 86.0666692400248 -97.1007103082413</t>
  </si>
  <si>
    <t>-695.163032480877 80.4848227887403 -212.374511401072</t>
  </si>
  <si>
    <t>-694.093152147132 73.4954768661657 -310.744575924842</t>
  </si>
  <si>
    <t>-689.937893551757 66.2308083695668 -399.447468507208</t>
  </si>
  <si>
    <t>-682.265837558127 57.9426878425604 -487.825515178116</t>
  </si>
  <si>
    <t>-667.879183990316 45.2357244814832 -610.920532016754</t>
  </si>
  <si>
    <t>-630.136887195238 34.7554423555077 -684.205510774174</t>
  </si>
  <si>
    <t>-671.053167878645 78.2457673211463 -559.213806782181</t>
  </si>
  <si>
    <t>-650.456270473961 214.014761972488 -552.822460265605</t>
  </si>
  <si>
    <t>-605.148967464726 253.336657545303 -264.738719381894</t>
  </si>
  <si>
    <t>-364.37740301066 250.109479387695 -273.074802827723</t>
  </si>
  <si>
    <t>-677.367025359957 23.409083281939 -554.29109754261</t>
  </si>
  <si>
    <t>-683.592240876632 180.581979986959 -102.811717825161</t>
  </si>
  <si>
    <t>-675.755791959082 188.867465106087 300.57956751157</t>
  </si>
  <si>
    <t>-738.137536101644 248.149204357165 740.222488630733</t>
  </si>
  <si>
    <t>-604.873471954284 191.459034891719 804.364913463772</t>
  </si>
  <si>
    <t>-643.871328037023 -28.4927489766844 307.343112411945</t>
  </si>
  <si>
    <t>-680.92778044556 -26.2191698889208 753.542317570125</t>
  </si>
  <si>
    <t>-577.436551160783 -120.148093984508 828.068975644737</t>
  </si>
  <si>
    <t>9763-20170724T105056.310366600.bin</t>
  </si>
  <si>
    <t>-684.325947500868 84.080516968678 -97.0643589857438</t>
  </si>
  <si>
    <t>-694.392625354998 78.562982449085 -212.322503509166</t>
  </si>
  <si>
    <t>-693.612800275695 71.6875314065719 -310.703296020029</t>
  </si>
  <si>
    <t>-689.76084600227 64.5482804693265 -399.429930493411</t>
  </si>
  <si>
    <t>-682.431848811451 56.4101405812271 -487.851089465402</t>
  </si>
  <si>
    <t>-668.56529035036 43.9386627385381 -611.029838184666</t>
  </si>
  <si>
    <t>-631.043903903387 33.865976900837 -684.48541374861</t>
  </si>
  <si>
    <t>-671.627204904257 76.8606531275141 -559.260245542811</t>
  </si>
  <si>
    <t>-651.482760831501 212.688548026478 -552.75665996167</t>
  </si>
  <si>
    <t>-604.94504834121 252.150704864973 -264.888191084658</t>
  </si>
  <si>
    <t>-364.192232454646 249.529403016861 -273.948527082483</t>
  </si>
  <si>
    <t>-677.707268372636 21.9927690273817 -554.38954010642</t>
  </si>
  <si>
    <t>-682.822854417863 178.917604830797 -102.729183033028</t>
  </si>
  <si>
    <t>-675.148792791998 187.502215806585 300.659008022186</t>
  </si>
  <si>
    <t>-738.083992526346 248.119958561162 740.027071233468</t>
  </si>
  <si>
    <t>-604.748109850781 191.666490487555 804.228354328939</t>
  </si>
  <si>
    <t>-642.134402593779 -30.1810669000479 307.355036054112</t>
  </si>
  <si>
    <t>-680.975276042356 -26.3683025441246 753.467657909026</t>
  </si>
  <si>
    <t>-576.884124551684 -119.65390888859 827.966750904755</t>
  </si>
  <si>
    <t>9763-20170724T105056.349470800.bin</t>
  </si>
  <si>
    <t>-683.738514381352 83.0690477303147 -97.0133977755621</t>
  </si>
  <si>
    <t>-693.927035491315 77.5818092033307 -212.262281871078</t>
  </si>
  <si>
    <t>-693.308436564235 70.776882077043 -310.649059058715</t>
  </si>
  <si>
    <t>-689.624053590157 63.7182727378845 -399.38940090165</t>
  </si>
  <si>
    <t>-682.483990839444 55.6787002347869 -487.834954674407</t>
  </si>
  <si>
    <t>-668.903369681523 43.363857785462 -611.061295560844</t>
  </si>
  <si>
    <t>-631.492930800785 33.5685987915138 -684.610914087733</t>
  </si>
  <si>
    <t>-671.899833326013 76.2253406290686 -559.249627226559</t>
  </si>
  <si>
    <t>-651.964532562923 212.082159213119 -552.638518113301</t>
  </si>
  <si>
    <t>-604.501854936876 251.654163313678 -264.936273990325</t>
  </si>
  <si>
    <t>-363.761284618333 249.227096766185 -274.367711649082</t>
  </si>
  <si>
    <t>-677.85924581771 21.3405881216247 -554.421457266786</t>
  </si>
  <si>
    <t>-682.342531887596 178.08002937229 -102.686238385437</t>
  </si>
  <si>
    <t>-675.037912365587 187.020347998862 300.701168856728</t>
  </si>
  <si>
    <t>-738.070761461194 248.036002540706 739.982115073727</t>
  </si>
  <si>
    <t>-604.642618219596 191.823716756039 804.203766587151</t>
  </si>
  <si>
    <t>-641.21291387675 -30.9975391682281 307.349977531611</t>
  </si>
  <si>
    <t>-680.929689206341 -26.311235434325 753.411790325014</t>
  </si>
  <si>
    <t>-576.851019190231 -119.604060317278 827.919530995145</t>
  </si>
  <si>
    <t>9763-20170724T105056.412185600.bin</t>
  </si>
  <si>
    <t>-682.726808809163 81.3480657207372 -96.9434464680281</t>
  </si>
  <si>
    <t>-693.192941895055 75.8559128755842 -212.167237498555</t>
  </si>
  <si>
    <t>-692.923927116933 69.1608410695083 -310.563174877333</t>
  </si>
  <si>
    <t>-689.599896063502 62.2430330156783 -399.328817487568</t>
  </si>
  <si>
    <t>-682.863206124211 54.3861189241886 -487.822405016045</t>
  </si>
  <si>
    <t>-669.890376868118 42.369259542307 -611.143768164414</t>
  </si>
  <si>
    <t>-632.683934370144 33.226374972274 -684.88044676201</t>
  </si>
  <si>
    <t>-672.705757745786 75.1128100729713 -559.247089163927</t>
  </si>
  <si>
    <t>-653.074368189601 211.001634795888 -552.367851010026</t>
  </si>
  <si>
    <t>-603.055153993178 251.094659953329 -265.171344436534</t>
  </si>
  <si>
    <t>-362.35123879763 248.640483100894 -275.490196107997</t>
  </si>
  <si>
    <t>-678.492375311021 20.2019059982756 -554.505202597083</t>
  </si>
  <si>
    <t>-681.762570329712 176.652100028219 -102.597297538878</t>
  </si>
  <si>
    <t>-674.591870768249 186.165110251639 300.779403449844</t>
  </si>
  <si>
    <t>-738.027772758257 247.767285609404 739.910611146381</t>
  </si>
  <si>
    <t>-604.319347369188 192.294114204385 804.192079020732</t>
  </si>
  <si>
    <t>-639.560782127569 -32.401103517388 307.400187293601</t>
  </si>
  <si>
    <t>-680.965448597474 -26.467447662709 753.297237977393</t>
  </si>
  <si>
    <t>-576.526660387467 -119.340932376389 827.824749794447</t>
  </si>
  <si>
    <t>9763-20170724T105056.444271300.bin</t>
  </si>
  <si>
    <t>-682.38587291746 80.5755975507434 -96.9164031602133</t>
  </si>
  <si>
    <t>-692.977007819963 75.0375946674271 -212.126581969654</t>
  </si>
  <si>
    <t>-692.865348440069 68.3552310753703 -310.523684616471</t>
  </si>
  <si>
    <t>-689.703831676873 61.4668981987904 -399.297563693737</t>
  </si>
  <si>
    <t>-683.149864552277 53.6563175189028 -487.808989773869</t>
  </si>
  <si>
    <t>-670.453179820494 41.720799804549 -611.166796875838</t>
  </si>
  <si>
    <t>-633.313967265256 32.8958546164483 -684.976087531841</t>
  </si>
  <si>
    <t>-673.178189905803 74.4323974479712 -559.245371397137</t>
  </si>
  <si>
    <t>-653.642724802293 210.328750250364 -552.296620812741</t>
  </si>
  <si>
    <t>-601.923041586649 250.941281116811 -265.474491310987</t>
  </si>
  <si>
    <t>-361.22868436478 248.03838332186 -275.898493379265</t>
  </si>
  <si>
    <t>-678.902698393844 19.5136637302899 -554.520858762613</t>
  </si>
  <si>
    <t>-681.675011205396 175.967774808588 -102.558115320912</t>
  </si>
  <si>
    <t>-674.19472515915 185.637445287398 300.809197315732</t>
  </si>
  <si>
    <t>-737.999144120334 247.644955562129 739.843412055925</t>
  </si>
  <si>
    <t>-604.190667055554 192.479467369145 804.181358650018</t>
  </si>
  <si>
    <t>-638.830529563571 -32.9930179837311 307.439581215263</t>
  </si>
  <si>
    <t>-680.957771497506 -26.517021487326 753.246100207934</t>
  </si>
  <si>
    <t>-576.445728851407 -119.286669763773 827.800011559598</t>
  </si>
  <si>
    <t>9763-20170724T105056.500456900.bin</t>
  </si>
  <si>
    <t>-682.053799774577 79.6264177068247 -96.8676919724124</t>
  </si>
  <si>
    <t>-692.791327139345 74.0194012357881 -212.06092965609</t>
  </si>
  <si>
    <t>-692.886670220545 67.3206756474351 -310.456997473807</t>
  </si>
  <si>
    <t>-689.945419969526 60.4294776645722 -399.238138231976</t>
  </si>
  <si>
    <t>-683.644851698828 52.6272501056044 -487.76877115021</t>
  </si>
  <si>
    <t>-671.336823018301 40.7135410010465 -611.16814502042</t>
  </si>
  <si>
    <t>-634.332516975535 32.3137112601141 -685.094651112625</t>
  </si>
  <si>
    <t>-673.943565870066 73.4202633243783 -559.237537509612</t>
  </si>
  <si>
    <t>-654.576803537389 209.336849156683 -552.281064522996</t>
  </si>
  <si>
    <t>-600.22088551097 250.89089129221 -266.081943047373</t>
  </si>
  <si>
    <t>-359.529693915006 247.465032306572 -276.420614436941</t>
  </si>
  <si>
    <t>-679.562382812851 18.492031945889 -554.494860075749</t>
  </si>
  <si>
    <t>-681.750393303606 175.11391820035 -102.508795444438</t>
  </si>
  <si>
    <t>-673.660353550694 184.838682058114 300.845457155852</t>
  </si>
  <si>
    <t>-737.96392717911 247.479520827009 739.724275682665</t>
  </si>
  <si>
    <t>-604.040446338779 192.699201703258 804.152021103132</t>
  </si>
  <si>
    <t>-637.915080572346 -33.5016199396814 307.489591423726</t>
  </si>
  <si>
    <t>-680.888962216241 -26.4472431197948 753.192776299023</t>
  </si>
  <si>
    <t>-576.469846146025 -119.287486333194 827.78948272794</t>
  </si>
  <si>
    <t>9763-20170724T105056.545574300.bin</t>
  </si>
  <si>
    <t>-682.083293885017 78.8463618145754 -96.8189059171011</t>
  </si>
  <si>
    <t>-692.943296660973 73.173266228413 -211.997453825781</t>
  </si>
  <si>
    <t>-693.224338353009 66.4525030950265 -310.391626497173</t>
  </si>
  <si>
    <t>-690.483304885961 59.5510689102634 -399.17847249905</t>
  </si>
  <si>
    <t>-684.415246494536 51.7479394822237 -487.725272979615</t>
  </si>
  <si>
    <t>-672.466537520004 39.842081315496 -611.160544544872</t>
  </si>
  <si>
    <t>-635.620287564383 31.7730155689458 -685.202986559967</t>
  </si>
  <si>
    <t>-674.97174742369 72.5500093145999 -559.225816867212</t>
  </si>
  <si>
    <t>-655.771549595966 208.495250841305 -552.286338042301</t>
  </si>
  <si>
    <t>-599.17914809339 250.585591290459 -266.599615524762</t>
  </si>
  <si>
    <t>-358.458813772521 247.065047938931 -276.202562832681</t>
  </si>
  <si>
    <t>-680.477433976205 17.6125381305158 -554.459742708359</t>
  </si>
  <si>
    <t>-682.217083199283 174.385963042107 -102.488034896934</t>
  </si>
  <si>
    <t>-673.565780608083 184.193870535761 300.852517843862</t>
  </si>
  <si>
    <t>-737.97579449847 247.289303294729 739.642638817334</t>
  </si>
  <si>
    <t>-603.939983952669 192.827889157695 804.107011905955</t>
  </si>
  <si>
    <t>-637.48871564586 -33.8633557928692 307.549623953408</t>
  </si>
  <si>
    <t>-680.869588048039 -26.4389222792406 753.173683558464</t>
  </si>
  <si>
    <t>-576.399883122265 -119.214271457557 827.779869011512</t>
  </si>
  <si>
    <t>9763-20170724T105056.609289100.bin</t>
  </si>
  <si>
    <t>-682.759645426767 78.5076943361537 -96.8411311501906</t>
  </si>
  <si>
    <t>-693.68754899529 72.7474618837182 -212.008947994531</t>
  </si>
  <si>
    <t>-694.144610881583 66.0006377185066 -310.400610217167</t>
  </si>
  <si>
    <t>-691.610015953758 59.0916864897363 -399.192888258682</t>
  </si>
  <si>
    <t>-685.795224153486 51.2977928170797 -487.757577753242</t>
  </si>
  <si>
    <t>-674.249224469563 39.4215456158745 -611.234115504433</t>
  </si>
  <si>
    <t>-637.614429091167 31.6297989609272 -685.41082674274</t>
  </si>
  <si>
    <t>-676.634952136388 72.121572471485 -559.288708208962</t>
  </si>
  <si>
    <t>-657.489680391206 208.071850730561 -552.340102218753</t>
  </si>
  <si>
    <t>-599.020917081261 250.846038101062 -267.1332161387</t>
  </si>
  <si>
    <t>-358.236719761798 247.500557026174 -275.04545015571</t>
  </si>
  <si>
    <t>-682.025309999286 17.1737935557032 -554.507596387526</t>
  </si>
  <si>
    <t>-683.140021020621 174.038510013107 -102.591293561737</t>
  </si>
  <si>
    <t>-674.479461001205 184.124019062553 300.742342106766</t>
  </si>
  <si>
    <t>-738.004028586843 247.212461465295 739.606571293235</t>
  </si>
  <si>
    <t>-603.887211282192 192.931707065497 804.054658278093</t>
  </si>
  <si>
    <t>-637.662248171047 -34.0723304924034 307.541973245173</t>
  </si>
  <si>
    <t>-681.007192152923 -26.6846717109031 753.200214260867</t>
  </si>
  <si>
    <t>-576.453305285246 -119.396915502521 827.767201015534</t>
  </si>
  <si>
    <t>9763-20170724T105056.644395000.bin</t>
  </si>
  <si>
    <t>-683.396026187459 78.5923792178742 -96.8935984723424</t>
  </si>
  <si>
    <t>-694.292030239968 72.7750617452114 -212.061441846456</t>
  </si>
  <si>
    <t>-694.769943191544 66.0110955059606 -310.451957005318</t>
  </si>
  <si>
    <t>-692.27329258578 59.098689794215 -399.245146288605</t>
  </si>
  <si>
    <t>-686.51521688883 51.313441396288 -487.81417409007</t>
  </si>
  <si>
    <t>-675.068180205865 39.4612966814834 -611.302259600264</t>
  </si>
  <si>
    <t>-638.534807324166 31.7523497929924 -685.537805702586</t>
  </si>
  <si>
    <t>-677.42183476483 72.152045511642 -559.349560383982</t>
  </si>
  <si>
    <t>-658.227201202164 208.09578243609 -552.444427667174</t>
  </si>
  <si>
    <t>-599.027949269445 251.366750808242 -267.463230994898</t>
  </si>
  <si>
    <t>-358.211745075485 248.15899489509 -274.398097793292</t>
  </si>
  <si>
    <t>-682.789031099246 17.2016902867213 -554.572982606316</t>
  </si>
  <si>
    <t>-683.895516803827 174.084423116504 -102.667548049086</t>
  </si>
  <si>
    <t>-675.199458661516 184.200930711481 300.664457027564</t>
  </si>
  <si>
    <t>-738.061416502487 247.096460780235 739.645558035916</t>
  </si>
  <si>
    <t>-603.880594933324 192.92585867904 804.053622954495</t>
  </si>
  <si>
    <t>-637.986827805587 -33.9512039640545 307.507777762663</t>
  </si>
  <si>
    <t>-680.97427584358 -26.6035414522985 753.204521292819</t>
  </si>
  <si>
    <t>-576.361657610054 -119.267956512335 827.748550238651</t>
  </si>
  <si>
    <t>9763-20170724T105056.713084500.bin</t>
  </si>
  <si>
    <t>-685.007007025622 79.0489642666714 -96.9883504830055</t>
  </si>
  <si>
    <t>-695.772825084378 73.1956876791007 -212.16682936325</t>
  </si>
  <si>
    <t>-696.229392580364 66.3510625721344 -310.551722802591</t>
  </si>
  <si>
    <t>-693.750940798255 59.3440898268475 -399.33793560565</t>
  </si>
  <si>
    <t>-688.049231873861 51.4414675175638 -487.900295738762</t>
  </si>
  <si>
    <t>-676.722021097441 39.4004046814105 -611.381170681531</t>
  </si>
  <si>
    <t>-640.441640467419 31.7013586358637 -685.741662315441</t>
  </si>
  <si>
    <t>-678.981778009909 72.1666669325391 -559.471838633819</t>
  </si>
  <si>
    <t>-659.43473898963 208.075407761034 -552.776221164204</t>
  </si>
  <si>
    <t>-597.713541133924 252.664197294848 -268.534288209272</t>
  </si>
  <si>
    <t>-356.860918451847 249.494385193841 -274.093516922708</t>
  </si>
  <si>
    <t>-684.431246670299 17.2314877525721 -554.61480495843</t>
  </si>
  <si>
    <t>-685.721355516764 174.394040695341 -102.803375947497</t>
  </si>
  <si>
    <t>-677.263805995781 184.491954763265 300.534179320071</t>
  </si>
  <si>
    <t>-738.228983930986 246.983170924875 739.829134695989</t>
  </si>
  <si>
    <t>-604.091336313909 192.578619738366 804.12943550786</t>
  </si>
  <si>
    <t>-638.955668945335 -33.4069661786098 307.403476284599</t>
  </si>
  <si>
    <t>-680.884394620468 -26.4037660435581 753.20149018002</t>
  </si>
  <si>
    <t>-576.685201356448 -119.538899215979 827.737814668697</t>
  </si>
  <si>
    <t>9763-20170724T105056.747173700.bin</t>
  </si>
  <si>
    <t>-685.511540065934 79.1766310032083 -97.0841670608754</t>
  </si>
  <si>
    <t>-696.243292375614 73.2745040242048 -212.263254642804</t>
  </si>
  <si>
    <t>-696.709443463839 66.3368880871506 -310.641633299227</t>
  </si>
  <si>
    <t>-694.256195901349 59.2241649698656 -399.420229645024</t>
  </si>
  <si>
    <t>-688.597433172274 51.1929419065966 -487.973673362847</t>
  </si>
  <si>
    <t>-677.349054191252 38.9477124739412 -611.441555780252</t>
  </si>
  <si>
    <t>-641.221951033682 31.1574309165464 -685.867284229791</t>
  </si>
  <si>
    <t>-679.510639250464 71.7938823821009 -559.578657692147</t>
  </si>
  <si>
    <t>-659.577575803529 207.650476788055 -553.031976580755</t>
  </si>
  <si>
    <t>-595.778903023586 252.924882563456 -269.35759021218</t>
  </si>
  <si>
    <t>-354.912542699314 249.63614340445 -274.203667879407</t>
  </si>
  <si>
    <t>-685.087289435151 16.8786601131508 -554.640326497578</t>
  </si>
  <si>
    <t>-686.1187529527 174.4982212832 -102.959238089798</t>
  </si>
  <si>
    <t>-678.053776122368 184.994140587065 300.376209396956</t>
  </si>
  <si>
    <t>-738.231405757059 247.030817940095 739.847757863696</t>
  </si>
  <si>
    <t>-604.088577244071 192.609205629828 804.122697189098</t>
  </si>
  <si>
    <t>-639.43451673675 -33.2390133223835 307.326427343231</t>
  </si>
  <si>
    <t>-680.95628925014 -26.5230919223029 753.201058305341</t>
  </si>
  <si>
    <t>-576.508241541716 -119.401861463939 827.70887814662</t>
  </si>
  <si>
    <t>9763-20170724T105056.811353900.bin</t>
  </si>
  <si>
    <t>-686.260341268077 79.8134688453645 -97.286877010735</t>
  </si>
  <si>
    <t>-697.017035091366 73.8229707318533 -212.459148124015</t>
  </si>
  <si>
    <t>-697.601791451936 66.7027555224552 -310.823793158303</t>
  </si>
  <si>
    <t>-695.297481357109 59.3808849400066 -399.589269341906</t>
  </si>
  <si>
    <t>-689.831180974464 51.0931689101076 -488.131314743909</t>
  </si>
  <si>
    <t>-678.898670888036 38.4380743789645 -611.586340345129</t>
  </si>
  <si>
    <t>-643.176208937917 30.457735702254 -686.186947050843</t>
  </si>
  <si>
    <t>-680.760137674215 71.4402922438298 -559.810802941629</t>
  </si>
  <si>
    <t>-659.889203900206 207.1673810828 -553.635350348642</t>
  </si>
  <si>
    <t>-590.455982921541 253.614069846493 -271.477677567103</t>
  </si>
  <si>
    <t>-349.562424545944 250.281291036595 -274.64718281475</t>
  </si>
  <si>
    <t>-686.65872667798 16.5737659019533 -554.708829464722</t>
  </si>
  <si>
    <t>-686.893773241755 175.329258639109 -103.237370877547</t>
  </si>
  <si>
    <t>-678.805815933359 185.914717217762 300.095271034788</t>
  </si>
  <si>
    <t>-738.18200893479 247.141435989251 739.828998008368</t>
  </si>
  <si>
    <t>-604.089852017538 192.612415475554 804.118784121631</t>
  </si>
  <si>
    <t>-640.345845989039 -32.6193201565322 307.23037015962</t>
  </si>
  <si>
    <t>-680.968685827564 -26.5179121450819 753.192514525001</t>
  </si>
  <si>
    <t>-576.469297769373 -119.350576527527 827.685756123213</t>
  </si>
  <si>
    <t>9763-20170724T105056.844444300.bin</t>
  </si>
  <si>
    <t>-686.588542002003 80.1281215030406 -97.3524891272962</t>
  </si>
  <si>
    <t>-697.373306147095 74.1285073828194 -212.521479772391</t>
  </si>
  <si>
    <t>-698.033884733731 66.9230620832689 -310.879562018147</t>
  </si>
  <si>
    <t>-695.820413412697 59.4937818371491 -399.638508875905</t>
  </si>
  <si>
    <t>-690.467803884028 51.0670706004682 -488.174288088301</t>
  </si>
  <si>
    <t>-679.7194362823 38.1843580564675 -611.62196552061</t>
  </si>
  <si>
    <t>-644.251356264927 30.1235841311923 -686.335122859486</t>
  </si>
  <si>
    <t>-681.413673906542 71.2729606829255 -559.895921955357</t>
  </si>
  <si>
    <t>-660.054469955201 206.93804344658 -553.986488403735</t>
  </si>
  <si>
    <t>-588.0622758507 253.896507670964 -272.555804865572</t>
  </si>
  <si>
    <t>-347.150231103944 250.895210013378 -274.362809112411</t>
  </si>
  <si>
    <t>-687.484730715388 16.4338304588903 -554.701475659073</t>
  </si>
  <si>
    <t>-687.154734026957 175.612212177179 -103.326001472574</t>
  </si>
  <si>
    <t>-678.849099758945 186.134608798691 300.003872639885</t>
  </si>
  <si>
    <t>-738.156032576943 247.156917319402 739.813188111317</t>
  </si>
  <si>
    <t>-604.032370471199 192.722209498147 804.117184151938</t>
  </si>
  <si>
    <t>-640.650414693872 -32.2064296252445 307.181327425848</t>
  </si>
  <si>
    <t>-680.882264835099 -26.3408719780036 753.180361936974</t>
  </si>
  <si>
    <t>-576.877319747309 -119.701769976553 827.705692663639</t>
  </si>
  <si>
    <t>9763-20170724T105056.906637800.bin</t>
  </si>
  <si>
    <t>-687.248238852724 80.4381220405617 -97.3709107524077</t>
  </si>
  <si>
    <t>-698.165896194922 74.4608873002687 -212.528656511939</t>
  </si>
  <si>
    <t>-699.020250519193 67.1464308404381 -310.877184368832</t>
  </si>
  <si>
    <t>-697.015522332434 59.571410751048 -399.628822646349</t>
  </si>
  <si>
    <t>-691.906203794675 50.9509255668493 -488.160167262089</t>
  </si>
  <si>
    <t>-681.535016156371 37.7474053331553 -611.606260271935</t>
  </si>
  <si>
    <t>-646.626023421267 29.5840708892335 -686.571308144707</t>
  </si>
  <si>
    <t>-682.920107573995 70.9546565704934 -559.947064320207</t>
  </si>
  <si>
    <t>-660.612853437368 206.499601238534 -554.502667901397</t>
  </si>
  <si>
    <t>-586.047674817688 253.681883052928 -273.780337577524</t>
  </si>
  <si>
    <t>-345.120419842437 251.463537263462 -273.733338817823</t>
  </si>
  <si>
    <t>-689.277663579994 16.1606392457636 -554.620549728809</t>
  </si>
  <si>
    <t>-687.474024445835 175.908484791654 -103.358487327308</t>
  </si>
  <si>
    <t>-678.708770881006 186.224049542697 299.967034642823</t>
  </si>
  <si>
    <t>-738.11511926136 247.224172636888 739.793301465921</t>
  </si>
  <si>
    <t>-604.054795827166 192.665756104023 804.124527146171</t>
  </si>
  <si>
    <t>-641.114277013924 -31.7581588499786 307.140530349741</t>
  </si>
  <si>
    <t>-680.839381771695 -26.2570659054256 753.158123887934</t>
  </si>
  <si>
    <t>-576.993719161247 -119.771993201141 827.712507064249</t>
  </si>
  <si>
    <t>9763-20170724T105056.944739900.bin</t>
  </si>
  <si>
    <t>-687.575774904307 80.5067030342732 -97.3547866237705</t>
  </si>
  <si>
    <t>-698.582257590833 74.5543048356733 -212.505269855119</t>
  </si>
  <si>
    <t>-699.559092646472 67.218723693449 -310.851079311161</t>
  </si>
  <si>
    <t>-697.683954046196 59.6102101826573 -399.602625548722</t>
  </si>
  <si>
    <t>-692.723562509283 50.941126599465 -488.137843108986</t>
  </si>
  <si>
    <t>-682.580364740563 37.6545624253281 -611.59385783057</t>
  </si>
  <si>
    <t>-647.967877688852 29.4498061817922 -686.691707629608</t>
  </si>
  <si>
    <t>-683.806568072934 70.8896452742329 -559.948590666565</t>
  </si>
  <si>
    <t>-661.144817903299 206.385326275692 -554.650144401622</t>
  </si>
  <si>
    <t>-586.650316600443 253.567990090406 -273.909103668386</t>
  </si>
  <si>
    <t>-345.725554771694 251.11719165043 -273.519367473466</t>
  </si>
  <si>
    <t>-690.280989198572 16.1129369302848 -554.585303974463</t>
  </si>
  <si>
    <t>-687.603300535958 175.990310873504 -103.345826619206</t>
  </si>
  <si>
    <t>-678.666680221958 186.217921024276 299.978114889124</t>
  </si>
  <si>
    <t>-738.106106971964 247.23996391038 739.802276274877</t>
  </si>
  <si>
    <t>-604.064788805233 192.637491773438 804.135634811409</t>
  </si>
  <si>
    <t>-641.456594680007 -31.7928850328321 307.122244415562</t>
  </si>
  <si>
    <t>-680.994041553611 -26.5381600941362 753.162921890261</t>
  </si>
  <si>
    <t>-576.771717790972 -119.643949448346 827.70374112577</t>
  </si>
  <si>
    <t>9763-20170724T105057.009961000.bin</t>
  </si>
  <si>
    <t>-688.326442103232 80.8269195688185 -97.3258660631108</t>
  </si>
  <si>
    <t>-699.523381574254 74.8951167224473 -212.459200735865</t>
  </si>
  <si>
    <t>-700.758674844192 67.571693076768 -310.802873594958</t>
  </si>
  <si>
    <t>-699.154930141491 59.9751730361277 -399.560746451081</t>
  </si>
  <si>
    <t>-694.503387573729 51.3193074147091 -488.114085133386</t>
  </si>
  <si>
    <t>-684.831074836625 38.053038325437 -611.610100383017</t>
  </si>
  <si>
    <t>-650.814263004473 29.842629550041 -686.979010792022</t>
  </si>
  <si>
    <t>-685.784569799821 71.2712522422005 -559.948170293211</t>
  </si>
  <si>
    <t>-662.626428563677 206.666556646981 -554.731085299171</t>
  </si>
  <si>
    <t>-587.867488853574 253.878241002741 -274.065115712715</t>
  </si>
  <si>
    <t>-346.951611406022 250.895005286414 -272.829162146165</t>
  </si>
  <si>
    <t>-692.390275214773 16.510363526804 -554.583003836585</t>
  </si>
  <si>
    <t>-688.155034358681 176.242662330569 -103.326171435334</t>
  </si>
  <si>
    <t>-678.752340634798 186.316973135717 299.991030292785</t>
  </si>
  <si>
    <t>-738.068998169309 247.373279690433 739.818144595123</t>
  </si>
  <si>
    <t>-604.116540744368 192.547269812557 804.146728358688</t>
  </si>
  <si>
    <t>-641.971253118644 -31.5708224218797 307.100412822909</t>
  </si>
  <si>
    <t>-680.979131652071 -26.4725960106375 753.160326885389</t>
  </si>
  <si>
    <t>-577.096623089667 -119.933323141077 827.731302868992</t>
  </si>
  <si>
    <t>9763-20170724T105057.046066200.bin</t>
  </si>
  <si>
    <t>-688.684047147098 80.9299172178482 -97.3413596277331</t>
  </si>
  <si>
    <t>-699.981105664842 74.9954420589111 -212.464716144861</t>
  </si>
  <si>
    <t>-701.34359371909 67.6701163875571 -310.806708236826</t>
  </si>
  <si>
    <t>-699.871723858134 60.0727921404571 -399.566795571444</t>
  </si>
  <si>
    <t>-695.368732988221 51.4167907215904 -488.12764701451</t>
  </si>
  <si>
    <t>-685.921344463845 38.1510277659413 -611.641228891354</t>
  </si>
  <si>
    <t>-652.199785758844 29.9881641293359 -687.147722677666</t>
  </si>
  <si>
    <t>-686.751315168789 71.3656696706296 -559.974852982425</t>
  </si>
  <si>
    <t>-663.399546144433 206.74001950392 -554.789558138291</t>
  </si>
  <si>
    <t>-588.133663608128 253.915079859148 -274.252937165855</t>
  </si>
  <si>
    <t>-347.221971121277 250.678065345584 -272.850706928912</t>
  </si>
  <si>
    <t>-693.405969416757 16.6114772970568 -554.603130177169</t>
  </si>
  <si>
    <t>-688.48362761294 176.264142123047 -103.339222539156</t>
  </si>
  <si>
    <t>-678.883318948598 186.357975865202 299.972857786431</t>
  </si>
  <si>
    <t>-738.054180560313 247.348700338395 739.821930483726</t>
  </si>
  <si>
    <t>-604.062016680424 192.614417895629 804.145600815875</t>
  </si>
  <si>
    <t>-642.125948894062 -31.3331793225109 307.072465033083</t>
  </si>
  <si>
    <t>-680.880605793862 -26.2613999956177 753.153469468371</t>
  </si>
  <si>
    <t>-577.326268522285 -120.068412855084 827.745929706351</t>
  </si>
  <si>
    <t>9763-20170724T105057.110289500.bin</t>
  </si>
  <si>
    <t>-689.425755473253 80.6085133279742 -97.3584847743033</t>
  </si>
  <si>
    <t>-700.900402089432 74.6564373241238 -212.463293584486</t>
  </si>
  <si>
    <t>-702.513186958936 67.3386737848571 -310.802100264446</t>
  </si>
  <si>
    <t>-701.306762687881 59.7571928564028 -399.567472056792</t>
  </si>
  <si>
    <t>-697.108279829503 51.1255289893963 -488.145768129022</t>
  </si>
  <si>
    <t>-688.127239129536 37.9028192469084 -611.698720658565</t>
  </si>
  <si>
    <t>-654.98555947014 29.970786413239 -687.486143345967</t>
  </si>
  <si>
    <t>-688.715300719958 71.0941580960111 -560.014082006883</t>
  </si>
  <si>
    <t>-665.01059766574 206.407228128438 -554.883242251428</t>
  </si>
  <si>
    <t>-588.734255786967 253.166909646128 -274.550051230724</t>
  </si>
  <si>
    <t>-347.827830790595 249.775277381174 -272.691181180222</t>
  </si>
  <si>
    <t>-695.44339540513 16.3487631145176 -554.644284114974</t>
  </si>
  <si>
    <t>-689.193969167682 176.072747646249 -103.378455984351</t>
  </si>
  <si>
    <t>-679.216193796544 186.34637006118 299.91989438686</t>
  </si>
  <si>
    <t>-738.008780861912 247.386203834636 739.825163440745</t>
  </si>
  <si>
    <t>-604.018078007284 192.649388173021 804.149553753835</t>
  </si>
  <si>
    <t>-642.532943524037 -31.2743352137259 307.03857671733</t>
  </si>
  <si>
    <t>-680.966726519067 -26.3976931523616 753.153513627061</t>
  </si>
  <si>
    <t>-577.081175436876 -119.847284082413 827.734275383413</t>
  </si>
  <si>
    <t>9763-20170724T105057.143377700.bin</t>
  </si>
  <si>
    <t>-689.761136695481 80.4600137491977 -97.3826050347686</t>
  </si>
  <si>
    <t>-701.326650994761 74.4875230282782 -212.477386914244</t>
  </si>
  <si>
    <t>-703.040725879135 67.1727402360414 -310.814559753934</t>
  </si>
  <si>
    <t>-701.935060187371 59.6019334100495 -399.582169522238</t>
  </si>
  <si>
    <t>-697.84621809519 50.9893119052201 -488.167484738835</t>
  </si>
  <si>
    <t>-689.027604061549 37.8016386091281 -611.735776886118</t>
  </si>
  <si>
    <t>-656.141738409087 30.0231961232087 -687.65057683459</t>
  </si>
  <si>
    <t>-689.551841237015 70.9788590633473 -560.041416546474</t>
  </si>
  <si>
    <t>-665.798928551139 206.281733834495 -554.917632799569</t>
  </si>
  <si>
    <t>-588.901714135408 252.939674690611 -274.737074716262</t>
  </si>
  <si>
    <t>-347.998655885646 249.46428925197 -272.623982692604</t>
  </si>
  <si>
    <t>-696.264797239479 16.230917457161 -554.677583621099</t>
  </si>
  <si>
    <t>-689.573782755762 175.958686772127 -103.419153026549</t>
  </si>
  <si>
    <t>-679.376940267044 186.320175249394 299.871474671636</t>
  </si>
  <si>
    <t>-737.98327844125 247.371995362744 739.808055999727</t>
  </si>
  <si>
    <t>-603.96055123436 192.7145918886 804.133550471544</t>
  </si>
  <si>
    <t>-642.722624182109 -31.1837714720502 307.023750236525</t>
  </si>
  <si>
    <t>-680.929700185924 -26.3090253313585 753.143663656131</t>
  </si>
  <si>
    <t>-577.182208705713 -119.898939958469 827.740483308066</t>
  </si>
  <si>
    <t>9763-20170724T105057.211101000.bin</t>
  </si>
  <si>
    <t>-690.47858514222 80.1873695684574 -97.4210728368844</t>
  </si>
  <si>
    <t>-702.2600901575 74.1788252031781 -212.491971399577</t>
  </si>
  <si>
    <t>-704.145467719084 66.8860787988799 -310.827728434084</t>
  </si>
  <si>
    <t>-703.188308090153 59.356062165195 -399.600674941336</t>
  </si>
  <si>
    <t>-699.240992611569 50.8056714842139 -488.198325428375</t>
  </si>
  <si>
    <t>-690.611785854424 37.7278835375212 -611.791760875468</t>
  </si>
  <si>
    <t>-658.157611595404 30.2378146176645 -687.920886000639</t>
  </si>
  <si>
    <t>-691.110132793841 70.8651811182681 -560.071428193734</t>
  </si>
  <si>
    <t>-667.383325158602 206.175523921122 -554.901585372798</t>
  </si>
  <si>
    <t>-589.591707653055 252.539488681821 -274.919333678575</t>
  </si>
  <si>
    <t>-348.690546006777 249.04599033449 -272.626615627807</t>
  </si>
  <si>
    <t>-697.70803210675 16.1004308381503 -554.737352065566</t>
  </si>
  <si>
    <t>-690.419114825607 175.721116953929 -103.479177819117</t>
  </si>
  <si>
    <t>-679.673356159866 186.250187022426 299.792821234429</t>
  </si>
  <si>
    <t>-737.902022618232 247.511754136305 739.760782575627</t>
  </si>
  <si>
    <t>-603.937879148683 192.744437233274 804.114798300362</t>
  </si>
  <si>
    <t>-643.071954423066 -31.3326235010043 306.998354366642</t>
  </si>
  <si>
    <t>-681.059935104135 -26.5111405428622 753.155057545999</t>
  </si>
  <si>
    <t>-576.909536162932 -119.671779039586 827.727620669395</t>
  </si>
  <si>
    <t>9763-20170724T105057.243186000.bin</t>
  </si>
  <si>
    <t>-690.809198459731 79.9647718505794 -97.4488656810953</t>
  </si>
  <si>
    <t>-702.708748305878 73.9367877530497 -212.506673307401</t>
  </si>
  <si>
    <t>-704.702847304461 66.6611270947406 -310.841492069268</t>
  </si>
  <si>
    <t>-703.846195738824 59.1603812945152 -399.617872380321</t>
  </si>
  <si>
    <t>-700.001449867449 50.6533125886242 -488.224237082595</t>
  </si>
  <si>
    <t>-691.517159743073 37.6509464541639 -611.835709517741</t>
  </si>
  <si>
    <t>-659.251660170479 30.2874628970624 -688.057366500513</t>
  </si>
  <si>
    <t>-691.985601274644 70.7601004843332 -560.097041041617</t>
  </si>
  <si>
    <t>-668.365470990976 206.088198443686 -554.872954548782</t>
  </si>
  <si>
    <t>-590.351796888137 252.242783275716 -274.91803123068</t>
  </si>
  <si>
    <t>-349.451189342836 248.747178960587 -272.562074747754</t>
  </si>
  <si>
    <t>-698.515603854243 15.985128122481 -554.783659386247</t>
  </si>
  <si>
    <t>-690.837065867014 175.467460893464 -103.513790424855</t>
  </si>
  <si>
    <t>-679.840301621704 186.132663177562 299.747886210409</t>
  </si>
  <si>
    <t>-737.874636201073 247.468931484316 739.73224244893</t>
  </si>
  <si>
    <t>-603.825856105964 192.919679961525 804.095227755375</t>
  </si>
  <si>
    <t>-643.201616683961 -31.2024492394455 306.9653743409</t>
  </si>
  <si>
    <t>-680.901379003587 -26.1930238569064 753.131984416053</t>
  </si>
  <si>
    <t>-577.146346808084 -119.770672248251 827.733708737679</t>
  </si>
  <si>
    <t>9763-20170724T105057.311398400.bin</t>
  </si>
  <si>
    <t>-691.670522119064 79.315102519543 -97.4860533135286</t>
  </si>
  <si>
    <t>-703.825858552969 73.2369334969794 -212.514332283789</t>
  </si>
  <si>
    <t>-706.047773049002 66.000904372657 -310.847289709184</t>
  </si>
  <si>
    <t>-705.399498818012 58.5674015833652 -399.631103733781</t>
  </si>
  <si>
    <t>-701.764378616289 50.1599213348652 -488.255789189593</t>
  </si>
  <si>
    <t>-693.574097203065 37.3307386971758 -611.905079058749</t>
  </si>
  <si>
    <t>-661.597787565267 30.2213764804862 -688.272628791692</t>
  </si>
  <si>
    <t>-693.978109485396 70.3739797938283 -560.123800689927</t>
  </si>
  <si>
    <t>-670.623594863587 205.733994066216 -554.782715205764</t>
  </si>
  <si>
    <t>-592.687896815248 251.569074526089 -274.753488839262</t>
  </si>
  <si>
    <t>-351.800497677268 247.818196528124 -271.587620089049</t>
  </si>
  <si>
    <t>-700.378305963576 15.5786215043399 -554.862474311579</t>
  </si>
  <si>
    <t>-691.845640321493 174.851872045604 -103.572322772576</t>
  </si>
  <si>
    <t>-680.27027091986 185.8292759078 299.664752235171</t>
  </si>
  <si>
    <t>-737.814364169786 247.475304976848 739.663094255498</t>
  </si>
  <si>
    <t>-603.763648829014 192.976283234007 804.064968048542</t>
  </si>
  <si>
    <t>-643.728333502131 -31.3785560459498 306.9343796689</t>
  </si>
  <si>
    <t>-681.045840084564 -26.4294489702793 753.133724315752</t>
  </si>
  <si>
    <t>-577.040410190162 -119.73839810698 827.723522470041</t>
  </si>
  <si>
    <t>9763-20170724T105057.347496200.bin</t>
  </si>
  <si>
    <t>-692.099942347049 79.0164250853757 -97.521609709552</t>
  </si>
  <si>
    <t>-704.377518340503 72.9097022521441 -212.535451225168</t>
  </si>
  <si>
    <t>-706.693903504415 65.6871270010045 -310.867146586147</t>
  </si>
  <si>
    <t>-706.126159590846 58.2799261393131 -399.653676016228</t>
  </si>
  <si>
    <t>-702.566656922354 49.9134751734007 -488.285395685546</t>
  </si>
  <si>
    <t>-694.475932523201 37.1566186250143 -611.948733794721</t>
  </si>
  <si>
    <t>-662.594782601135 30.159984825513 -688.366415541623</t>
  </si>
  <si>
    <t>-694.873130974885 70.1732597926461 -560.150549698615</t>
  </si>
  <si>
    <t>-671.686202129935 205.563646415281 -554.74228177923</t>
  </si>
  <si>
    <t>-593.847182626485 251.233086495195 -274.65920473708</t>
  </si>
  <si>
    <t>-352.966602891887 247.277840009478 -271.224075129777</t>
  </si>
  <si>
    <t>-701.199237019314 15.3672797931279 -554.910735366303</t>
  </si>
  <si>
    <t>-692.407239935194 174.578955638406 -103.626798343941</t>
  </si>
  <si>
    <t>-680.560872690536 185.709826452238 299.598221581315</t>
  </si>
  <si>
    <t>-737.784090393975 247.441798567098 739.622557506621</t>
  </si>
  <si>
    <t>-603.68042550607 193.097700888389 804.044816023472</t>
  </si>
  <si>
    <t>-643.966121060136 -31.3948262123558 306.924636391428</t>
  </si>
  <si>
    <t>-681.03356256473 -26.3744116589623 753.135853887315</t>
  </si>
  <si>
    <t>-577.121053931339 -119.784654459455 827.728345849945</t>
  </si>
  <si>
    <t>9763-20170724T105057.408792000.bin</t>
  </si>
  <si>
    <t>-693.066293221604 78.3618561223766 -97.6022919283567</t>
  </si>
  <si>
    <t>-705.564771982293 72.2036912422559 -212.589625743377</t>
  </si>
  <si>
    <t>-708.060236485979 65.0097256674567 -310.919060944821</t>
  </si>
  <si>
    <t>-707.649303566255 57.6558119238368 -399.710819815344</t>
  </si>
  <si>
    <t>-704.240691358051 49.371030280611 -488.356121726163</t>
  </si>
  <si>
    <t>-696.35416753523 36.7582377163531 -612.047364219644</t>
  </si>
  <si>
    <t>-664.586275605552 29.9909010492415 -688.532908288591</t>
  </si>
  <si>
    <t>-696.751327806857 69.7236255648884 -560.21652969318</t>
  </si>
  <si>
    <t>-674.060089479328 205.197876733641 -554.691578074767</t>
  </si>
  <si>
    <t>-596.58874286417 250.190342039579 -274.396832893065</t>
  </si>
  <si>
    <t>-355.705621925776 246.131156154553 -271.277292248364</t>
  </si>
  <si>
    <t>-702.898051276719 14.893453810151 -555.017458851288</t>
  </si>
  <si>
    <t>-693.598316553562 173.99202623421 -103.72437155798</t>
  </si>
  <si>
    <t>-681.36387389322 185.585195843389 299.476046678638</t>
  </si>
  <si>
    <t>-737.720774305405 247.472296540887 739.575622981761</t>
  </si>
  <si>
    <t>-603.6016675502 193.212414281751 804.036617632432</t>
  </si>
  <si>
    <t>-644.479621179907 -31.5824649564058 306.875439694313</t>
  </si>
  <si>
    <t>-681.136753509639 -26.5076310014861 753.145002709635</t>
  </si>
  <si>
    <t>-577.189159353896 -119.891277324894 827.721776674933</t>
  </si>
  <si>
    <t>9763-20170724T105057.446893300.bin</t>
  </si>
  <si>
    <t>-693.504531361478 78.0552179443766 -97.6425996551862</t>
  </si>
  <si>
    <t>-706.123078154909 71.8643645913949 -212.615104414388</t>
  </si>
  <si>
    <t>-708.718209663908 64.6808330815929 -310.942655714844</t>
  </si>
  <si>
    <t>-708.395654311809 57.3508244989091 -399.736919459268</t>
  </si>
  <si>
    <t>-705.072817455206 49.1049061933372 -488.389092131056</t>
  </si>
  <si>
    <t>-697.303678181284 36.561920170011 -612.094920230139</t>
  </si>
  <si>
    <t>-665.576300885134 29.9046959712941 -688.606783843248</t>
  </si>
  <si>
    <t>-697.694373482097 69.5024332602388 -560.24818735086</t>
  </si>
  <si>
    <t>-675.284935585196 205.017061262377 -554.647174976863</t>
  </si>
  <si>
    <t>-598.0668215445 249.613537593802 -274.219430510532</t>
  </si>
  <si>
    <t>-357.179147801165 245.561132878875 -271.464803073739</t>
  </si>
  <si>
    <t>-703.750832100442 14.6604601306719 -555.067866039752</t>
  </si>
  <si>
    <t>-694.178033539442 173.694319607918 -103.78683355699</t>
  </si>
  <si>
    <t>-681.785885281324 185.575897002879 299.400361388185</t>
  </si>
  <si>
    <t>-737.6965205381 247.432327704333 739.558897858879</t>
  </si>
  <si>
    <t>-603.564201175141 193.22673159839 804.038044021362</t>
  </si>
  <si>
    <t>-644.731790810042 -31.5212168134167 306.838587435159</t>
  </si>
  <si>
    <t>-681.061213178357 -26.3224352713673 753.135238120782</t>
  </si>
  <si>
    <t>-577.378926539675 -119.991966036909 827.722941050963</t>
  </si>
  <si>
    <t>9763-20170724T105057.509067500.bin</t>
  </si>
  <si>
    <t>-694.712032860732 77.3857011904954 -97.7197443545116</t>
  </si>
  <si>
    <t>-707.607602970288 71.1187190963092 -212.657313069678</t>
  </si>
  <si>
    <t>-710.415275333197 63.9266506649187 -310.978451072204</t>
  </si>
  <si>
    <t>-710.274428428151 56.6089674560992 -399.774119413215</t>
  </si>
  <si>
    <t>-707.122377042155 48.3960269840554 -488.435546855642</t>
  </si>
  <si>
    <t>-699.579597352312 35.9203656950485 -612.162233152214</t>
  </si>
  <si>
    <t>-667.903083220851 29.4540005663557 -688.711678220427</t>
  </si>
  <si>
    <t>-699.962147660264 68.8416253873493 -560.303218926517</t>
  </si>
  <si>
    <t>-678.15207888762 204.448213019788 -554.567558126854</t>
  </si>
  <si>
    <t>-601.438215108634 248.453912717967 -273.908249912314</t>
  </si>
  <si>
    <t>-360.545077398231 244.239994991443 -272.008559696128</t>
  </si>
  <si>
    <t>-705.835544269154 13.9789924964273 -555.12940081135</t>
  </si>
  <si>
    <t>-695.649792852781 173.094029345579 -103.878365922515</t>
  </si>
  <si>
    <t>-682.688317529432 185.465252011914 299.276248914882</t>
  </si>
  <si>
    <t>-737.650022317827 247.476288092498 739.53799493301</t>
  </si>
  <si>
    <t>-603.492060494277 193.344082042396 804.025755228336</t>
  </si>
  <si>
    <t>-645.509650146452 -31.7562181958494 306.788054939801</t>
  </si>
  <si>
    <t>-681.187066860381 -26.5095305041793 753.155275835492</t>
  </si>
  <si>
    <t>-576.911609238789 -119.553446206368 827.698865664004</t>
  </si>
  <si>
    <t>9763-20170724T105057.545166700.bin</t>
  </si>
  <si>
    <t>-695.332456087538 77.0790866153131 -97.7641942385462</t>
  </si>
  <si>
    <t>-708.34157853498 70.7820636296813 -212.687348386891</t>
  </si>
  <si>
    <t>-711.235009270691 63.5921714285064 -311.006153811612</t>
  </si>
  <si>
    <t>-711.16677028757 56.2864139445542 -399.802997257511</t>
  </si>
  <si>
    <t>-708.081944984314 48.0959362256133 -488.468855258398</t>
  </si>
  <si>
    <t>-700.627351121036 35.662864436865 -612.205107037315</t>
  </si>
  <si>
    <t>-668.950935366267 29.2888328836268 -688.762300886475</t>
  </si>
  <si>
    <t>-701.02127286971 68.5710157413596 -560.337800228758</t>
  </si>
  <si>
    <t>-679.523662095222 204.220148237696 -554.501601565977</t>
  </si>
  <si>
    <t>-603.100499354081 247.959337799008 -273.721164544966</t>
  </si>
  <si>
    <t>-362.206061851856 243.66477548408 -272.208331482136</t>
  </si>
  <si>
    <t>-706.794179818809 13.697085090625 -555.171860552258</t>
  </si>
  <si>
    <t>-696.404666741068 172.775123078393 -103.919344964232</t>
  </si>
  <si>
    <t>-683.098479458941 185.364039995696 299.217299479792</t>
  </si>
  <si>
    <t>-737.633088463501 247.426675082099 739.518759946885</t>
  </si>
  <si>
    <t>-603.437229953598 193.402037956107 804.01739596323</t>
  </si>
  <si>
    <t>-645.810532486057 -31.7311477642652 306.7703435483</t>
  </si>
  <si>
    <t>-681.163072891723 -26.4288836693254 753.158516626907</t>
  </si>
  <si>
    <t>-577.038101513885 -119.640147662447 827.703378566145</t>
  </si>
  <si>
    <t>9763-20170724T105057.611848400.bin</t>
  </si>
  <si>
    <t>-696.690175774945 76.2032918416528 -97.8047852911035</t>
  </si>
  <si>
    <t>-709.928929319409 69.863738339038 -212.699389400934</t>
  </si>
  <si>
    <t>-712.968995542579 62.6879343293072 -311.014881115892</t>
  </si>
  <si>
    <t>-713.012738254105 55.4129957965495 -399.81418433564</t>
  </si>
  <si>
    <t>-710.018402256697 47.2720220713936 -488.487619047936</t>
  </si>
  <si>
    <t>-702.667514582382 34.9276174384186 -612.239028274016</t>
  </si>
  <si>
    <t>-670.958924214477 28.7457988555354 -688.798617654231</t>
  </si>
  <si>
    <t>-703.110004169858 67.8076285346169 -560.354309137619</t>
  </si>
  <si>
    <t>-682.137630469153 203.531149472477 -554.33284119467</t>
  </si>
  <si>
    <t>-606.76956574062 246.668787808436 -273.174505364665</t>
  </si>
  <si>
    <t>-365.873497952634 242.251663820652 -272.519992256579</t>
  </si>
  <si>
    <t>-708.694546823801 12.9120812641763 -555.210062855596</t>
  </si>
  <si>
    <t>-698.00752364745 171.987461872225 -103.962441074009</t>
  </si>
  <si>
    <t>-684.023460608506 184.982613091643 299.138278192559</t>
  </si>
  <si>
    <t>-737.582777068491 247.503730056161 739.496847140465</t>
  </si>
  <si>
    <t>-603.428754994873 193.416148915228 804.030191456832</t>
  </si>
  <si>
    <t>-646.554481717445 -31.9151241322008 306.708827835471</t>
  </si>
  <si>
    <t>-681.359862826089 -26.7229735575356 753.188043527515</t>
  </si>
  <si>
    <t>-577.01121179404 -119.712109142614 827.697586474117</t>
  </si>
  <si>
    <t>9763-20170724T105057.644940100.bin</t>
  </si>
  <si>
    <t>-697.449126126976 75.8260272447408 -97.7966687646377</t>
  </si>
  <si>
    <t>-710.801816057193 69.4597952270531 -212.676499337033</t>
  </si>
  <si>
    <t>-713.909314161134 62.2965676600124 -310.990797101711</t>
  </si>
  <si>
    <t>-714.001351502495 55.0459442358554 -399.791938720616</t>
  </si>
  <si>
    <t>-711.042420216571 46.9423866737632 -488.470303505446</t>
  </si>
  <si>
    <t>-703.727086248321 34.6641538984106 -612.230271935591</t>
  </si>
  <si>
    <t>-671.974573542876 28.6004055140841 -688.781205041259</t>
  </si>
  <si>
    <t>-704.202781436269 67.5207804067211 -560.33111480326</t>
  </si>
  <si>
    <t>-683.501488731408 203.283091119648 -554.212295859628</t>
  </si>
  <si>
    <t>-608.485548535074 245.937829449014 -272.886182227731</t>
  </si>
  <si>
    <t>-367.591505963848 241.379859272913 -272.514063899229</t>
  </si>
  <si>
    <t>-709.689641841885 12.6134804135074 -555.207955501662</t>
  </si>
  <si>
    <t>-698.892291980596 171.588328792375 -103.972669808175</t>
  </si>
  <si>
    <t>-684.606282303981 184.823869328344 299.109675361997</t>
  </si>
  <si>
    <t>-737.568347150833 247.523969092659 739.499995366905</t>
  </si>
  <si>
    <t>-603.454918319619 193.348592985065 804.04403370583</t>
  </si>
  <si>
    <t>-646.917305374547 -31.9875776945948 306.698532860312</t>
  </si>
  <si>
    <t>-681.384133052815 -26.7168771573222 753.2003728819</t>
  </si>
  <si>
    <t>-577.122603144069 -119.808884113586 827.703348711868</t>
  </si>
  <si>
    <t>9763-20170724T105057.710198300.bin</t>
  </si>
  <si>
    <t>-698.944825649718 75.1288897421352 -97.8165178054597</t>
  </si>
  <si>
    <t>-712.514107748196 68.7071503784225 -212.668059339969</t>
  </si>
  <si>
    <t>-715.775203608035 61.5593436744457 -310.97834392478</t>
  </si>
  <si>
    <t>-715.991906422444 54.3453425453361 -399.78237687425</t>
  </si>
  <si>
    <t>-713.143536195553 46.3019840447316 -488.469588640094</t>
  </si>
  <si>
    <t>-705.966883533405 34.1319048032783 -612.248488808459</t>
  </si>
  <si>
    <t>-674.124876979207 28.3129944232564 -688.781157507445</t>
  </si>
  <si>
    <t>-706.480519285743 66.9521082811575 -560.326590337489</t>
  </si>
  <si>
    <t>-686.3360193839 202.792752652172 -554.012332202787</t>
  </si>
  <si>
    <t>-611.811791767818 244.818948457778 -272.461013116537</t>
  </si>
  <si>
    <t>-370.920383602605 240.114043821598 -272.745360542734</t>
  </si>
  <si>
    <t>-711.769490813005 12.0226416278335 -555.232530322438</t>
  </si>
  <si>
    <t>-700.664228633226 170.866952501159 -104.008421484453</t>
  </si>
  <si>
    <t>-685.82997805192 184.697642980348 299.034189898411</t>
  </si>
  <si>
    <t>-737.540343690184 247.574903587768 739.530449256833</t>
  </si>
  <si>
    <t>-603.345431891838 193.596796714803 804.070161674441</t>
  </si>
  <si>
    <t>-647.727255752432 -32.0784500632651 306.661486748911</t>
  </si>
  <si>
    <t>-681.362594011132 -26.5930746931062 753.223897815744</t>
  </si>
  <si>
    <t>-577.055832890777 -119.657280588729 827.698496337988</t>
  </si>
  <si>
    <t>9763-20170724T105057.743286100.bin</t>
  </si>
  <si>
    <t>-699.748524349938 74.6899411947327 -97.818160841101</t>
  </si>
  <si>
    <t>-713.418620989499 68.2344115755081 -212.65582464048</t>
  </si>
  <si>
    <t>-716.75864298383 61.092020064744 -310.963850090749</t>
  </si>
  <si>
    <t>-717.043378402055 53.8951294960248 -399.769100229025</t>
  </si>
  <si>
    <t>-714.259135086156 45.8818917307949 -488.461037794318</t>
  </si>
  <si>
    <t>-707.167785660087 33.767345588102 -612.250286695165</t>
  </si>
  <si>
    <t>-675.27087218592 28.0691020855604 -688.76924818666</t>
  </si>
  <si>
    <t>-707.69778743881 66.568899802578 -560.316731324154</t>
  </si>
  <si>
    <t>-687.873869311369 202.452465781931 -553.92646343388</t>
  </si>
  <si>
    <t>-613.423146800297 244.310920561243 -272.330726990302</t>
  </si>
  <si>
    <t>-372.532839212463 239.584037082712 -272.962226985911</t>
  </si>
  <si>
    <t>-712.878895552563 11.6278306612758 -555.23690902387</t>
  </si>
  <si>
    <t>-701.617549406275 170.500780479782 -104.02109145681</t>
  </si>
  <si>
    <t>-686.413286065621 184.582212691623 298.99904853137</t>
  </si>
  <si>
    <t>-737.531913769024 247.586289501088 739.546585012703</t>
  </si>
  <si>
    <t>-603.35134359624 193.579843205174 804.092255455315</t>
  </si>
  <si>
    <t>-648.252710969367 -32.1715012378077 306.655789001791</t>
  </si>
  <si>
    <t>-681.497554001848 -26.8108336888595 753.255815330141</t>
  </si>
  <si>
    <t>-576.967236921635 -119.644914427262 827.704126732063</t>
  </si>
  <si>
    <t>9763-20170724T105057.812099700.bin</t>
  </si>
  <si>
    <t>-701.254678661019 73.9290011046078 -97.8398135290948</t>
  </si>
  <si>
    <t>-715.150986991188 67.4032999527979 -212.646356005192</t>
  </si>
  <si>
    <t>-718.648650908379 60.2812738653915 -310.95046985116</t>
  </si>
  <si>
    <t>-719.060458265824 53.1325263941169 -399.759052842632</t>
  </si>
  <si>
    <t>-716.386773110431 45.1982185346076 -488.46151656305</t>
  </si>
  <si>
    <t>-709.43230709829 33.2261794237006 -612.272431387</t>
  </si>
  <si>
    <t>-677.417866318027 27.7627335647189 -688.759323365044</t>
  </si>
  <si>
    <t>-710.020135442135 65.9778252501756 -560.308024096623</t>
  </si>
  <si>
    <t>-690.925087529385 201.958670886068 -553.746456739105</t>
  </si>
  <si>
    <t>-616.939901634386 243.560694843781 -271.99000635891</t>
  </si>
  <si>
    <t>-376.051532446428 238.858055303071 -273.237090424166</t>
  </si>
  <si>
    <t>-714.965095159693 11.0112285451924 -555.270774034125</t>
  </si>
  <si>
    <t>-703.45982687941 169.7329631354 -104.047936641413</t>
  </si>
  <si>
    <t>-687.583634578783 184.445721824676 298.92372118949</t>
  </si>
  <si>
    <t>-737.514633100554 247.568975909639 739.573298973883</t>
  </si>
  <si>
    <t>-603.349826442507 193.532797433823 804.127072933161</t>
  </si>
  <si>
    <t>-649.258934721966 -32.1465363836644 306.628210388115</t>
  </si>
  <si>
    <t>-681.515592715625 -26.7799263166421 753.295644369346</t>
  </si>
  <si>
    <t>-577.097355244926 -119.74949495957 827.732182408306</t>
  </si>
  <si>
    <t>9763-20170724T105057.845187200.bin</t>
  </si>
  <si>
    <t>-702.061869773206 73.5477599277992 -97.8531897845462</t>
  </si>
  <si>
    <t>-716.075507978825 66.9806777048182 -212.643076141099</t>
  </si>
  <si>
    <t>-719.649799065573 59.8649410022867 -310.944910343848</t>
  </si>
  <si>
    <t>-720.120431555948 52.7370347501849 -399.755001148442</t>
  </si>
  <si>
    <t>-717.494978795979 44.8394742488886 -488.462174745626</t>
  </si>
  <si>
    <t>-710.596174738171 32.9353558266582 -612.28257718948</t>
  </si>
  <si>
    <t>-678.516062018168 27.59298810772 -688.75065000419</t>
  </si>
  <si>
    <t>-711.224821084106 65.6637550644914 -560.304202362801</t>
  </si>
  <si>
    <t>-692.501287261403 201.686174821556 -553.669577718381</t>
  </si>
  <si>
    <t>-618.926144248655 243.173067908882 -271.788835948198</t>
  </si>
  <si>
    <t>-378.040472532117 238.402453393619 -273.273519228363</t>
  </si>
  <si>
    <t>-716.039185843413 10.6838578262652 -555.286585742614</t>
  </si>
  <si>
    <t>-704.436019753006 169.367745182564 -104.064779033721</t>
  </si>
  <si>
    <t>-688.155127927478 184.384328138083 298.879578057107</t>
  </si>
  <si>
    <t>-737.505290158819 247.608113940944 739.58005811015</t>
  </si>
  <si>
    <t>-603.377842992471 193.488020254562 804.141267672499</t>
  </si>
  <si>
    <t>-649.808722467183 -32.2367138115781 306.620299286974</t>
  </si>
  <si>
    <t>-681.65146737197 -27.0165833877049 753.324366844412</t>
  </si>
  <si>
    <t>-576.882274426359 -119.611990442444 827.734051366516</t>
  </si>
  <si>
    <t>9763-20170724T105057.910904100.bin</t>
  </si>
  <si>
    <t>-703.816487523857 72.8400359081484 -97.8783337887558</t>
  </si>
  <si>
    <t>-718.037695352869 66.1981736112164 -212.638370804367</t>
  </si>
  <si>
    <t>-721.766926089743 59.0890677335492 -310.934952904638</t>
  </si>
  <si>
    <t>-722.3673594168 51.9926932173569 -399.746531695247</t>
  </si>
  <si>
    <t>-719.860694984539 44.1540739626112 -488.462478448557</t>
  </si>
  <si>
    <t>-713.115681224908 32.3604822234418 -612.301953524588</t>
  </si>
  <si>
    <t>-680.905214563907 27.2513224187348 -688.731157523097</t>
  </si>
  <si>
    <t>-713.815978078485 65.0533545777694 -560.302124950373</t>
  </si>
  <si>
    <t>-695.838139411303 201.170823403086 -553.557504327562</t>
  </si>
  <si>
    <t>-622.659893331756 242.638087117169 -271.570534566595</t>
  </si>
  <si>
    <t>-381.782768649197 237.530348738434 -273.296183181356</t>
  </si>
  <si>
    <t>-718.351644598947 10.047057662654 -555.310707625562</t>
  </si>
  <si>
    <t>-706.574280291894 168.658576100611 -104.093526602189</t>
  </si>
  <si>
    <t>-689.443574615184 184.067283203778 298.800750237308</t>
  </si>
  <si>
    <t>-737.513512288448 247.489955417784 739.60878105689</t>
  </si>
  <si>
    <t>-603.238245269617 193.722852640741 804.157292497852</t>
  </si>
  <si>
    <t>-650.761946745787 -32.1572779093892 306.580436485445</t>
  </si>
  <si>
    <t>-681.579167975405 -26.8256221609388 753.355581804829</t>
  </si>
  <si>
    <t>-577.046838447635 -119.688101092259 827.765494541758</t>
  </si>
  <si>
    <t>9763-20170724T105057.946000500.bin</t>
  </si>
  <si>
    <t>-704.695602915276 72.4474025602035 -97.8859863757059</t>
  </si>
  <si>
    <t>-718.999713656287 65.7672138090159 -212.633454971831</t>
  </si>
  <si>
    <t>-722.800774105777 58.659509268583 -310.92731701126</t>
  </si>
  <si>
    <t>-723.466019984259 51.5767436583119 -399.73965129954</t>
  </si>
  <si>
    <t>-721.023539793658 43.7650757252036 -488.459755752007</t>
  </si>
  <si>
    <t>-714.367367079078 32.023457790275 -612.309124688151</t>
  </si>
  <si>
    <t>-682.097633560215 27.0245782042468 -688.720488286702</t>
  </si>
  <si>
    <t>-715.101294482777 64.6998602779815 -560.299288413373</t>
  </si>
  <si>
    <t>-697.490974874413 200.864197331821 -553.514990434873</t>
  </si>
  <si>
    <t>-624.281249420316 242.313170364425 -271.533561371768</t>
  </si>
  <si>
    <t>-383.407210018952 237.106175290417 -273.39217800947</t>
  </si>
  <si>
    <t>-719.49154434215 9.68085231523605 -555.318995422802</t>
  </si>
  <si>
    <t>-707.584919383494 168.250170421224 -104.106339423724</t>
  </si>
  <si>
    <t>-690.134250537376 184.020662955879 298.760166624997</t>
  </si>
  <si>
    <t>-737.49959426494 247.566364377147 739.617395174352</t>
  </si>
  <si>
    <t>-603.251335621115 193.733294181635 804.167666587619</t>
  </si>
  <si>
    <t>-651.2514855616 -32.2533690154235 306.559934742429</t>
  </si>
  <si>
    <t>-681.703651066652 -27.0476236659183 753.383143730569</t>
  </si>
  <si>
    <t>-576.825662140592 -119.540159399641 827.767495165314</t>
  </si>
  <si>
    <t>9763-20170724T105058.022219800.bin</t>
  </si>
  <si>
    <t>-706.221632605107 71.5494962002783 -97.8955369633181</t>
  </si>
  <si>
    <t>-720.682552805788 64.8081433603008 -212.619783003605</t>
  </si>
  <si>
    <t>-724.597260840045 57.7042396646038 -310.909522339324</t>
  </si>
  <si>
    <t>-725.356138655556 50.645206662995 -399.723074057999</t>
  </si>
  <si>
    <t>-722.997235629633 42.8793201205747 -488.449317517204</t>
  </si>
  <si>
    <t>-716.44694859883 31.2250299467878 -612.31251323439</t>
  </si>
  <si>
    <t>-684.072801424027 26.4090069935683 -688.691547275262</t>
  </si>
  <si>
    <t>-717.284197697015 63.8752859366368 -560.287798588888</t>
  </si>
  <si>
    <t>-700.469505411646 200.14264545269 -553.459031982661</t>
  </si>
  <si>
    <t>-627.02694969404 241.479363768466 -271.521729628306</t>
  </si>
  <si>
    <t>-386.161517199674 236.100493452403 -273.92737541689</t>
  </si>
  <si>
    <t>-721.374666894803 8.83167965690791 -555.325199772908</t>
  </si>
  <si>
    <t>-709.371026652406 167.324997418678 -104.116155471987</t>
  </si>
  <si>
    <t>-691.299070159119 183.835496035839 298.693287430503</t>
  </si>
  <si>
    <t>-737.486215395654 247.549947014281 739.627003688065</t>
  </si>
  <si>
    <t>-603.131513993841 193.987206045276 804.180472685223</t>
  </si>
  <si>
    <t>-652.028965020041 -32.422207572193 306.511133774493</t>
  </si>
  <si>
    <t>-681.759458930266 -27.1386666740389 753.411775497179</t>
  </si>
  <si>
    <t>-576.740136113941 -119.476096776406 827.789391166639</t>
  </si>
  <si>
    <t>9763-20170724T105058.047284200.bin</t>
  </si>
  <si>
    <t>-706.897520373185 71.0676937895191 -97.8951628108932</t>
  </si>
  <si>
    <t>-721.444111636142 64.2945570088571 -212.606659060535</t>
  </si>
  <si>
    <t>-725.416999880419 57.1751150361265 -310.893008662559</t>
  </si>
  <si>
    <t>-726.222125593874 50.1050577048495 -399.705163961431</t>
  </si>
  <si>
    <t>-723.903017513102 42.3318636999431 -488.431915575</t>
  </si>
  <si>
    <t>-717.401644401118 30.6716299431375 -612.297166819691</t>
  </si>
  <si>
    <t>-684.981226848143 25.9219643484901 -688.660621693373</t>
  </si>
  <si>
    <t>-718.279870465478 63.328564316761 -560.27741461058</t>
  </si>
  <si>
    <t>-701.802204833586 199.639345755093 -553.453448489555</t>
  </si>
  <si>
    <t>-628.546743392723 240.752528416364 -271.434752700411</t>
  </si>
  <si>
    <t>-387.683894817997 235.451450085407 -274.232820439594</t>
  </si>
  <si>
    <t>-722.245445232752 8.27679103856326 -555.302974809399</t>
  </si>
  <si>
    <t>-710.258275654419 166.874339452597 -104.121313163916</t>
  </si>
  <si>
    <t>-691.820746743922 183.694499124722 298.658754816472</t>
  </si>
  <si>
    <t>-737.479636371083 247.510261381435 739.635944024796</t>
  </si>
  <si>
    <t>-603.036755101126 194.175181823706 804.194370553406</t>
  </si>
  <si>
    <t>-652.46639297883 -32.4828021914786 306.498879815082</t>
  </si>
  <si>
    <t>-681.791170028877 -27.185595314575 753.432325821812</t>
  </si>
  <si>
    <t>-576.743440601755 -119.495236974035 827.804089630115</t>
  </si>
  <si>
    <t>9763-20170724T105058.109979500.bin</t>
  </si>
  <si>
    <t>-708.330082157848 70.3283340727787 -97.8197863690102</t>
  </si>
  <si>
    <t>-723.146946221402 63.4542464092235 -212.490722701281</t>
  </si>
  <si>
    <t>-727.287551388485 56.2900837082577 -310.766821235222</t>
  </si>
  <si>
    <t>-728.218360748638 49.192494352149 -399.575501073437</t>
  </si>
  <si>
    <t>-725.998436618699 41.4052919282913 -488.303698767256</t>
  </si>
  <si>
    <t>-719.60771355359 29.7389747453049 -612.173976520861</t>
  </si>
  <si>
    <t>-687.101339596507 25.1135369401313 -688.508645968593</t>
  </si>
  <si>
    <t>-720.552554141121 62.4059563767726 -560.161549860114</t>
  </si>
  <si>
    <t>-704.729154179269 198.786899142225 -553.328408620732</t>
  </si>
  <si>
    <t>-632.094843534603 239.296469624559 -271.061777191281</t>
  </si>
  <si>
    <t>-391.232415227865 234.268582919652 -274.362799323309</t>
  </si>
  <si>
    <t>-724.287455024284 7.33964366805958 -555.167935581845</t>
  </si>
  <si>
    <t>-712.184074862054 166.000823169376 -104.080408247209</t>
  </si>
  <si>
    <t>-692.988434057051 183.488756477149 298.635852436562</t>
  </si>
  <si>
    <t>-737.495131298311 247.366878786064 739.693348362685</t>
  </si>
  <si>
    <t>-602.942942337108 194.320819535243 804.262166944067</t>
  </si>
  <si>
    <t>-653.441543771852 -32.4525885363382 306.595261897678</t>
  </si>
  <si>
    <t>-681.938784785434 -27.2268276457819 753.604672068411</t>
  </si>
  <si>
    <t>-576.703006269417 -119.46875641569 827.794674617841</t>
  </si>
  <si>
    <t>9763-20170724T105058.141061000.bin</t>
  </si>
  <si>
    <t>-709.134074317171 69.9656337479348 -97.7774015126421</t>
  </si>
  <si>
    <t>-724.103138059293 63.0359295785215 -212.425228523258</t>
  </si>
  <si>
    <t>-728.341576528705 55.8568278619393 -310.696077650798</t>
  </si>
  <si>
    <t>-729.347089613428 48.7570745378528 -399.503804864642</t>
  </si>
  <si>
    <t>-727.188583993222 40.9786806927764 -488.234225639694</t>
  </si>
  <si>
    <t>-720.86846372975 29.3358635533309 -612.110307457283</t>
  </si>
  <si>
    <t>-688.32323468322 24.7846722181607 -688.432874473479</t>
  </si>
  <si>
    <t>-721.83316206164 61.995864068889 -560.094084145453</t>
  </si>
  <si>
    <t>-706.301199526979 198.412538707909 -553.210090059591</t>
  </si>
  <si>
    <t>-634.004615484038 238.443663756625 -270.788510789489</t>
  </si>
  <si>
    <t>-393.139021887495 233.80477399401 -274.414489369553</t>
  </si>
  <si>
    <t>-725.466096958729 6.92266929789434 -555.10313171828</t>
  </si>
  <si>
    <t>-713.209004800935 165.612867461609 -104.045203744573</t>
  </si>
  <si>
    <t>-693.599322056114 183.348971496756 298.640206584211</t>
  </si>
  <si>
    <t>-737.497478258643 247.392221023447 739.73098568721</t>
  </si>
  <si>
    <t>-602.962989316441 194.312726612567 804.308978389966</t>
  </si>
  <si>
    <t>-653.868725357827 -32.4031247425394 306.649484215315</t>
  </si>
  <si>
    <t>-681.953315592222 -27.1346756496487 753.674749789752</t>
  </si>
  <si>
    <t>-576.902712220756 -119.644858397314 827.793246945458</t>
  </si>
  <si>
    <t>9763-20170724T105058.214783700.bin</t>
  </si>
  <si>
    <t>-710.793888609219 68.7237360925246 -97.7179207771624</t>
  </si>
  <si>
    <t>-726.03200938879 61.7074456668711 -212.325031209204</t>
  </si>
  <si>
    <t>-730.491633570858 54.5291155449906 -310.586093316146</t>
  </si>
  <si>
    <t>-731.692226577901 47.4570625512752 -399.393789237944</t>
  </si>
  <si>
    <t>-729.722982770302 39.7352283533617 -488.133394858541</t>
  </si>
  <si>
    <t>-723.661371003703 28.2005799299689 -612.032652225793</t>
  </si>
  <si>
    <t>-691.081732393865 23.8017153640574 -688.349510469185</t>
  </si>
  <si>
    <t>-724.613315382668 60.820854725866 -559.991102000959</t>
  </si>
  <si>
    <t>-709.631970837286 197.288423364783 -552.979880436053</t>
  </si>
  <si>
    <t>-637.749861902252 236.884250549241 -270.391339471064</t>
  </si>
  <si>
    <t>-396.879533203228 232.841964314657 -274.395781226118</t>
  </si>
  <si>
    <t>-728.044430765512 5.73193928603905 -555.030398835482</t>
  </si>
  <si>
    <t>-715.08382437816 164.452183607492 -103.991372375469</t>
  </si>
  <si>
    <t>-694.844225280682 182.829039418858 298.634147978414</t>
  </si>
  <si>
    <t>-737.511931117415 247.318590821939 739.780404291041</t>
  </si>
  <si>
    <t>-602.893812370702 194.475352286984 804.377866172788</t>
  </si>
  <si>
    <t>-655.019724049409 -32.7633044358511 306.711569128571</t>
  </si>
  <si>
    <t>-682.1197943201 -27.387982381131 753.761884521977</t>
  </si>
  <si>
    <t>-576.232839304758 -119.030350539579 827.767980542959</t>
  </si>
  <si>
    <t>9763-20170724T105058.242846100.bin</t>
  </si>
  <si>
    <t>-711.520791719178 68.2447888747342 -97.7021494339597</t>
  </si>
  <si>
    <t>-726.912906781568 61.1743108106325 -212.285389631277</t>
  </si>
  <si>
    <t>-731.504993269356 54.0075930309226 -310.541251391604</t>
  </si>
  <si>
    <t>-732.824297313246 46.9684346226484 -399.349634263094</t>
  </si>
  <si>
    <t>-730.97251396862 39.3024975880662 -488.096763314326</t>
  </si>
  <si>
    <t>-725.073219892395 27.8699565129045 -612.013245818239</t>
  </si>
  <si>
    <t>-692.504954180403 23.561917838482 -688.340110062459</t>
  </si>
  <si>
    <t>-726.008768781707 60.4501364327732 -559.946486912802</t>
  </si>
  <si>
    <t>-711.288174059227 196.942452913091 -552.872876360884</t>
  </si>
  <si>
    <t>-639.336196541495 236.505120579581 -270.297452309349</t>
  </si>
  <si>
    <t>-398.465726531961 232.632027776825 -274.457167480772</t>
  </si>
  <si>
    <t>-729.32982712432 5.35138534675161 -555.021156404693</t>
  </si>
  <si>
    <t>-715.99391627546 163.935410662392 -103.971880896543</t>
  </si>
  <si>
    <t>-695.364632993947 182.572311171852 298.62194526958</t>
  </si>
  <si>
    <t>-737.531662530945 247.288485105547 739.796016989605</t>
  </si>
  <si>
    <t>-602.881111233118 194.530669773748 804.395949288928</t>
  </si>
  <si>
    <t>-655.504147567483 -32.7602209206152 306.705328572958</t>
  </si>
  <si>
    <t>-682.003696780879 -27.1769607103438 753.763657313129</t>
  </si>
  <si>
    <t>-576.696723676305 -119.442570857054 827.82323668245</t>
  </si>
  <si>
    <t>9763-20170724T105058.310633900.bin</t>
  </si>
  <si>
    <t>-713.209291315391 67.1481117163901 -97.6789335154753</t>
  </si>
  <si>
    <t>-728.868344147078 60.0232049616516 -212.222560586156</t>
  </si>
  <si>
    <t>-733.695351531675 52.8990945085361 -310.470276317456</t>
  </si>
  <si>
    <t>-735.228451694648 45.9326515099785 -399.281027722539</t>
  </si>
  <si>
    <t>-733.59058682149 38.3744786942445 -488.041639868189</t>
  </si>
  <si>
    <t>-727.989336463881 27.1300743733996 -611.9891995289</t>
  </si>
  <si>
    <t>-695.468396380385 22.9955801425235 -688.345648737257</t>
  </si>
  <si>
    <t>-728.894759800063 59.6363717132733 -559.875505170097</t>
  </si>
  <si>
    <t>-714.644176748324 196.181917604281 -552.683405431924</t>
  </si>
  <si>
    <t>-642.341386870987 235.714686318644 -270.19342933583</t>
  </si>
  <si>
    <t>-401.471428803497 232.251063094121 -274.722946187764</t>
  </si>
  <si>
    <t>-732.013653991075 4.51987808515651 -555.016430049667</t>
  </si>
  <si>
    <t>-717.908890301164 162.845018600947 -103.945058992442</t>
  </si>
  <si>
    <t>-696.54832301502 182.061153244788 298.583354780034</t>
  </si>
  <si>
    <t>-737.567709220058 247.220275669489 739.794848624321</t>
  </si>
  <si>
    <t>-602.885210759513 194.556483374377 804.404603047547</t>
  </si>
  <si>
    <t>-656.690652133374 -33.2268442337706 306.686764401729</t>
  </si>
  <si>
    <t>-682.226539917471 -27.6972651053534 753.82183103446</t>
  </si>
  <si>
    <t>-576.378809760434 -119.328711892882 827.897710229376</t>
  </si>
  <si>
    <t>9763-20170724T105058.344725300.bin</t>
  </si>
  <si>
    <t>-714.014822432876 66.5863683836274 -97.6674348846296</t>
  </si>
  <si>
    <t>-729.799435245553 59.4375337992706 -212.19234506675</t>
  </si>
  <si>
    <t>-734.752787113676 52.3420700769705 -310.435734432644</t>
  </si>
  <si>
    <t>-736.406588159506 45.4206066561112 -399.24788700323</t>
  </si>
  <si>
    <t>-734.895612169645 37.9271260789151 -488.016274377802</t>
  </si>
  <si>
    <t>-729.477908975724 26.7936859779852 -611.981999754427</t>
  </si>
  <si>
    <t>-697.012049603989 22.7301125617701 -688.365868581645</t>
  </si>
  <si>
    <t>-730.340909550079 59.2551616104097 -559.839614439496</t>
  </si>
  <si>
    <t>-716.250846998213 195.80525160492 -552.565653424304</t>
  </si>
  <si>
    <t>-643.80427897027 235.173094623355 -270.089259752493</t>
  </si>
  <si>
    <t>-402.935440258098 231.883221007864 -274.804418123764</t>
  </si>
  <si>
    <t>-733.383132450833 4.13079255010666 -555.021879755918</t>
  </si>
  <si>
    <t>-718.793542484927 162.184876318663 -103.926988456548</t>
  </si>
  <si>
    <t>-697.110333434325 181.75743310428 298.567032984974</t>
  </si>
  <si>
    <t>-737.591241809033 247.152951735646 739.786906129634</t>
  </si>
  <si>
    <t>-602.851929163287 194.638060630845 804.399860270148</t>
  </si>
  <si>
    <t>-657.20890308677 -33.3680516079753 306.678997080479</t>
  </si>
  <si>
    <t>-682.226671699947 -27.7465893651181 753.839442573875</t>
  </si>
  <si>
    <t>-576.550208274841 -119.548665786268 827.948476120259</t>
  </si>
  <si>
    <t>9763-20170724T105058.410905600.bin</t>
  </si>
  <si>
    <t>-715.522321685543 65.5382845289096 -97.6657806699816</t>
  </si>
  <si>
    <t>-731.527827850044 58.3542597134428 -212.157921350026</t>
  </si>
  <si>
    <t>-736.720928230639 51.3266609039222 -310.393856953761</t>
  </si>
  <si>
    <t>-738.610740247161 44.5047968030879 -399.208991198471</t>
  </si>
  <si>
    <t>-737.353998416613 37.1494652456354 -487.992760501741</t>
  </si>
  <si>
    <t>-732.309474146745 26.2494793072394 -611.995130429941</t>
  </si>
  <si>
    <t>-699.958675287235 22.3171751044001 -688.434508843004</t>
  </si>
  <si>
    <t>-733.061869098154 58.6150275742023 -559.791467035358</t>
  </si>
  <si>
    <t>-719.256607326939 195.186610372155 -552.293406765226</t>
  </si>
  <si>
    <t>-646.804970022616 234.105458953499 -269.756257187527</t>
  </si>
  <si>
    <t>-405.937006767193 231.009492947303 -274.646317035199</t>
  </si>
  <si>
    <t>-735.996581498267 3.4769643903528 -555.064147716637</t>
  </si>
  <si>
    <t>-720.494158156278 161.095719818813 -103.910985818921</t>
  </si>
  <si>
    <t>-698.339968122856 181.259352897041 298.528201395543</t>
  </si>
  <si>
    <t>-737.635940050633 247.13742382809 739.7820354679</t>
  </si>
  <si>
    <t>-602.911959134709 194.594488447817 804.403559920058</t>
  </si>
  <si>
    <t>-658.241630175828 -33.5517766875312 306.637951246021</t>
  </si>
  <si>
    <t>-682.179496243283 -27.7074276794531 753.873286290264</t>
  </si>
  <si>
    <t>-576.726576771355 -119.734102612438 828.021968819721</t>
  </si>
  <si>
    <t>9763-20170724T105058.443994100.bin</t>
  </si>
  <si>
    <t>-716.227373941839 65.0065499980358 -97.6553488906203</t>
  </si>
  <si>
    <t>-732.350134156401 57.8070561847155 -212.130002497628</t>
  </si>
  <si>
    <t>-737.652273495267 50.8057433551617 -310.361914440463</t>
  </si>
  <si>
    <t>-739.643207505526 44.0219987869202 -399.177866886337</t>
  </si>
  <si>
    <t>-738.490218954858 36.719151185699 -487.967355998429</t>
  </si>
  <si>
    <t>-733.59309743192 25.9073595551383 -611.983222783292</t>
  </si>
  <si>
    <t>-701.284952084891 22.0419466840251 -688.444125444696</t>
  </si>
  <si>
    <t>-734.2905180188 58.236128097127 -559.756146223279</t>
  </si>
  <si>
    <t>-720.58227627302 194.811105067356 -552.186723786603</t>
  </si>
  <si>
    <t>-648.448786890233 233.514399346413 -269.538504777339</t>
  </si>
  <si>
    <t>-407.581089171885 230.440846468372 -274.457570710437</t>
  </si>
  <si>
    <t>-737.205530236487 3.09412521619424 -555.063874187901</t>
  </si>
  <si>
    <t>-721.254793235359 160.541543634581 -103.89769744416</t>
  </si>
  <si>
    <t>-698.950286842854 181.059258728125 298.515314214222</t>
  </si>
  <si>
    <t>-737.654464388426 247.146485770871 739.780590633177</t>
  </si>
  <si>
    <t>-602.894436283254 194.694279915143 804.401042222672</t>
  </si>
  <si>
    <t>-658.736861500006 -33.7213717297516 306.641374324669</t>
  </si>
  <si>
    <t>-682.227094071115 -27.8225195605862 753.900927725433</t>
  </si>
  <si>
    <t>-576.635333730858 -119.693904181424 828.04491390113</t>
  </si>
  <si>
    <t>9763-20170724T105058.513191000.bin</t>
  </si>
  <si>
    <t>-717.575894714742 64.090382383265 -97.6230667209843</t>
  </si>
  <si>
    <t>-733.950443553086 56.8791542610838 -212.061328259776</t>
  </si>
  <si>
    <t>-739.465883659481 49.9464662148409 -310.286484778037</t>
  </si>
  <si>
    <t>-741.647663317325 43.2547341308764 -399.104734795306</t>
  </si>
  <si>
    <t>-740.682608176428 36.0746234761773 -487.906536878444</t>
  </si>
  <si>
    <t>-736.044592134425 25.4658104664509 -611.949949951553</t>
  </si>
  <si>
    <t>-703.753256923506 21.8107334784577 -688.428351191007</t>
  </si>
  <si>
    <t>-736.68197444033 57.7113341534248 -559.670645551313</t>
  </si>
  <si>
    <t>-723.263950727645 194.305864295568 -551.966079462809</t>
  </si>
  <si>
    <t>-652.237453717796 232.723413215587 -268.998640105653</t>
  </si>
  <si>
    <t>-411.369351189879 229.621624460385 -273.881353985322</t>
  </si>
  <si>
    <t>-739.489129788755 2.55699225571834 -555.058570847566</t>
  </si>
  <si>
    <t>-722.752736091751 159.672062935932 -103.860661830706</t>
  </si>
  <si>
    <t>-700.116024430266 180.842484616993 298.499943877965</t>
  </si>
  <si>
    <t>-737.694370828187 247.134295908049 739.807016692943</t>
  </si>
  <si>
    <t>-602.933051107734 194.700589920042 804.439735640553</t>
  </si>
  <si>
    <t>-659.688819456802 -34.0311189271229 306.619276411761</t>
  </si>
  <si>
    <t>-682.279763821291 -27.9736939391066 753.945510790188</t>
  </si>
  <si>
    <t>-576.382596011383 -119.511023443248 828.066750906627</t>
  </si>
  <si>
    <t>9763-20170724T105058.544272800.bin</t>
  </si>
  <si>
    <t>-718.281419761302 63.7228626398364 -97.6143669150384</t>
  </si>
  <si>
    <t>-734.771368111741 56.5036992642026 -212.035573370011</t>
  </si>
  <si>
    <t>-740.379767876216 49.6147798994109 -310.258427956264</t>
  </si>
  <si>
    <t>-742.642416251641 42.9822811392098 -399.079208033253</t>
  </si>
  <si>
    <t>-741.754391253657 35.8813844812591 -487.888194055989</t>
  </si>
  <si>
    <t>-737.219491576965 25.4045112822935 -611.946497574408</t>
  </si>
  <si>
    <t>-704.906168707671 21.8547376075803 -688.42054039039</t>
  </si>
  <si>
    <t>-737.852518333138 57.5963986515073 -559.63402452336</t>
  </si>
  <si>
    <t>-724.626072083911 194.201895701692 -551.826020129494</t>
  </si>
  <si>
    <t>-653.822705839775 232.584764525624 -268.798010419915</t>
  </si>
  <si>
    <t>-412.955706405839 229.441795331888 -273.709003927518</t>
  </si>
  <si>
    <t>-740.577580781655 2.43330782772318 -555.075065587137</t>
  </si>
  <si>
    <t>-723.566069022108 159.301005015512 -103.830331216659</t>
  </si>
  <si>
    <t>-700.701870101714 180.727050017008 298.503867077929</t>
  </si>
  <si>
    <t>-737.716030809478 247.118609782834 739.835418150414</t>
  </si>
  <si>
    <t>-602.951030292899 194.700258634884 804.473066879764</t>
  </si>
  <si>
    <t>-660.053364088059 -34.0095769858021 306.60656366231</t>
  </si>
  <si>
    <t>-682.208369879247 -27.8563772254063 753.955699701455</t>
  </si>
  <si>
    <t>-576.659734928616 -119.781120955422 828.095015620968</t>
  </si>
  <si>
    <t>9763-20170724T105058.612319500.bin</t>
  </si>
  <si>
    <t>-719.713993806182 62.775146723287 -97.6034246895936</t>
  </si>
  <si>
    <t>-736.327522406822 55.5505008171749 -212.006311542003</t>
  </si>
  <si>
    <t>-742.05544460669 48.7365961547605 -310.227554079376</t>
  </si>
  <si>
    <t>-744.430548227747 42.2022915976904 -399.052666524058</t>
  </si>
  <si>
    <t>-743.658522987589 35.2310465645267 -487.872982425783</t>
  </si>
  <si>
    <t>-739.288733975033 24.9689200794217 -611.955195241146</t>
  </si>
  <si>
    <t>-706.893714753931 21.5989672244746 -688.402760553361</t>
  </si>
  <si>
    <t>-739.931077325822 57.0736367254951 -559.589441253357</t>
  </si>
  <si>
    <t>-727.082380302437 193.712262220355 -551.624505792325</t>
  </si>
  <si>
    <t>-656.475003110475 231.940158012265 -268.526728824707</t>
  </si>
  <si>
    <t>-415.611657676329 228.936065355848 -273.694633021188</t>
  </si>
  <si>
    <t>-742.492228052171 1.89585968210076 -555.116124297521</t>
  </si>
  <si>
    <t>-725.157661056496 158.435807159171 -103.783468949195</t>
  </si>
  <si>
    <t>-702.036519357042 180.505021001301 298.501308272299</t>
  </si>
  <si>
    <t>-737.770588446303 247.020262381304 739.91023920796</t>
  </si>
  <si>
    <t>-602.929427842367 194.798492710612 804.548128958557</t>
  </si>
  <si>
    <t>-660.994094641823 -34.1934106218125 306.567376409005</t>
  </si>
  <si>
    <t>-682.309960962801 -28.0964830300823 753.988661476706</t>
  </si>
  <si>
    <t>-576.324004359805 -119.548963716058 828.087988926909</t>
  </si>
  <si>
    <t>9763-20170724T105058.643402000.bin</t>
  </si>
  <si>
    <t>-720.260326664881 62.5146370126433 -97.5893987863715</t>
  </si>
  <si>
    <t>-736.920923092462 55.2810583857427 -211.984863662047</t>
  </si>
  <si>
    <t>-742.690865969029 48.4944646309696 -310.205548974625</t>
  </si>
  <si>
    <t>-745.104084003005 41.9976908653584 -399.032445077511</t>
  </si>
  <si>
    <t>-744.369980438961 35.0776289480712 -487.857206097528</t>
  </si>
  <si>
    <t>-740.052974000688 24.9007040966235 -611.948207199883</t>
  </si>
  <si>
    <t>-707.612304330038 21.6103084790007 -688.380005196596</t>
  </si>
  <si>
    <t>-740.707450591572 56.9710217158549 -559.561396142702</t>
  </si>
  <si>
    <t>-728.056417098898 193.62231010446 -551.542090123836</t>
  </si>
  <si>
    <t>-657.648533110197 231.897971437501 -268.400876634361</t>
  </si>
  <si>
    <t>-416.786252132304 228.874566522755 -273.609325050665</t>
  </si>
  <si>
    <t>-743.197780147228 1.78713780848125 -555.122294054628</t>
  </si>
  <si>
    <t>-725.771615467467 158.182385779166 -103.77207937884</t>
  </si>
  <si>
    <t>-702.678993455507 180.584759330276 298.495908916041</t>
  </si>
  <si>
    <t>-737.791589990729 247.030669584839 739.956850015016</t>
  </si>
  <si>
    <t>-602.923461395867 194.881614947208 804.597134820602</t>
  </si>
  <si>
    <t>-661.306170003899 -34.231994553197 306.554908964214</t>
  </si>
  <si>
    <t>-682.307122187397 -28.1112669437866 754.001263487864</t>
  </si>
  <si>
    <t>-576.521452148181 -119.790390562137 828.106749790233</t>
  </si>
  <si>
    <t>9763-20170724T105058.710193300.bin</t>
  </si>
  <si>
    <t>-721.259546760125 61.9376867635037 -97.544736361156</t>
  </si>
  <si>
    <t>-737.997387056928 54.6853360064802 -211.927819197897</t>
  </si>
  <si>
    <t>-743.795085603748 47.9711487412535 -310.151868065058</t>
  </si>
  <si>
    <t>-746.216591027659 41.5740595324683 -398.985673171187</t>
  </si>
  <si>
    <t>-745.473329361973 34.7887797363182 -487.820642309554</t>
  </si>
  <si>
    <t>-741.124023347835 24.8366589908505 -611.928767583128</t>
  </si>
  <si>
    <t>-708.552056403066 21.7079875453044 -688.311431969029</t>
  </si>
  <si>
    <t>-741.872220608682 56.8150684717257 -559.487321187002</t>
  </si>
  <si>
    <t>-729.623572302198 193.491257424115 -551.329571384133</t>
  </si>
  <si>
    <t>-660.033199566741 232.022846143881 -268.021132922204</t>
  </si>
  <si>
    <t>-419.177626577777 228.648608447329 -273.321948341994</t>
  </si>
  <si>
    <t>-744.203671336577 1.61688231698349 -555.142613815718</t>
  </si>
  <si>
    <t>-727.00154567613 157.688188631585 -103.73005041832</t>
  </si>
  <si>
    <t>-703.80728117267 180.595603377337 298.503607710897</t>
  </si>
  <si>
    <t>-737.837301330467 246.953195280267 740.0726001774</t>
  </si>
  <si>
    <t>-602.904693092071 194.978235549595 804.718496889068</t>
  </si>
  <si>
    <t>-662.101665958511 -34.3995420287499 306.571034399369</t>
  </si>
  <si>
    <t>-682.483174896095 -28.5230898358579 754.042691484553</t>
  </si>
  <si>
    <t>-576.085783766062 -119.535667250187 828.093887506866</t>
  </si>
  <si>
    <t>9763-20170724T105058.743280500.bin</t>
  </si>
  <si>
    <t>-721.746357517256 61.7162830331861 -97.5247646558355</t>
  </si>
  <si>
    <t>-738.501796334388 54.4725097065466 -211.905731414418</t>
  </si>
  <si>
    <t>-744.287793535097 47.797310413484 -310.1330958366</t>
  </si>
  <si>
    <t>-746.687271493139 41.4480900945407 -398.971038483094</t>
  </si>
  <si>
    <t>-745.910094824504 34.7238410328375 -487.810270945721</t>
  </si>
  <si>
    <t>-741.500921822532 24.871333499656 -611.924386072516</t>
  </si>
  <si>
    <t>-708.842014883623 21.8191957562865 -688.272980924225</t>
  </si>
  <si>
    <t>-742.319578404685 56.8094960639423 -559.459213064573</t>
  </si>
  <si>
    <t>-730.289983460969 193.50685361254 -551.221627976644</t>
  </si>
  <si>
    <t>-661.254198202016 232.150422415057 -267.792690549013</t>
  </si>
  <si>
    <t>-420.402122689908 228.523273470046 -273.082688933756</t>
  </si>
  <si>
    <t>-744.562761050236 1.60421442477855 -555.156514753375</t>
  </si>
  <si>
    <t>-727.588440914269 157.549377201994 -103.696807291547</t>
  </si>
  <si>
    <t>-704.244441300108 180.5554917997 298.522611457875</t>
  </si>
  <si>
    <t>-737.857591427985 246.974390730191 740.130125244848</t>
  </si>
  <si>
    <t>-602.946924746194 194.952396578987 804.783981012105</t>
  </si>
  <si>
    <t>-662.425398709315 -34.3796142198071 306.57263526508</t>
  </si>
  <si>
    <t>-682.43528935378 -28.4665143272723 754.047815613296</t>
  </si>
  <si>
    <t>-576.056848843324 -119.500476537353 828.100100413266</t>
  </si>
  <si>
    <t>9763-20170724T105058.780382900.bin</t>
  </si>
  <si>
    <t>-722.159507393011 61.6072722351594 -97.5001528393816</t>
  </si>
  <si>
    <t>-738.923533741357 54.3619420575299 -211.879865163471</t>
  </si>
  <si>
    <t>-744.702675670949 47.7089524184355 -310.109110942915</t>
  </si>
  <si>
    <t>-747.089553121709 41.3890861970222 -398.949310111101</t>
  </si>
  <si>
    <t>-746.293645232282 34.7039914583381 -487.791374744038</t>
  </si>
  <si>
    <t>-741.851080655368 24.9169898886282 -611.909599793118</t>
  </si>
  <si>
    <t>-709.101534315616 21.9360401915312 -688.222046798119</t>
  </si>
  <si>
    <t>-742.727368495498 56.829205167111 -559.429439278571</t>
  </si>
  <si>
    <t>-730.930430549808 193.540327223852 -551.118449317927</t>
  </si>
  <si>
    <t>-662.484664789922 232.210367514171 -267.5501703812</t>
  </si>
  <si>
    <t>-421.635183772881 228.329681820575 -272.782572629606</t>
  </si>
  <si>
    <t>-744.884800254455 1.61849739257673 -555.153185815706</t>
  </si>
  <si>
    <t>-728.103615638059 157.410783920551 -103.648237133648</t>
  </si>
  <si>
    <t>-704.614765489092 180.538025471651 298.555771242607</t>
  </si>
  <si>
    <t>-737.879472194603 246.953617178962 740.18651591664</t>
  </si>
  <si>
    <t>-602.947271888563 194.990650755303 804.842897495857</t>
  </si>
  <si>
    <t>-662.635595569184 -34.2736307846681 306.565907746086</t>
  </si>
  <si>
    <t>-682.319734210929 -28.255288940406 754.054932537021</t>
  </si>
  <si>
    <t>-576.1755074441 -119.553977806014 828.117455840607</t>
  </si>
  <si>
    <t>9763-20170724T105058.842565900.bin</t>
  </si>
  <si>
    <t>-722.903265216934 61.3996644049348 -97.4139311383743</t>
  </si>
  <si>
    <t>-739.668834514754 54.15474446236 -211.793294109829</t>
  </si>
  <si>
    <t>-745.413582132921 47.5261774666089 -310.026292820953</t>
  </si>
  <si>
    <t>-747.754860819001 41.2370966600199 -398.870180855693</t>
  </si>
  <si>
    <t>-746.897957515827 34.5925681463088 -487.714634043735</t>
  </si>
  <si>
    <t>-742.354527234802 24.8722217224281 -611.834345355034</t>
  </si>
  <si>
    <t>-709.423570700194 22.01034861633 -688.073321559783</t>
  </si>
  <si>
    <t>-743.351555604616 56.7588945208761 -559.34078963758</t>
  </si>
  <si>
    <t>-731.970088104394 193.494065959491 -550.924966425647</t>
  </si>
  <si>
    <t>-664.744214398562 232.020559389042 -267.045424025325</t>
  </si>
  <si>
    <t>-423.899355983597 227.990235508516 -272.374566844027</t>
  </si>
  <si>
    <t>-745.356159290126 1.54047155183844 -555.089847912839</t>
  </si>
  <si>
    <t>-728.98044956346 157.157078238315 -103.54677103359</t>
  </si>
  <si>
    <t>-705.335425592377 180.519474302052 298.634554572601</t>
  </si>
  <si>
    <t>-737.927122952025 246.943756434347 740.303653780317</t>
  </si>
  <si>
    <t>-602.97928334014 195.025084409448 804.963134442984</t>
  </si>
  <si>
    <t>-662.965704416109 -34.3233291233328 306.569614408044</t>
  </si>
  <si>
    <t>-682.270582596885 -28.2211570786976 754.078383501584</t>
  </si>
  <si>
    <t>-576.195646083215 -119.602934188561 828.137792568434</t>
  </si>
  <si>
    <t>9763-20170724T105058.909256700.bin</t>
  </si>
  <si>
    <t>-723.629434121709 61.2047297548033 -97.3775669722614</t>
  </si>
  <si>
    <t>-740.377600164699 53.957871790112 -211.759323462579</t>
  </si>
  <si>
    <t>-746.042461021137 47.3466422684703 -309.998224846731</t>
  </si>
  <si>
    <t>-748.284949547395 41.079070821085 -398.845967764366</t>
  </si>
  <si>
    <t>-747.302746444865 34.4623074884205 -487.691322888008</t>
  </si>
  <si>
    <t>-742.556117024583 24.7881818639307 -611.806922535711</t>
  </si>
  <si>
    <t>-709.439456774076 22.0359525183808 -687.969537523617</t>
  </si>
  <si>
    <t>-743.718421975425 56.657772007195 -559.306685894773</t>
  </si>
  <si>
    <t>-732.746152891508 193.423103286721 -550.755608109535</t>
  </si>
  <si>
    <t>-666.3870319749 231.780609754976 -266.649218547713</t>
  </si>
  <si>
    <t>-425.542543430779 227.980292788184 -272.159659925073</t>
  </si>
  <si>
    <t>-745.571178366473 1.4326941750503 -555.072983565845</t>
  </si>
  <si>
    <t>-729.871751938184 157.07855686271 -103.473756599634</t>
  </si>
  <si>
    <t>-706.082692903227 180.467561379392 298.697487971521</t>
  </si>
  <si>
    <t>-737.988483821501 246.896155401558 740.426399646677</t>
  </si>
  <si>
    <t>-602.986849779926 195.105584861971 805.076138838752</t>
  </si>
  <si>
    <t>-663.452426592715 -34.5002614877005 306.578234156616</t>
  </si>
  <si>
    <t>-682.365681778061 -28.502172270106 754.102518264771</t>
  </si>
  <si>
    <t>-575.687307291999 -119.205421475147 828.128929778693</t>
  </si>
  <si>
    <t>9763-20170724T105058.942346000.bin</t>
  </si>
  <si>
    <t>-723.904737196964 61.2139071319618 -97.3669494286422</t>
  </si>
  <si>
    <t>-740.64289890931 53.9570577795878 -211.74966685137</t>
  </si>
  <si>
    <t>-746.266404993714 47.3612222368511 -309.991733067538</t>
  </si>
  <si>
    <t>-748.458094073419 41.1161991781364 -398.842534586667</t>
  </si>
  <si>
    <t>-747.411317404653 34.5314423412719 -487.689461246103</t>
  </si>
  <si>
    <t>-742.559929963104 24.9110978133683 -611.805269248858</t>
  </si>
  <si>
    <t>-709.363265447569 22.2256221843404 -687.935410679671</t>
  </si>
  <si>
    <t>-743.808382711661 56.7592190265086 -559.293800873295</t>
  </si>
  <si>
    <t>-733.053268540265 193.531632720735 -550.68142616326</t>
  </si>
  <si>
    <t>-667.053644840323 231.896022455984 -266.492388746665</t>
  </si>
  <si>
    <t>-426.210975040309 228.122935329973 -272.102275870681</t>
  </si>
  <si>
    <t>-745.581397341409 1.52980808915095 -555.082205942836</t>
  </si>
  <si>
    <t>-730.278732844103 157.067404171933 -103.447472934052</t>
  </si>
  <si>
    <t>-706.402439192492 180.520544606914 298.714881403449</t>
  </si>
  <si>
    <t>-738.020786835275 246.865514872944 740.487511350109</t>
  </si>
  <si>
    <t>-602.979561408049 195.163929357249 805.126012659846</t>
  </si>
  <si>
    <t>-663.52596309651 -34.3535565393104 306.570013624502</t>
  </si>
  <si>
    <t>-682.243444680111 -28.3081877419302 754.100819367673</t>
  </si>
  <si>
    <t>-576.110013478121 -119.6164872915 828.167108314229</t>
  </si>
  <si>
    <t>9763-20170724T105059.015069800.bin</t>
  </si>
  <si>
    <t>-724.440275252678 61.0807882799108 -97.3274536798926</t>
  </si>
  <si>
    <t>-741.160827097378 53.8080133652327 -211.711680559111</t>
  </si>
  <si>
    <t>-746.696918694697 47.2238496490957 -309.95965199358</t>
  </si>
  <si>
    <t>-748.780082462031 40.998255451118 -398.814231232936</t>
  </si>
  <si>
    <t>-747.595241792902 34.4423240279341 -487.661676455309</t>
  </si>
  <si>
    <t>-742.51972236908 24.8721391774909 -611.772367679227</t>
  </si>
  <si>
    <t>-709.171282270522 22.301535061004 -687.840118263622</t>
  </si>
  <si>
    <t>-743.941739370183 56.7012003802965 -559.253758335626</t>
  </si>
  <si>
    <t>-733.575675219072 193.502163598586 -550.530863464125</t>
  </si>
  <si>
    <t>-668.320066418133 231.838563280289 -266.166450552786</t>
  </si>
  <si>
    <t>-427.480427216805 228.097600957722 -271.924610857514</t>
  </si>
  <si>
    <t>-745.564624895906 1.46563238393583 -555.060943270709</t>
  </si>
  <si>
    <t>-731.014643855026 157.015748728685 -103.38720298949</t>
  </si>
  <si>
    <t>-706.880123916804 180.643632045141 298.749461034331</t>
  </si>
  <si>
    <t>-738.076236141118 246.904636927628 740.585834032725</t>
  </si>
  <si>
    <t>-603.057827137103 195.130305345002 805.213789294936</t>
  </si>
  <si>
    <t>-663.868741760112 -34.5404491627294 306.58160528532</t>
  </si>
  <si>
    <t>-682.393102940275 -28.7107872574463 754.132386870014</t>
  </si>
  <si>
    <t>-575.621893034969 -119.298702444588 828.166337307505</t>
  </si>
  <si>
    <t>9763-20170724T105059.041118300.bin</t>
  </si>
  <si>
    <t>-724.616212534143 61.0247333624413 -97.3043594730535</t>
  </si>
  <si>
    <t>-741.320254404657 53.7471725291789 -211.690695862518</t>
  </si>
  <si>
    <t>-746.820901100622 47.1633199275302 -309.94064651167</t>
  </si>
  <si>
    <t>-748.863069920984 40.9392219787019 -398.796328199386</t>
  </si>
  <si>
    <t>-747.628449638076 34.3861584930046 -487.643261415555</t>
  </si>
  <si>
    <t>-742.474041789616 24.8218733018041 -611.751110705861</t>
  </si>
  <si>
    <t>-709.062643551121 22.2972209242266 -687.792737327808</t>
  </si>
  <si>
    <t>-743.961077898968 56.6492196414792 -559.233364279944</t>
  </si>
  <si>
    <t>-733.803028884893 193.464511353613 -550.477648228243</t>
  </si>
  <si>
    <t>-668.902428470337 231.824404363659 -266.034937417169</t>
  </si>
  <si>
    <t>-428.063648102941 228.04946663487 -271.804212051049</t>
  </si>
  <si>
    <t>-745.523396327647 1.41196117079676 -555.041402499775</t>
  </si>
  <si>
    <t>-731.2541338863 156.915009073733 -103.355787811434</t>
  </si>
  <si>
    <t>-707.031623142916 180.625815665373 298.770645646681</t>
  </si>
  <si>
    <t>-738.1115744806 246.848087557729 740.626791311769</t>
  </si>
  <si>
    <t>-603.025187887449 195.232183741537 805.239305746729</t>
  </si>
  <si>
    <t>-663.991813873614 -34.4993767483645 306.598770623395</t>
  </si>
  <si>
    <t>-682.334088490514 -28.6297531685718 754.139243570008</t>
  </si>
  <si>
    <t>-575.629886639528 -119.294570083315 828.175683148893</t>
  </si>
  <si>
    <t>9763-20170724T105059.114333600.bin</t>
  </si>
  <si>
    <t>-724.747253393625 60.9940399986401 -97.2707463494761</t>
  </si>
  <si>
    <t>-741.467889154155 53.6944442378283 -211.653215909999</t>
  </si>
  <si>
    <t>-746.940653294335 47.101380531652 -309.904160343715</t>
  </si>
  <si>
    <t>-748.940409533509 40.8720223261869 -398.760462530754</t>
  </si>
  <si>
    <t>-747.646206160899 34.3179064433887 -487.606519688662</t>
  </si>
  <si>
    <t>-742.390228175887 24.7564175894329 -611.710288943129</t>
  </si>
  <si>
    <t>-708.878376573478 22.309606998663 -687.710286198272</t>
  </si>
  <si>
    <t>-743.974691017682 56.5838999824509 -559.195372746081</t>
  </si>
  <si>
    <t>-734.19634849561 193.418834642818 -550.372742082374</t>
  </si>
  <si>
    <t>-670.045753230808 231.838840754333 -265.768082283706</t>
  </si>
  <si>
    <t>-429.21172104956 227.876802003035 -271.613629563751</t>
  </si>
  <si>
    <t>-745.431512119663 1.34396000380525 -555.001167146929</t>
  </si>
  <si>
    <t>-731.497880901872 156.841424803114 -103.320977009559</t>
  </si>
  <si>
    <t>-707.217402093183 180.68196327236 298.794399163594</t>
  </si>
  <si>
    <t>-738.149884954383 246.879532186092 740.656876728156</t>
  </si>
  <si>
    <t>-603.079835204724 195.231754946447 805.277864802364</t>
  </si>
  <si>
    <t>-664.021510347914 -34.4967339031459 306.617337861043</t>
  </si>
  <si>
    <t>-682.304424247613 -28.6610816767657 754.152533934467</t>
  </si>
  <si>
    <t>-575.525681739465 -119.241834554149 828.184389234383</t>
  </si>
  <si>
    <t>9763-20170724T105059.143408000.bin</t>
  </si>
  <si>
    <t>-724.797032939907 61.0060468845697 -97.2572041085464</t>
  </si>
  <si>
    <t>-741.528767780106 53.7017266505843 -211.637826512142</t>
  </si>
  <si>
    <t>-746.996130010124 47.1087285751692 -309.888961304185</t>
  </si>
  <si>
    <t>-748.984943990221 40.8808401407493 -398.745559540083</t>
  </si>
  <si>
    <t>-747.673634040556 34.3295485524277 -487.591550304515</t>
  </si>
  <si>
    <t>-742.387463877765 24.7737650098802 -611.694436748073</t>
  </si>
  <si>
    <t>-708.835491838373 22.3614299401563 -687.677983816986</t>
  </si>
  <si>
    <t>-744.006615104671 56.5993332656371 -559.179483536116</t>
  </si>
  <si>
    <t>-734.386176624212 193.444129884639 -550.316876616707</t>
  </si>
  <si>
    <t>-670.665414791162 231.925001352055 -265.6240305417</t>
  </si>
  <si>
    <t>-429.836147251382 227.801724961361 -271.551490702688</t>
  </si>
  <si>
    <t>-745.420617419139 1.35825508443304 -554.986257620896</t>
  </si>
  <si>
    <t>-731.647868240098 156.840760625228 -103.295437793639</t>
  </si>
  <si>
    <t>-707.245533286503 180.709183243143 298.810906641249</t>
  </si>
  <si>
    <t>-738.17755160175 246.892719038914 740.682354869794</t>
  </si>
  <si>
    <t>-603.100683452411 195.253881145005 805.296387952664</t>
  </si>
  <si>
    <t>-663.97415120517 -34.410713482647 306.620180849475</t>
  </si>
  <si>
    <t>-682.221877557858 -28.542407902627 754.150356803949</t>
  </si>
  <si>
    <t>-575.599776261138 -119.295146654505 828.197441424535</t>
  </si>
  <si>
    <t>9763-20170724T105059.210353400.bin</t>
  </si>
  <si>
    <t>-724.847026789291 60.9454250121005 -97.2390100938437</t>
  </si>
  <si>
    <t>-741.606749925557 53.6236897884357 -211.614380672146</t>
  </si>
  <si>
    <t>-747.080427043187 47.0139396453512 -309.864030583308</t>
  </si>
  <si>
    <t>-749.067795227651 40.7697320804868 -398.719670047111</t>
  </si>
  <si>
    <t>-747.74771864155 34.2015223248177 -487.564210137011</t>
  </si>
  <si>
    <t>-742.441882254334 24.6208882742612 -611.664366944821</t>
  </si>
  <si>
    <t>-708.829651275561 22.2657896684154 -687.622948668835</t>
  </si>
  <si>
    <t>-744.099205053274 56.4575554003807 -559.15739227717</t>
  </si>
  <si>
    <t>-734.801083153313 193.320950721572 -550.203826012356</t>
  </si>
  <si>
    <t>-672.069796989644 232.005153682499 -265.318745851954</t>
  </si>
  <si>
    <t>-431.256378914936 227.091500070042 -271.28940281931</t>
  </si>
  <si>
    <t>-745.454265599459 1.21596364312563 -554.950696388768</t>
  </si>
  <si>
    <t>-731.816260960004 156.807572940599 -103.270172013706</t>
  </si>
  <si>
    <t>-707.251192685364 180.629378170314 298.829058344425</t>
  </si>
  <si>
    <t>-738.232527330589 246.895093053396 740.705828695627</t>
  </si>
  <si>
    <t>-603.147624128598 195.269638784003 805.313817228455</t>
  </si>
  <si>
    <t>-663.983921149029 -34.3717458972351 306.639975204335</t>
  </si>
  <si>
    <t>-682.211699986174 -28.6209505943154 754.160814890412</t>
  </si>
  <si>
    <t>-575.549156596636 -119.325069639495 828.208999247894</t>
  </si>
  <si>
    <t>9763-20170724T105059.245444100.bin</t>
  </si>
  <si>
    <t>-724.810355566424 60.9827249781026 -97.2393082438092</t>
  </si>
  <si>
    <t>-741.580950035345 53.6634733453441 -211.613198859717</t>
  </si>
  <si>
    <t>-747.059925930078 47.0485026951987 -309.862291812055</t>
  </si>
  <si>
    <t>-749.050793446954 40.7961973475255 -398.717244772283</t>
  </si>
  <si>
    <t>-747.732813234455 34.2166881901787 -487.560824860568</t>
  </si>
  <si>
    <t>-742.428441208812 24.6175804607476 -611.659746429735</t>
  </si>
  <si>
    <t>-708.796144907281 22.2858532311407 -687.610191883505</t>
  </si>
  <si>
    <t>-744.091251688614 56.4622683233365 -559.157785240301</t>
  </si>
  <si>
    <t>-734.906940569013 193.326000183302 -550.148934273526</t>
  </si>
  <si>
    <t>-672.853694432625 232.076573145466 -265.124365857825</t>
  </si>
  <si>
    <t>-432.050473460271 226.67929025105 -271.090068743564</t>
  </si>
  <si>
    <t>-745.43383710712 1.22102015725159 -554.94224788353</t>
  </si>
  <si>
    <t>-731.809443361713 156.795073545712 -103.266928389551</t>
  </si>
  <si>
    <t>-707.292918840454 180.674639212641 298.831793970426</t>
  </si>
  <si>
    <t>-738.258157517569 246.89587060498 740.711783450578</t>
  </si>
  <si>
    <t>-603.194706015042 195.21678566318 805.321823165708</t>
  </si>
  <si>
    <t>-663.938931479128 -34.320864316124 306.641742815508</t>
  </si>
  <si>
    <t>-682.141527759125 -28.5222949125723 754.157611577891</t>
  </si>
  <si>
    <t>-575.671279138746 -119.441767070083 828.218677340278</t>
  </si>
  <si>
    <t>9763-20170724T105059.309346100.bin</t>
  </si>
  <si>
    <t>-724.733690585618 60.9199368818604 -97.2341619826638</t>
  </si>
  <si>
    <t>-741.512620690887 53.601675073231 -211.606991317028</t>
  </si>
  <si>
    <t>-746.983614646408 47.0029229590255 -309.857492195317</t>
  </si>
  <si>
    <t>-748.961003207986 40.7715493731503 -398.71428240227</t>
  </si>
  <si>
    <t>-747.622972921187 34.2196749805241 -487.559726440087</t>
  </si>
  <si>
    <t>-742.283617768298 24.6659678863678 -611.660612192671</t>
  </si>
  <si>
    <t>-708.627842745934 22.3983975959243 -687.602447959311</t>
  </si>
  <si>
    <t>-743.981018279367 56.4918404051141 -559.148185974274</t>
  </si>
  <si>
    <t>-735.023195429015 193.36437980866 -549.966324849322</t>
  </si>
  <si>
    <t>-674.421912718604 231.976619984594 -264.610659535521</t>
  </si>
  <si>
    <t>-433.640212253772 225.684194319755 -270.563532523825</t>
  </si>
  <si>
    <t>-745.285413971411 1.24831147706368 -554.951643650851</t>
  </si>
  <si>
    <t>-731.784176303102 156.710450267217 -103.25291642058</t>
  </si>
  <si>
    <t>-707.256671383059 180.683365986886 298.839600122654</t>
  </si>
  <si>
    <t>-738.312019848355 246.83524933694 740.720475585946</t>
  </si>
  <si>
    <t>-603.195335609176 195.292247954204 805.327704195422</t>
  </si>
  <si>
    <t>-663.888939762898 -34.402282648517 306.639723230701</t>
  </si>
  <si>
    <t>-682.07799293985 -28.48780101328 754.157871241835</t>
  </si>
  <si>
    <t>-575.407210588008 -119.178748425507 828.210734314205</t>
  </si>
  <si>
    <t>9763-20170724T105059.343445600.bin</t>
  </si>
  <si>
    <t>-724.704765467644 60.9351003678005 -97.2375588612791</t>
  </si>
  <si>
    <t>-741.497800459795 53.6261537312355 -211.608839837659</t>
  </si>
  <si>
    <t>-746.970451333336 47.0528010973592 -309.861124688075</t>
  </si>
  <si>
    <t>-748.944719581054 40.8516200035494 -398.719860622316</t>
  </si>
  <si>
    <t>-747.599297405201 34.3372182998892 -487.568066097156</t>
  </si>
  <si>
    <t>-742.244212313336 24.8442901753458 -611.672940140117</t>
  </si>
  <si>
    <t>-708.585941305563 22.6219967513732 -687.614990981624</t>
  </si>
  <si>
    <t>-743.964824043717 56.644797386635 -559.145888075873</t>
  </si>
  <si>
    <t>-735.153544622361 193.512867286127 -549.847001489271</t>
  </si>
  <si>
    <t>-675.285944716772 232.119454623225 -264.335927271211</t>
  </si>
  <si>
    <t>-434.518672225755 225.284688273412 -270.274323290526</t>
  </si>
  <si>
    <t>-745.236452194098 1.39848790247333 -554.97498126504</t>
  </si>
  <si>
    <t>-731.817026790248 156.72591609545 -103.239194895253</t>
  </si>
  <si>
    <t>-707.211522887786 180.677397622425 298.84983652391</t>
  </si>
  <si>
    <t>-738.336083030434 246.867606827134 740.729025722325</t>
  </si>
  <si>
    <t>-603.251420716036 195.241065362802 805.336770487421</t>
  </si>
  <si>
    <t>-663.80757978619 -34.3341374916442 306.630207310219</t>
  </si>
  <si>
    <t>-681.995745699789 -28.3616732783553 754.153445527499</t>
  </si>
  <si>
    <t>-575.526226083209 -119.278748742126 828.218603777699</t>
  </si>
  <si>
    <t>9763-20170724T105059.411294500.bin</t>
  </si>
  <si>
    <t>-724.650151912576 60.7698364264459 -97.2324392984303</t>
  </si>
  <si>
    <t>-741.476104157515 53.4789054444516 -211.600016427868</t>
  </si>
  <si>
    <t>-746.962882109254 46.9793952259333 -309.856298284941</t>
  </si>
  <si>
    <t>-748.943300931093 40.8684970663464 -398.721299649078</t>
  </si>
  <si>
    <t>-747.59683311103 34.468761062026 -487.577716875058</t>
  </si>
  <si>
    <t>-742.232464130604 25.1614366866982 -611.696365541781</t>
  </si>
  <si>
    <t>-708.553202469722 23.0595619114431 -687.632559403287</t>
  </si>
  <si>
    <t>-743.990301894725 56.8839970591428 -559.123468628811</t>
  </si>
  <si>
    <t>-735.475136277081 193.75565611987 -549.552732849745</t>
  </si>
  <si>
    <t>-677.090477168807 232.42017421115 -263.742372200081</t>
  </si>
  <si>
    <t>-436.35945912118 224.405704411316 -269.679414807241</t>
  </si>
  <si>
    <t>-745.195786107108 1.63028918222858 -555.032277476011</t>
  </si>
  <si>
    <t>-731.815389702786 156.535912745535 -103.21182691197</t>
  </si>
  <si>
    <t>-707.25088100666 180.62243650512 298.871674867697</t>
  </si>
  <si>
    <t>-738.386344573379 246.866502188339 740.745974688282</t>
  </si>
  <si>
    <t>-603.332570489474 195.168018570958 805.360503010141</t>
  </si>
  <si>
    <t>-663.74277026349 -34.4307469573539 306.625352818102</t>
  </si>
  <si>
    <t>-682.018548417251 -28.4896117784872 754.153066322555</t>
  </si>
  <si>
    <t>-575.498192570167 -119.354108685343 828.209498518973</t>
  </si>
  <si>
    <t>9763-20170724T105059.443379800.bin</t>
  </si>
  <si>
    <t>-724.625522093298 60.7295027413663 -97.2213189868264</t>
  </si>
  <si>
    <t>-741.464217460436 53.449334792319 -211.58773614009</t>
  </si>
  <si>
    <t>-746.942047623803 47.003059984261 -309.848073872093</t>
  </si>
  <si>
    <t>-748.905869150048 40.9581097090022 -398.717830924607</t>
  </si>
  <si>
    <t>-747.53376019019 34.6424084899936 -487.580005756785</t>
  </si>
  <si>
    <t>-742.123606391045 25.4720165996814 -611.706651611686</t>
  </si>
  <si>
    <t>-708.425354315695 23.457501617256 -687.636966828388</t>
  </si>
  <si>
    <t>-743.926957279478 57.137107375323 -559.100827013691</t>
  </si>
  <si>
    <t>-735.590434016678 194.003688142099 -549.378940382098</t>
  </si>
  <si>
    <t>-677.958933398068 232.676308713088 -263.416980256539</t>
  </si>
  <si>
    <t>-437.250622491144 224.067525043566 -269.441719623911</t>
  </si>
  <si>
    <t>-745.081758675315 1.87788910700056 -555.0685752869</t>
  </si>
  <si>
    <t>-731.838475170404 156.491342023689 -103.190077740493</t>
  </si>
  <si>
    <t>-707.265680709883 180.619412794121 298.890348633004</t>
  </si>
  <si>
    <t>-738.406237053847 246.874500251495 740.758646828462</t>
  </si>
  <si>
    <t>-603.372113318882 195.130754106217 805.378112905261</t>
  </si>
  <si>
    <t>-663.648236604653 -34.3609168178498 306.626881561879</t>
  </si>
  <si>
    <t>-681.911817826483 -28.2984516415283 754.143868436462</t>
  </si>
  <si>
    <t>-575.704921993516 -119.516143547245 828.21627735533</t>
  </si>
  <si>
    <t>9763-20170724T105059.507537500.bin</t>
  </si>
  <si>
    <t>-724.705204426869 60.4546202225763 -97.1989951779889</t>
  </si>
  <si>
    <t>-741.545609781125 53.1966853174229 -211.566506243519</t>
  </si>
  <si>
    <t>-746.984467192769 46.8383199768107 -309.834872547062</t>
  </si>
  <si>
    <t>-748.895572356157 40.9007498212418 -398.713125003917</t>
  </si>
  <si>
    <t>-747.4528088398 34.7215620200134 -487.583544898424</t>
  </si>
  <si>
    <t>-741.924575064916 25.772555822982 -611.721309628806</t>
  </si>
  <si>
    <t>-708.182204496498 23.9511317964552 -687.636742890859</t>
  </si>
  <si>
    <t>-743.841836444011 57.3448653916412 -559.063666149548</t>
  </si>
  <si>
    <t>-735.898568751053 194.223663628136 -549.048908138166</t>
  </si>
  <si>
    <t>-679.880548064476 233.013867317479 -262.782479386103</t>
  </si>
  <si>
    <t>-439.22038663469 223.176735306937 -268.850202285981</t>
  </si>
  <si>
    <t>-744.872835466546 2.07635544523373 -555.125316706103</t>
  </si>
  <si>
    <t>-732.009596150333 156.166725403675 -103.1329216109</t>
  </si>
  <si>
    <t>-707.373026878973 180.446104697954 298.934496030413</t>
  </si>
  <si>
    <t>-738.465520058721 246.752743732331 740.791265429255</t>
  </si>
  <si>
    <t>-603.37582122803 195.156003733482 805.411932248218</t>
  </si>
  <si>
    <t>-663.712297613446 -34.5150873102034 306.628668404293</t>
  </si>
  <si>
    <t>-681.864462584897 -28.2758162313844 754.14032479017</t>
  </si>
  <si>
    <t>-575.583640350041 -119.410726596445 828.208358746856</t>
  </si>
  <si>
    <t>9763-20170724T105059.547638900.bin</t>
  </si>
  <si>
    <t>-724.751659022864 60.3268045285265 -97.1833775529444</t>
  </si>
  <si>
    <t>-741.58850523656 53.0764605209827 -211.551931381185</t>
  </si>
  <si>
    <t>-747.01014287155 46.7545681698418 -309.823500308801</t>
  </si>
  <si>
    <t>-748.899613395989 40.8619802073563 -398.70519520324</t>
  </si>
  <si>
    <t>-747.428799126532 34.7402577983501 -487.579219929229</t>
  </si>
  <si>
    <t>-741.854392817588 25.8849146139246 -611.721617650204</t>
  </si>
  <si>
    <t>-708.094543980146 24.1541857163288 -687.631445214573</t>
  </si>
  <si>
    <t>-743.816068280845 57.4177472564443 -559.042031709572</t>
  </si>
  <si>
    <t>-736.062867759113 194.290529428503 -548.911255458457</t>
  </si>
  <si>
    <t>-680.994315362257 233.145187102701 -262.469293988925</t>
  </si>
  <si>
    <t>-440.359652362181 222.622853164262 -268.390986221361</t>
  </si>
  <si>
    <t>-744.79876589914 2.14560402146162 -555.143524043113</t>
  </si>
  <si>
    <t>-732.0965513021 156.019061604174 -103.10795120927</t>
  </si>
  <si>
    <t>-707.454224554552 180.365119710612 298.955071670273</t>
  </si>
  <si>
    <t>-738.48970285485 246.720700688487 740.800597726855</t>
  </si>
  <si>
    <t>-603.364558016385 195.21875667058 805.423007584954</t>
  </si>
  <si>
    <t>-663.782569522154 -34.5902113361149 306.634729449068</t>
  </si>
  <si>
    <t>-681.857508498031 -28.2922211891484 754.14484261846</t>
  </si>
  <si>
    <t>-575.562823458014 -119.414014786597 828.209452706526</t>
  </si>
  <si>
    <t>9763-20170724T105059.609811000.bin</t>
  </si>
  <si>
    <t>-724.866864993356 60.0302779390788 -97.1629495153963</t>
  </si>
  <si>
    <t>-741.71357511747 52.7777791038027 -211.52988425846</t>
  </si>
  <si>
    <t>-747.112577950668 46.5247623540856 -309.807102217718</t>
  </si>
  <si>
    <t>-748.968033081008 40.7228281725554 -398.69549764449</t>
  </si>
  <si>
    <t>-747.449054301297 34.7213689204755 -487.576951413581</t>
  </si>
  <si>
    <t>-741.792143679411 26.0656023404929 -611.729669949458</t>
  </si>
  <si>
    <t>-707.988926270622 24.499712010854 -687.623777470763</t>
  </si>
  <si>
    <t>-743.842442487042 57.5145101897976 -559.003274724843</t>
  </si>
  <si>
    <t>-736.386839119257 194.385586934698 -548.637366906744</t>
  </si>
  <si>
    <t>-683.47582587688 233.250708345767 -261.790504164503</t>
  </si>
  <si>
    <t>-442.896005701721 221.423267672288 -267.477798054401</t>
  </si>
  <si>
    <t>-744.720501219943 2.23477282836416 -555.189244119484</t>
  </si>
  <si>
    <t>-732.244382348662 155.693536420002 -103.083048356068</t>
  </si>
  <si>
    <t>-707.682171930252 180.226162986043 298.973576554839</t>
  </si>
  <si>
    <t>-738.539262743342 246.721939836746 740.820496578258</t>
  </si>
  <si>
    <t>-603.450659714186 195.130406509316 805.447870907872</t>
  </si>
  <si>
    <t>-664.020680271548 -34.7919610431184 306.653472936725</t>
  </si>
  <si>
    <t>-681.90863596031 -28.4382904325626 754.175616328695</t>
  </si>
  <si>
    <t>-575.402514572643 -119.337055695349 828.210666328443</t>
  </si>
  <si>
    <t>9763-20170724T105059.647911300.bin</t>
  </si>
  <si>
    <t>-724.9974457619 59.8986436664584 -97.1516299629017</t>
  </si>
  <si>
    <t>-741.870308663958 52.6510753071598 -211.515205422519</t>
  </si>
  <si>
    <t>-747.272290356686 46.4347496585415 -309.794558996529</t>
  </si>
  <si>
    <t>-749.122283651662 40.6791884619818 -398.685987876486</t>
  </si>
  <si>
    <t>-747.589246254058 34.7376998284155 -487.571229621058</t>
  </si>
  <si>
    <t>-741.903166030279 26.1801033273175 -611.729441043101</t>
  </si>
  <si>
    <t>-708.083350387185 24.6924871849253 -687.617608893533</t>
  </si>
  <si>
    <t>-743.997416614038 57.5876783398392 -558.979974573997</t>
  </si>
  <si>
    <t>-736.695145207161 194.462111242124 -548.496139859662</t>
  </si>
  <si>
    <t>-684.778366829231 233.229685343968 -261.45441886481</t>
  </si>
  <si>
    <t>-444.222523520757 220.942864974003 -267.179388203163</t>
  </si>
  <si>
    <t>-744.813239693291 2.30410115202153 -555.207000687757</t>
  </si>
  <si>
    <t>-732.453630679595 155.596244887394 -103.061082393089</t>
  </si>
  <si>
    <t>-707.780115356265 180.150476535 298.987399295399</t>
  </si>
  <si>
    <t>-738.568326139531 246.705277721066 740.835656628452</t>
  </si>
  <si>
    <t>-603.483031140858 195.104360033445 805.462283647685</t>
  </si>
  <si>
    <t>-664.1090913221 -34.8436245495861 306.647682422047</t>
  </si>
  <si>
    <t>-681.947421968455 -28.5499122918152 754.187813954626</t>
  </si>
  <si>
    <t>-575.423308170623 -119.43350959598 828.215454278929</t>
  </si>
  <si>
    <t>9763-20170724T105059.707006000.bin</t>
  </si>
  <si>
    <t>-725.424086255435 59.5776296276017 -97.1112302477028</t>
  </si>
  <si>
    <t>-742.357637869175 52.3316194354916 -211.465942077236</t>
  </si>
  <si>
    <t>-747.793961148994 46.1891174444227 -309.747974949126</t>
  </si>
  <si>
    <t>-749.666801249685 40.529705202998 -398.645106872606</t>
  </si>
  <si>
    <t>-748.147713255742 34.7149331040043 -487.538941497438</t>
  </si>
  <si>
    <t>-742.471348783062 26.3677710162999 -611.71196945046</t>
  </si>
  <si>
    <t>-708.620487559968 25.0522250888605 -687.58953917341</t>
  </si>
  <si>
    <t>-744.643088420793 57.6865722282839 -558.913032034302</t>
  </si>
  <si>
    <t>-737.769925094985 194.566846265257 -548.203583315459</t>
  </si>
  <si>
    <t>-687.506967823294 233.106841208947 -260.836928139816</t>
  </si>
  <si>
    <t>-446.98469764123 220.096213687605 -266.368213381712</t>
  </si>
  <si>
    <t>-745.29553906277 2.39522499149803 -555.226094485802</t>
  </si>
  <si>
    <t>-732.997757199233 155.337355516861 -103.003065742523</t>
  </si>
  <si>
    <t>-708.111122987761 179.909543348121 299.03117727326</t>
  </si>
  <si>
    <t>-738.627042040351 246.594240166168 740.867398106503</t>
  </si>
  <si>
    <t>-603.49097183707 195.13093863228 805.49769989814</t>
  </si>
  <si>
    <t>-664.33533339764 -34.9638919236872 306.660356590497</t>
  </si>
  <si>
    <t>-681.96294209608 -28.6250625794905 754.205326041781</t>
  </si>
  <si>
    <t>-575.267094309858 -119.330090404807 828.204536831747</t>
  </si>
  <si>
    <t>9763-20170724T105059.745107000.bin</t>
  </si>
  <si>
    <t>-725.582626164693 59.5300366695151 -97.1004966428061</t>
  </si>
  <si>
    <t>-742.545008275436 52.2790758471053 -211.45053695387</t>
  </si>
  <si>
    <t>-747.997569996902 46.1730215184018 -309.733991812641</t>
  </si>
  <si>
    <t>-749.881225982965 40.5628486538963 -398.634024923814</t>
  </si>
  <si>
    <t>-748.36860186077 34.8141375162627 -487.53242308891</t>
  </si>
  <si>
    <t>-742.696525933279 26.5771703300759 -611.712756355432</t>
  </si>
  <si>
    <t>-708.830368976498 25.3587856325662 -687.585168512771</t>
  </si>
  <si>
    <t>-744.90699490098 57.8495304640021 -558.887873128746</t>
  </si>
  <si>
    <t>-738.237081053024 194.723632971754 -548.040682230796</t>
  </si>
  <si>
    <t>-688.472447265822 233.240591192734 -260.584453860647</t>
  </si>
  <si>
    <t>-447.967976843553 219.945310099461 -266.211899916934</t>
  </si>
  <si>
    <t>-745.477963809485 2.55425245055267 -555.246328019585</t>
  </si>
  <si>
    <t>-733.235851028668 155.23232796402 -102.979536449503</t>
  </si>
  <si>
    <t>-708.294646100469 179.886553042656 299.046337407595</t>
  </si>
  <si>
    <t>-738.657315771321 246.578333553467 740.892073954086</t>
  </si>
  <si>
    <t>-603.489982751384 195.189283675348 805.51613744389</t>
  </si>
  <si>
    <t>-664.362746968027 -34.7227028374764 306.654754534439</t>
  </si>
  <si>
    <t>-681.728702340437 -28.1521534037743 754.196210855604</t>
  </si>
  <si>
    <t>-575.707648631703 -119.618379807173 828.228431028297</t>
  </si>
  <si>
    <t>9763-20170724T105059.812299300.bin</t>
  </si>
  <si>
    <t>-726.101954918158 59.2160197611322 -97.0858637388925</t>
  </si>
  <si>
    <t>-743.130498096388 51.9310450802207 -211.424025912008</t>
  </si>
  <si>
    <t>-748.611500974454 45.8816757497082 -309.709336946043</t>
  </si>
  <si>
    <t>-750.508223992771 40.3561331065341 -398.614400545608</t>
  </si>
  <si>
    <t>-748.995630937106 34.7270005685953 -487.520359686685</t>
  </si>
  <si>
    <t>-743.308930536164 26.6941471764173 -611.713639887378</t>
  </si>
  <si>
    <t>-709.420458802475 25.6864082951381 -687.57914508585</t>
  </si>
  <si>
    <t>-745.612802565512 57.8801268988027 -558.841598233315</t>
  </si>
  <si>
    <t>-739.373637840196 194.7610580241 -547.765705566457</t>
  </si>
  <si>
    <t>-690.126850136625 233.314725991902 -260.225078898663</t>
  </si>
  <si>
    <t>-449.647742755583 219.608844852405 -265.954754807422</t>
  </si>
  <si>
    <t>-746.009896179498 2.57795272061844 -555.2829345376</t>
  </si>
  <si>
    <t>-733.939704648874 154.981412673286 -102.946922854941</t>
  </si>
  <si>
    <t>-708.847794318285 179.790199291396 299.060076210196</t>
  </si>
  <si>
    <t>-738.713796292441 246.627121046011 740.928457048375</t>
  </si>
  <si>
    <t>-603.594160329353 195.097321560495 805.54000620425</t>
  </si>
  <si>
    <t>-664.874569125853 -34.9412846850532 306.685794529081</t>
  </si>
  <si>
    <t>-681.88931683901 -28.574801043688 754.217593220151</t>
  </si>
  <si>
    <t>-575.200376939774 -119.282377795039 828.223735941599</t>
  </si>
  <si>
    <t>9763-20170724T105059.845387500.bin</t>
  </si>
  <si>
    <t>-726.31503765718 59.1263320529827 -97.0998706790512</t>
  </si>
  <si>
    <t>-743.359656953681 51.8282164830196 -211.434645600877</t>
  </si>
  <si>
    <t>-748.849481427978 45.7961627022414 -309.72055982188</t>
  </si>
  <si>
    <t>-750.751935386004 40.2969265419963 -398.62716499793</t>
  </si>
  <si>
    <t>-749.242232129604 34.7054504467119 -487.535530794179</t>
  </si>
  <si>
    <t>-743.556832205705 26.7374123288555 -611.733035822345</t>
  </si>
  <si>
    <t>-709.677368371199 25.8314377433489 -687.603887263631</t>
  </si>
  <si>
    <t>-745.893094259917 57.89588079187 -558.846361748265</t>
  </si>
  <si>
    <t>-739.835088222854 194.777363233711 -547.699274211115</t>
  </si>
  <si>
    <t>-690.899530351388 233.297752661514 -260.101142064102</t>
  </si>
  <si>
    <t>-450.42954799617 219.484975724643 -265.955813232957</t>
  </si>
  <si>
    <t>-746.224460583053 2.59154024105214 -555.313400623644</t>
  </si>
  <si>
    <t>-734.286553320159 154.841162456109 -102.945430118363</t>
  </si>
  <si>
    <t>-709.150146908941 179.795985918264 299.049729098039</t>
  </si>
  <si>
    <t>-738.747094070575 246.592073519412 740.942442260019</t>
  </si>
  <si>
    <t>-603.597535101283 195.123316189333 805.540169173596</t>
  </si>
  <si>
    <t>-665.076786921299 -34.8337968416281 306.678140570071</t>
  </si>
  <si>
    <t>-681.784942709403 -28.3941849091968 754.21789102762</t>
  </si>
  <si>
    <t>-575.396056723002 -119.430686669729 828.251973293006</t>
  </si>
  <si>
    <t>9763-20170724T105059.913192600.bin</t>
  </si>
  <si>
    <t>-726.715045178197 58.7499322318383 -97.1362679892401</t>
  </si>
  <si>
    <t>-743.76982556203 51.4305809437167 -211.468153457619</t>
  </si>
  <si>
    <t>-749.281206290744 45.441888228446 -309.755594800524</t>
  </si>
  <si>
    <t>-751.207272277961 40.0075214747906 -398.665646504581</t>
  </si>
  <si>
    <t>-749.725100918802 34.5072556964647 -487.580041978378</t>
  </si>
  <si>
    <t>-744.081590296667 26.6952857653514 -611.789301208535</t>
  </si>
  <si>
    <t>-710.23259474897 25.9684275776935 -687.675678754742</t>
  </si>
  <si>
    <t>-746.458344966541 57.7875514974946 -558.865507523975</t>
  </si>
  <si>
    <t>-740.686368402437 194.669771774024 -547.595914572621</t>
  </si>
  <si>
    <t>-692.472013984938 233.144441494439 -259.869810945535</t>
  </si>
  <si>
    <t>-452.029832296214 218.903186648644 -265.838408468006</t>
  </si>
  <si>
    <t>-746.671851480271 2.47841636624867 -555.396660797237</t>
  </si>
  <si>
    <t>-734.754473961123 154.460179820607 -102.968346194836</t>
  </si>
  <si>
    <t>-709.664111164723 179.641337602588 299.015565709916</t>
  </si>
  <si>
    <t>-738.796845989383 246.573108363769 740.932547761984</t>
  </si>
  <si>
    <t>-603.623144336565 195.154530422159 805.519794671577</t>
  </si>
  <si>
    <t>-665.612039979676 -35.1238607034986 306.675761980869</t>
  </si>
  <si>
    <t>-681.966234323606 -28.8685200433524 754.247771490681</t>
  </si>
  <si>
    <t>-574.79061487842 -119.004723698947 828.248803168213</t>
  </si>
  <si>
    <t>9763-20170724T105059.946280800.bin</t>
  </si>
  <si>
    <t>-726.856558334586 58.6967017434765 -97.1430970790043</t>
  </si>
  <si>
    <t>-743.911445427571 51.3738078736505 -211.474770155305</t>
  </si>
  <si>
    <t>-749.435188732359 45.4099032877073 -309.76287337672</t>
  </si>
  <si>
    <t>-751.377033795018 40.0093517808161 -398.674665399455</t>
  </si>
  <si>
    <t>-749.915274920512 34.5558401978635 -487.592421331318</t>
  </si>
  <si>
    <t>-744.304628958672 26.8225931631682 -611.808196502841</t>
  </si>
  <si>
    <t>-710.476831391207 26.1634938878983 -687.704528889389</t>
  </si>
  <si>
    <t>-746.698043950182 57.8812287832461 -558.865283412042</t>
  </si>
  <si>
    <t>-741.082077817412 194.76766149812 -547.540247629142</t>
  </si>
  <si>
    <t>-693.216222998007 233.135766902305 -259.741817766033</t>
  </si>
  <si>
    <t>-452.787280790973 218.657793838929 -265.677782723819</t>
  </si>
  <si>
    <t>-746.849213557891 2.57008346326734 -555.42874456448</t>
  </si>
  <si>
    <t>-734.91664482531 154.343288420181 -102.977847686668</t>
  </si>
  <si>
    <t>-709.798693781835 179.63961515413 298.997095988821</t>
  </si>
  <si>
    <t>-738.823679327336 246.558915882762 740.925500627347</t>
  </si>
  <si>
    <t>-603.607396444269 195.244116175023 805.505816748642</t>
  </si>
  <si>
    <t>-665.7030654972 -35.0579374211793 306.66089993948</t>
  </si>
  <si>
    <t>-681.83535754108 -28.6322423390432 754.240225165269</t>
  </si>
  <si>
    <t>-575.046820697472 -119.201209587888 828.272277145524</t>
  </si>
  <si>
    <t>9763-20170724T105100.013476300.bin</t>
  </si>
  <si>
    <t>-727.206560573164 58.467694433871 -97.1317521606322</t>
  </si>
  <si>
    <t>-744.287659054935 51.1540296815735 -211.460168844804</t>
  </si>
  <si>
    <t>-749.854412553855 45.2308947805859 -309.748375367161</t>
  </si>
  <si>
    <t>-751.843041106205 39.8817468120812 -398.662231155746</t>
  </si>
  <si>
    <t>-750.435184707551 34.4951225088525 -487.58499025738</t>
  </si>
  <si>
    <t>-744.907631618146 26.8731497503354 -611.811208169361</t>
  </si>
  <si>
    <t>-711.112448914205 26.3126271714746 -687.722980400828</t>
  </si>
  <si>
    <t>-747.326603657423 57.8842849491916 -558.841684048901</t>
  </si>
  <si>
    <t>-742.032819691019 194.780182424932 -547.427058992761</t>
  </si>
  <si>
    <t>-694.852371507171 233.197299659611 -259.521937353094</t>
  </si>
  <si>
    <t>-454.475896390249 217.878284497969 -265.464982946493</t>
  </si>
  <si>
    <t>-747.353540040125 2.57023409331327 -555.449001983209</t>
  </si>
  <si>
    <t>-735.351929315057 154.155699406783 -102.954820504853</t>
  </si>
  <si>
    <t>-710.072104856956 179.483290828929 299.008022248248</t>
  </si>
  <si>
    <t>-738.882396481122 246.519306493426 740.93079492697</t>
  </si>
  <si>
    <t>-603.633882148244 195.28011008283 805.504019362227</t>
  </si>
  <si>
    <t>-666.043571544844 -35.1500728236822 306.654581949421</t>
  </si>
  <si>
    <t>-681.914389129484 -28.8997365851524 754.248180493302</t>
  </si>
  <si>
    <t>-574.700987626496 -118.972973770839 828.271046870172</t>
  </si>
  <si>
    <t>9763-20170724T105100.048564500.bin</t>
  </si>
  <si>
    <t>-727.282301656212 58.3325277485906 -97.1331367318807</t>
  </si>
  <si>
    <t>-744.38304922161 51.0091556404889 -211.457941864879</t>
  </si>
  <si>
    <t>-749.978347639073 45.0885601375287 -309.744724224679</t>
  </si>
  <si>
    <t>-751.996977700919 39.7461159461791 -398.658306245922</t>
  </si>
  <si>
    <t>-750.623881173707 34.3717881214491 -487.582228015337</t>
  </si>
  <si>
    <t>-745.149118652865 26.772807794242 -611.812294198619</t>
  </si>
  <si>
    <t>-711.371086516369 26.2514689761945 -687.731876759495</t>
  </si>
  <si>
    <t>-747.569777500716 57.7739615211922 -558.837091496137</t>
  </si>
  <si>
    <t>-742.438910656325 194.673261613621 -547.403294668543</t>
  </si>
  <si>
    <t>-695.660939181858 233.28533224929 -259.458689991165</t>
  </si>
  <si>
    <t>-455.315668425227 217.507615000223 -265.467521057278</t>
  </si>
  <si>
    <t>-747.546829941369 2.45933369325167 -555.452614015329</t>
  </si>
  <si>
    <t>-735.446933070303 153.971007231998 -102.94870263078</t>
  </si>
  <si>
    <t>-710.207820401911 179.397090156398 299.010470312798</t>
  </si>
  <si>
    <t>-738.915685443612 246.475971959453 740.929335310042</t>
  </si>
  <si>
    <t>-603.636762457554 195.305883287934 805.493636152467</t>
  </si>
  <si>
    <t>-666.200645698437 -35.1538806997935 306.660713283683</t>
  </si>
  <si>
    <t>-681.909450512487 -28.9280459816405 754.254258263347</t>
  </si>
  <si>
    <t>-574.840079643793 -119.162846727656 828.289022444047</t>
  </si>
  <si>
    <t>9763-20170724T105100.108729800.bin</t>
  </si>
  <si>
    <t>-727.287745735347 58.1971333599738 -97.1578650741843</t>
  </si>
  <si>
    <t>-744.429293711435 50.8416377750905 -211.474473457929</t>
  </si>
  <si>
    <t>-750.075360653763 44.9095495759893 -309.757735103611</t>
  </si>
  <si>
    <t>-752.146377460808 39.5633263959417 -398.669883073268</t>
  </si>
  <si>
    <t>-750.83152760377 34.1923684618043 -487.594784173886</t>
  </si>
  <si>
    <t>-745.444395740237 26.6059883722683 -611.829548975024</t>
  </si>
  <si>
    <t>-711.693047429528 26.147493045569 -687.761462676419</t>
  </si>
  <si>
    <t>-747.862667930105 57.6017217269334 -558.850876272591</t>
  </si>
  <si>
    <t>-742.922180071711 194.503893168332 -547.410252864833</t>
  </si>
  <si>
    <t>-697.34414259654 233.360760886923 -259.306048222424</t>
  </si>
  <si>
    <t>-457.05307657112 216.852986901513 -265.515944299156</t>
  </si>
  <si>
    <t>-747.76738806572 2.28699415564506 -555.469046008071</t>
  </si>
  <si>
    <t>-735.559129584212 153.72691878112 -102.96906330554</t>
  </si>
  <si>
    <t>-710.371181632603 179.388305989573 298.978394659713</t>
  </si>
  <si>
    <t>-738.973569563261 246.516291687095 740.903554866795</t>
  </si>
  <si>
    <t>-603.711655063538 195.2815640987 805.452078830618</t>
  </si>
  <si>
    <t>-666.357580969681 -35.0743831040113 306.679467833732</t>
  </si>
  <si>
    <t>-681.772407718846 -28.7299180113416 754.260821910957</t>
  </si>
  <si>
    <t>-575.059465155846 -119.361192373924 828.325628697218</t>
  </si>
  <si>
    <t>9763-20170724T105100.143822300.bin</t>
  </si>
  <si>
    <t>-727.24794996259 58.1235381010883 -97.1845221411977</t>
  </si>
  <si>
    <t>-744.393456794514 50.7477520298814 -211.49921395499</t>
  </si>
  <si>
    <t>-750.054716850048 44.8070412294589 -309.781123313105</t>
  </si>
  <si>
    <t>-752.14409009463 39.4563011853572 -398.692519596702</t>
  </si>
  <si>
    <t>-750.852031746662 34.0846760539835 -487.617829829315</t>
  </si>
  <si>
    <t>-745.501672495133 26.5018192712766 -611.854328063722</t>
  </si>
  <si>
    <t>-711.769296480586 26.0684310536785 -687.794866608267</t>
  </si>
  <si>
    <t>-747.921805729841 57.4959186051228 -558.874939535919</t>
  </si>
  <si>
    <t>-743.086894986488 194.401828931044 -547.43853787058</t>
  </si>
  <si>
    <t>-698.171870358476 233.321471033091 -259.238778775424</t>
  </si>
  <si>
    <t>-457.902141732542 216.482362719732 -265.383270791849</t>
  </si>
  <si>
    <t>-747.790292407998 2.18135751916566 -555.493035429769</t>
  </si>
  <si>
    <t>-735.59866842819 153.667116731562 -102.99817219337</t>
  </si>
  <si>
    <t>-710.38681002316 179.347259042308 298.946587344595</t>
  </si>
  <si>
    <t>-738.999147350651 246.54623633298 740.872989041749</t>
  </si>
  <si>
    <t>-603.753843110801 195.262747503515 805.41757944587</t>
  </si>
  <si>
    <t>-666.471315407479 -35.0433793918212 306.690504722136</t>
  </si>
  <si>
    <t>-681.748377047296 -28.7240321403779 754.267978852326</t>
  </si>
  <si>
    <t>-574.957795350081 -119.265714099116 828.330753025534</t>
  </si>
  <si>
    <t>9763-20170724T105100.213865900.bin</t>
  </si>
  <si>
    <t>-727.146406340613 57.9439402686105 -97.2469757880642</t>
  </si>
  <si>
    <t>-744.268019602794 50.5503429861856 -211.564144771161</t>
  </si>
  <si>
    <t>-749.954732738869 44.6222764622844 -309.845229047905</t>
  </si>
  <si>
    <t>-752.08541409517 39.2953102466322 -398.757106288016</t>
  </si>
  <si>
    <t>-750.852652511302 33.9609749607075 -487.685531212641</t>
  </si>
  <si>
    <t>-745.603773211178 26.4453960847766 -611.930389105441</t>
  </si>
  <si>
    <t>-711.921848335967 26.0677450321894 -687.893617668314</t>
  </si>
  <si>
    <t>-748.030597916215 57.4105612508085 -558.934421225845</t>
  </si>
  <si>
    <t>-743.438884538974 194.318606588637 -547.44827653016</t>
  </si>
  <si>
    <t>-699.811025545186 233.247740313364 -259.052145569452</t>
  </si>
  <si>
    <t>-459.611831189961 215.420478952966 -265.170416490698</t>
  </si>
  <si>
    <t>-747.796447997293 2.09466424630546 -555.578307855091</t>
  </si>
  <si>
    <t>-735.5795674902 153.401907165676 -103.056388204072</t>
  </si>
  <si>
    <t>-710.559327731942 179.289656610948 298.887005377868</t>
  </si>
  <si>
    <t>-739.050012579242 246.559351657473 740.808040765058</t>
  </si>
  <si>
    <t>-603.787672057239 195.305980461954 805.340934333633</t>
  </si>
  <si>
    <t>-666.689907563717 -35.1199948525968 306.685290396874</t>
  </si>
  <si>
    <t>-681.734576318545 -28.77622617154 754.281294360909</t>
  </si>
  <si>
    <t>-574.862210619849 -119.220929834146 828.34454958606</t>
  </si>
  <si>
    <t>9763-20170724T105100.245967100.bin</t>
  </si>
  <si>
    <t>-727.092374776041 57.8967569096753 -97.2654892936198</t>
  </si>
  <si>
    <t>-744.185049799892 50.4992805709644 -211.586690373745</t>
  </si>
  <si>
    <t>-749.858480336868 44.5877503657143 -309.869497733575</t>
  </si>
  <si>
    <t>-751.981435414387 39.2842614595816 -398.783073350068</t>
  </si>
  <si>
    <t>-750.74542668114 33.9825621886384 -487.713385904556</t>
  </si>
  <si>
    <t>-745.495896496519 26.5229131775347 -611.961586810833</t>
  </si>
  <si>
    <t>-711.824523763722 26.1868125955762 -687.929615153764</t>
  </si>
  <si>
    <t>-747.949285330698 57.4641056307014 -558.952742640098</t>
  </si>
  <si>
    <t>-743.479164286397 194.370393981282 -547.417588010706</t>
  </si>
  <si>
    <t>-700.545419363362 233.128944694632 -258.89431629918</t>
  </si>
  <si>
    <t>-460.368954018081 214.97815548465 -264.953922889746</t>
  </si>
  <si>
    <t>-747.662598336448 2.14696039696469 -555.619327551169</t>
  </si>
  <si>
    <t>-735.537394810518 153.325691192858 -103.084835975502</t>
  </si>
  <si>
    <t>-710.666548038318 179.299493090836 298.862287943328</t>
  </si>
  <si>
    <t>-739.07107457511 246.576049402224 740.776433994203</t>
  </si>
  <si>
    <t>-603.828040858011 195.270588535942 805.308352920885</t>
  </si>
  <si>
    <t>-666.773177277233 -35.1868886875409 306.688794533398</t>
  </si>
  <si>
    <t>-681.732707513003 -28.8109470280974 754.288460638489</t>
  </si>
  <si>
    <t>-574.771707827465 -119.156502591107 828.344665356752</t>
  </si>
  <si>
    <t>9763-20170724T105100.309074600.bin</t>
  </si>
  <si>
    <t>-726.947183497234 57.8066631312479 -97.3103935676431</t>
  </si>
  <si>
    <t>-743.972592663707 50.4013012897408 -211.641205631781</t>
  </si>
  <si>
    <t>-749.574751273061 44.5239227817365 -309.930147294425</t>
  </si>
  <si>
    <t>-751.627439959276 39.268356048156 -398.848203346943</t>
  </si>
  <si>
    <t>-750.314908133166 34.0333879352477 -487.781352688943</t>
  </si>
  <si>
    <t>-744.951846837429 26.6867318679845 -612.031391814474</t>
  </si>
  <si>
    <t>-711.251132767238 26.4689259422914 -687.986838793617</t>
  </si>
  <si>
    <t>-747.509464653532 57.5791595305714 -558.999021451216</t>
  </si>
  <si>
    <t>-743.290760115637 194.498834841852 -547.392363032943</t>
  </si>
  <si>
    <t>-701.902585795063 233.163910693625 -258.63087557906</t>
  </si>
  <si>
    <t>-461.772767243455 214.361304737688 -264.545749343459</t>
  </si>
  <si>
    <t>-747.114207157608 2.26014458858504 -555.711140397469</t>
  </si>
  <si>
    <t>-735.439899625133 153.217192131882 -103.138559529925</t>
  </si>
  <si>
    <t>-710.762762259142 179.31451953861 298.812500817353</t>
  </si>
  <si>
    <t>-739.122123656308 246.572229016527 740.728453490548</t>
  </si>
  <si>
    <t>-603.845535394194 195.34201761275 805.249764791982</t>
  </si>
  <si>
    <t>-666.920830095496 -35.2983202716 306.689709853764</t>
  </si>
  <si>
    <t>-681.776997941595 -28.9755690146521 754.307948057627</t>
  </si>
  <si>
    <t>-574.731859495474 -119.23441407553 828.348227568378</t>
  </si>
  <si>
    <t>9763-20170724T105100.343165700.bin</t>
  </si>
  <si>
    <t>-726.812763070775 57.7436615473994 -97.3292528218784</t>
  </si>
  <si>
    <t>-743.803716741944 50.3321306271409 -211.664722589818</t>
  </si>
  <si>
    <t>-749.373792029086 44.4569984410407 -309.955573247918</t>
  </si>
  <si>
    <t>-751.396162745221 39.2065791235293 -398.874692164109</t>
  </si>
  <si>
    <t>-750.052071163165 33.9802200345059 -487.807932635914</t>
  </si>
  <si>
    <t>-744.643766820325 26.6496642915154 -612.057013362317</t>
  </si>
  <si>
    <t>-710.915503052311 26.4769260255825 -688.000350182795</t>
  </si>
  <si>
    <t>-747.241061431196 57.5350928163034 -559.02247482328</t>
  </si>
  <si>
    <t>-743.151397147899 194.453308969459 -547.400519855302</t>
  </si>
  <si>
    <t>-702.611540784556 233.154799643862 -258.523530411931</t>
  </si>
  <si>
    <t>-462.496146415369 214.121372620095 -264.286747547731</t>
  </si>
  <si>
    <t>-746.806459882758 2.21590848424717 -555.739752029022</t>
  </si>
  <si>
    <t>-735.352277441548 153.050896528183 -103.157110609071</t>
  </si>
  <si>
    <t>-710.774144571649 179.282913872357 298.791249864962</t>
  </si>
  <si>
    <t>-739.145442961431 246.537605265269 740.696819201246</t>
  </si>
  <si>
    <t>-603.834188331066 195.405551389846 805.223174885274</t>
  </si>
  <si>
    <t>-666.8870701828 -35.2729679582385 306.68620075657</t>
  </si>
  <si>
    <t>-681.618522245817 -28.6861085244261 754.30003285656</t>
  </si>
  <si>
    <t>-574.880623746666 -119.294077312151 828.357448075769</t>
  </si>
  <si>
    <t>9763-20170724T105100.374249200.bin</t>
  </si>
  <si>
    <t>-726.69423067972 57.5607618322654 -97.3345499851965</t>
  </si>
  <si>
    <t>-743.662419339938 50.1409746376401 -211.672812926049</t>
  </si>
  <si>
    <t>-749.212793124443 44.268117479681 -309.965140628911</t>
  </si>
  <si>
    <t>-751.217271625511 39.0236180391107 -398.884784898402</t>
  </si>
  <si>
    <t>-749.855078687478 33.8075832020813 -487.818299008444</t>
  </si>
  <si>
    <t>-744.421165610798 26.4959324069616 -612.067392086249</t>
  </si>
  <si>
    <t>-710.667189845086 26.3625302802286 -687.999514245629</t>
  </si>
  <si>
    <t>-747.051625020107 57.3728772013701 -559.02965486296</t>
  </si>
  <si>
    <t>-743.106611546416 194.29311114848 -547.381190811865</t>
  </si>
  <si>
    <t>-703.413848199151 233.043290115377 -258.393073782216</t>
  </si>
  <si>
    <t>-463.3127062097 213.846654529466 -264.206667963755</t>
  </si>
  <si>
    <t>-746.572910587981 2.05374525236766 -555.753362007379</t>
  </si>
  <si>
    <t>-735.233362080635 152.842242615297 -103.164724785324</t>
  </si>
  <si>
    <t>-710.769673445498 179.220078260835 298.781081469139</t>
  </si>
  <si>
    <t>-739.166578156939 246.526247859939 740.671153666122</t>
  </si>
  <si>
    <t>-603.86763290773 195.368849979918 805.203773781747</t>
  </si>
  <si>
    <t>-666.89274099153 -35.4623158853228 306.701956523131</t>
  </si>
  <si>
    <t>-681.680425801374 -28.8527142529865 754.312570736079</t>
  </si>
  <si>
    <t>-574.739015329039 -119.23492576794 828.352504899006</t>
  </si>
  <si>
    <t>9763-20170724T105100.441439700.bin</t>
  </si>
  <si>
    <t>-726.387079598754 57.2290468653925 -97.3535569865302</t>
  </si>
  <si>
    <t>-743.326421112998 49.7958317836856 -211.695310280491</t>
  </si>
  <si>
    <t>-748.844976262777 43.9213264350785 -309.989320475168</t>
  </si>
  <si>
    <t>-750.81778203196 38.6795135690406 -398.909770510178</t>
  </si>
  <si>
    <t>-749.420942265465 33.4710423255592 -487.843335917573</t>
  </si>
  <si>
    <t>-743.935610220473 26.1757413647506 -612.091081583547</t>
  </si>
  <si>
    <t>-710.09859378005 26.0891546390915 -687.986195387837</t>
  </si>
  <si>
    <t>-746.63320477365 57.045223757035 -559.052282492076</t>
  </si>
  <si>
    <t>-743.006421059175 193.971859640933 -547.383324859157</t>
  </si>
  <si>
    <t>-705.09055082428 233.013632128498 -258.196063452115</t>
  </si>
  <si>
    <t>-465.013797570233 213.524423324924 -264.043937753924</t>
  </si>
  <si>
    <t>-746.065769931811 1.72678371185611 -555.779228819648</t>
  </si>
  <si>
    <t>-735.042578685376 152.4799133593 -103.182400411866</t>
  </si>
  <si>
    <t>-710.533707831968 178.952738808486 298.754376544474</t>
  </si>
  <si>
    <t>-739.222353377386 246.480645874249 740.604282394864</t>
  </si>
  <si>
    <t>-603.879832618949 195.443286343695 805.140074341114</t>
  </si>
  <si>
    <t>-666.823960548986 -35.5999584945669 306.705540218662</t>
  </si>
  <si>
    <t>-681.522820330319 -28.6250311375843 754.304376620121</t>
  </si>
  <si>
    <t>-574.785953857003 -119.238945444106 828.356131257443</t>
  </si>
  <si>
    <t>9763-20170724T105100.474527600.bin</t>
  </si>
  <si>
    <t>-726.343694357077 57.006184188114 -97.3594068974388</t>
  </si>
  <si>
    <t>-743.288668368499 49.5703716870373 -211.700166882291</t>
  </si>
  <si>
    <t>-748.82105274393 43.6873541811165 -309.992752962037</t>
  </si>
  <si>
    <t>-750.80985488948 38.435262607725 -398.912515299226</t>
  </si>
  <si>
    <t>-749.432723738241 33.2138159477265 -487.845441823665</t>
  </si>
  <si>
    <t>-743.978662747342 25.8983306840894 -612.093434775485</t>
  </si>
  <si>
    <t>-710.1084166504 25.806610878826 -687.973700845905</t>
  </si>
  <si>
    <t>-746.678620720391 56.7763790439792 -559.059649460793</t>
  </si>
  <si>
    <t>-743.225613131746 193.710760907545 -547.413276965654</t>
  </si>
  <si>
    <t>-706.296891515792 232.96762286026 -258.127374048437</t>
  </si>
  <si>
    <t>-466.239450615553 213.193973400878 -263.814292350186</t>
  </si>
  <si>
    <t>-746.078972816459 1.45879261054756 -555.776379383391</t>
  </si>
  <si>
    <t>-735.060831581637 152.318376904664 -103.187288188926</t>
  </si>
  <si>
    <t>-710.455256622692 178.83242422018 298.740827028911</t>
  </si>
  <si>
    <t>-739.252018079011 246.475498447908 740.572532063436</t>
  </si>
  <si>
    <t>-603.907175453218 195.44793406852 805.111443919886</t>
  </si>
  <si>
    <t>-666.805097030035 -35.8541638965687 306.715302045317</t>
  </si>
  <si>
    <t>-681.628299472888 -28.9023029699658 754.310944252036</t>
  </si>
  <si>
    <t>-574.616208439883 -119.202830457211 828.348264472671</t>
  </si>
  <si>
    <t>9763-20170724T105100.541731500.bin</t>
  </si>
  <si>
    <t>-726.22953302738 56.516321006098 -97.3500322528199</t>
  </si>
  <si>
    <t>-743.217763557976 49.0519506386165 -211.682413438576</t>
  </si>
  <si>
    <t>-748.832062820319 43.1510551379556 -309.969379325747</t>
  </si>
  <si>
    <t>-750.91276922359 37.8850860302057 -398.886080243696</t>
  </si>
  <si>
    <t>-749.645413622512 32.6527930967895 -487.820037765434</t>
  </si>
  <si>
    <t>-744.363266084675 25.3256707889477 -612.074812933029</t>
  </si>
  <si>
    <t>-710.458492998771 25.2317696493951 -687.939737754411</t>
  </si>
  <si>
    <t>-747.021793668137 56.2081318677667 -559.041605573809</t>
  </si>
  <si>
    <t>-743.89423813088 193.150027841244 -547.45319894901</t>
  </si>
  <si>
    <t>-709.18913039288 232.896548296631 -257.958843500388</t>
  </si>
  <si>
    <t>-469.183343177581 212.263620828321 -262.689882511163</t>
  </si>
  <si>
    <t>-746.353534944141 0.8918247698914 -555.751356210744</t>
  </si>
  <si>
    <t>-735.065984115303 151.934629074077 -103.191363214519</t>
  </si>
  <si>
    <t>-710.285585772612 178.548818983473 298.719401495682</t>
  </si>
  <si>
    <t>-739.308303404943 246.385469272348 740.503891925032</t>
  </si>
  <si>
    <t>-603.959132155741 195.393344270655 805.061691449661</t>
  </si>
  <si>
    <t>-666.655327922434 -36.2152255799199 306.727313553729</t>
  </si>
  <si>
    <t>-681.642540062468 -29.0271376867599 754.30747920045</t>
  </si>
  <si>
    <t>-574.616019016966 -119.313637449445 828.340877224098</t>
  </si>
  <si>
    <t>9763-20170724T105100.613941900.bin</t>
  </si>
  <si>
    <t>-726.158151454998 55.9768239986033 -97.3425328996667</t>
  </si>
  <si>
    <t>-743.25567727856 48.4807462646477 -211.65651451915</t>
  </si>
  <si>
    <t>-749.011443773654 42.5692738041994 -309.934613548747</t>
  </si>
  <si>
    <t>-751.238964166396 37.2997495892446 -398.847563807778</t>
  </si>
  <si>
    <t>-750.137311190433 32.0709027374053 -487.784001533044</t>
  </si>
  <si>
    <t>-745.106231794038 24.7555632706185 -612.04984038784</t>
  </si>
  <si>
    <t>-711.198676644524 24.6995885849581 -687.913466847831</t>
  </si>
  <si>
    <t>-747.695865413152 55.6325156729833 -559.009986651005</t>
  </si>
  <si>
    <t>-744.864356684652 192.57939625248 -547.394007377328</t>
  </si>
  <si>
    <t>-711.987260487955 232.317839178753 -257.68517447597</t>
  </si>
  <si>
    <t>-471.993126128502 211.33205160781 -261.333097645061</t>
  </si>
  <si>
    <t>-746.944531545505 0.316971938708548 -555.723147499468</t>
  </si>
  <si>
    <t>-735.231787372813 151.432355868156 -103.183265804771</t>
  </si>
  <si>
    <t>-710.143735803501 178.148204697312 298.701743451528</t>
  </si>
  <si>
    <t>-739.366680060029 246.317682267076 740.437508049505</t>
  </si>
  <si>
    <t>-604.018348587271 195.337863086236 805.006639897703</t>
  </si>
  <si>
    <t>-666.540431447819 -36.3749727067122 306.738133779613</t>
  </si>
  <si>
    <t>-681.457339640075 -28.7073493441483 754.290696385641</t>
  </si>
  <si>
    <t>-574.518523897721 -119.09744907405 828.324495454594</t>
  </si>
  <si>
    <t>9763-20170724T105100.643019400.bin</t>
  </si>
  <si>
    <t>-726.129473523718 55.6466917812454 -97.3530087181009</t>
  </si>
  <si>
    <t>-743.288439201727 48.1161113536041 -211.655631780456</t>
  </si>
  <si>
    <t>-749.135966920218 42.1997820279998 -309.927962255414</t>
  </si>
  <si>
    <t>-751.462141098378 36.9348314999436 -398.838676590792</t>
  </si>
  <si>
    <t>-750.474278776897 31.7200580684391 -487.777224266164</t>
  </si>
  <si>
    <t>-745.617866092689 24.4343014229221 -612.05161066702</t>
  </si>
  <si>
    <t>-711.726816599362 24.40444096325 -687.922873116193</t>
  </si>
  <si>
    <t>-748.153875861258 55.2981660909304 -559.001826151066</t>
  </si>
  <si>
    <t>-745.493329870585 192.246961506459 -547.382974289778</t>
  </si>
  <si>
    <t>-713.489887726074 232.159433194238 -257.600333704885</t>
  </si>
  <si>
    <t>-473.514763909768 210.875155224732 -260.727878008567</t>
  </si>
  <si>
    <t>-735.310795566016 151.057503775983 -103.187237646541</t>
  </si>
  <si>
    <t>-710.190959418418 177.921156723994 298.685905155297</t>
  </si>
  <si>
    <t>-739.396997698683 246.250843723984 740.40055894954</t>
  </si>
  <si>
    <t>-603.997593918025 195.402781338468 804.966782082905</t>
  </si>
  <si>
    <t>-666.54802737528 -36.5914385191527 306.760361336487</t>
  </si>
  <si>
    <t>-681.499046887961 -28.820794824338 754.301795884986</t>
  </si>
  <si>
    <t>-574.540728956477 -119.192384865813 828.330223477807</t>
  </si>
  <si>
    <t>9763-20170724T105100.710910900.bin</t>
  </si>
  <si>
    <t>-726.117730524174 54.8206714553062 -97.3954442786614</t>
  </si>
  <si>
    <t>-743.369968413719 47.2350300879878 -211.680390635637</t>
  </si>
  <si>
    <t>-749.409896812511 41.3157775928921 -309.940917365237</t>
  </si>
  <si>
    <t>-751.954740459562 36.0658194322291 -398.846556104818</t>
  </si>
  <si>
    <t>-751.22988109446 30.8847051332802 -487.789686701331</t>
  </si>
  <si>
    <t>-746.787101836235 23.6663528675235 -612.083398859136</t>
  </si>
  <si>
    <t>-712.985903356228 23.6917773080652 -687.994657273885</t>
  </si>
  <si>
    <t>-749.204825420539 54.5005621340481 -559.010754652786</t>
  </si>
  <si>
    <t>-746.915023940137 191.461773201652 -547.446084246463</t>
  </si>
  <si>
    <t>-716.89881611008 232.220643363293 -257.56860492482</t>
  </si>
  <si>
    <t>-477.010604024583 209.897234489674 -260.04914163107</t>
  </si>
  <si>
    <t>-735.486599287511 150.160799188531 -103.200867866152</t>
  </si>
  <si>
    <t>-710.2210255753 177.368022849159 298.639979286127</t>
  </si>
  <si>
    <t>-739.44605492552 246.150629117531 740.287647131125</t>
  </si>
  <si>
    <t>-603.995348621231 195.455843642101 804.866479701615</t>
  </si>
  <si>
    <t>-666.590641880513 -36.98228898192 306.762717052928</t>
  </si>
  <si>
    <t>-681.487111911961 -28.8477668369633 754.315011405493</t>
  </si>
  <si>
    <t>-574.371301913588 -119.051102795785 828.320695816064</t>
  </si>
  <si>
    <t>9763-20170724T105100.741991700.bin</t>
  </si>
  <si>
    <t>-726.185995128777 54.3713319377418 -97.3955295024581</t>
  </si>
  <si>
    <t>-743.481555919561 46.7774769354944 -211.673385565899</t>
  </si>
  <si>
    <t>-749.609427180492 40.859719346224 -309.928676586933</t>
  </si>
  <si>
    <t>-752.253745060661 35.6145543301736 -398.831567367197</t>
  </si>
  <si>
    <t>-751.648791900056 30.4426278596293 -487.775986228619</t>
  </si>
  <si>
    <t>-747.394758568012 23.241913574939 -612.077584551089</t>
  </si>
  <si>
    <t>-713.648467188207 23.2965986750253 -688.013174555102</t>
  </si>
  <si>
    <t>-749.768180346947 54.0676935816418 -558.997974264024</t>
  </si>
  <si>
    <t>-747.658126804668 191.036850826137 -547.44383364039</t>
  </si>
  <si>
    <t>-718.605569610578 232.041955060336 -257.50289401366</t>
  </si>
  <si>
    <t>-478.736765742046 209.506410786815 -259.945318029514</t>
  </si>
  <si>
    <t>-735.664819620276 149.712813165127 -103.196472009579</t>
  </si>
  <si>
    <t>-710.285709485301 177.047244272493 298.62856653124</t>
  </si>
  <si>
    <t>-739.47282378763 246.124410951807 740.236951917757</t>
  </si>
  <si>
    <t>-604.022166627818 195.436028300413 804.820746234445</t>
  </si>
  <si>
    <t>-666.680535767192 -37.1358235306222 306.764657948406</t>
  </si>
  <si>
    <t>-681.494787117467 -28.876805625551 754.324304452241</t>
  </si>
  <si>
    <t>-574.513090642795 -119.238465577096 828.330957291707</t>
  </si>
  <si>
    <t>9763-20170724T105100.811181200.bin</t>
  </si>
  <si>
    <t>-726.475725099623 53.6436659461394 -97.4002029652249</t>
  </si>
  <si>
    <t>-743.823816459314 46.016347003432 -211.667770229278</t>
  </si>
  <si>
    <t>-750.103747261541 40.0958523640302 -309.913282573756</t>
  </si>
  <si>
    <t>-752.928364321504 34.8591223891542 -398.811178802027</t>
  </si>
  <si>
    <t>-752.546218243116 29.7086480218445 -487.758232598603</t>
  </si>
  <si>
    <t>-748.648043798228 22.5526206541631 -612.073900916523</t>
  </si>
  <si>
    <t>-715.014902687679 22.6830566727892 -688.059679952677</t>
  </si>
  <si>
    <t>-750.955446142416 53.3575833262209 -558.979228315193</t>
  </si>
  <si>
    <t>-749.297003107217 190.325016563188 -547.388738779153</t>
  </si>
  <si>
    <t>-721.794112399325 231.639029226372 -257.34058924459</t>
  </si>
  <si>
    <t>-481.937424283913 208.960412956379 -259.645186652648</t>
  </si>
  <si>
    <t>-736.132969767813 148.922006856009 -103.194591446096</t>
  </si>
  <si>
    <t>-710.720186786428 176.620252642228 298.603466872356</t>
  </si>
  <si>
    <t>-739.535105312944 246.016350799809 740.164700409431</t>
  </si>
  <si>
    <t>-603.986395150305 195.580793692729 804.740771198812</t>
  </si>
  <si>
    <t>-667.025886321009 -37.5254268824747 306.781715727686</t>
  </si>
  <si>
    <t>-681.508895559482 -28.944246016632 754.346099698893</t>
  </si>
  <si>
    <t>-574.298543173148 -119.066328060204 828.31413233309</t>
  </si>
  <si>
    <t>9763-20170724T105100.844273600.bin</t>
  </si>
  <si>
    <t>-726.57479846121 53.3643655492046 -97.4168637028712</t>
  </si>
  <si>
    <t>-743.94759150947 45.7132886610423 -211.679139138298</t>
  </si>
  <si>
    <t>-750.297925997302 39.7906711861754 -309.919940319478</t>
  </si>
  <si>
    <t>-753.206025671589 34.5592016599628 -398.815536602007</t>
  </si>
  <si>
    <t>-752.926754893588 29.4223483368237 -487.763604540819</t>
  </si>
  <si>
    <t>-749.192541664834 22.2943858977897 -612.086080346563</t>
  </si>
  <si>
    <t>-715.603672755626 22.4689863792553 -688.091183901971</t>
  </si>
  <si>
    <t>-751.471151982743 53.0862706111309 -558.982564417792</t>
  </si>
  <si>
    <t>-750.030580807895 190.056990932536 -547.39016247704</t>
  </si>
  <si>
    <t>-723.361850697686 231.789019801423 -257.324047450163</t>
  </si>
  <si>
    <t>-483.541112305106 208.70068814927 -259.271369587077</t>
  </si>
  <si>
    <t>-736.305737780524 148.590091298236 -103.206965023674</t>
  </si>
  <si>
    <t>-710.927681011638 176.497060228813 298.578841912833</t>
  </si>
  <si>
    <t>-739.5600671099 246.015734457898 740.127535888086</t>
  </si>
  <si>
    <t>-604.008899053118 195.587308407189 804.704110339974</t>
  </si>
  <si>
    <t>-667.154744569028 -37.6089039738335 306.778909355715</t>
  </si>
  <si>
    <t>-681.42280750213 -28.7892626445134 754.347188767366</t>
  </si>
  <si>
    <t>-574.523232735313 -119.270464772463 828.326447701176</t>
  </si>
  <si>
    <t>9763-20170724T105100.908176700.bin</t>
  </si>
  <si>
    <t>-726.845962155441 52.6255693460428 -97.4236858311582</t>
  </si>
  <si>
    <t>-744.285919348986 44.933860183678 -211.672970149788</t>
  </si>
  <si>
    <t>-750.773014654369 39.0082970847645 -309.90476650032</t>
  </si>
  <si>
    <t>-753.835960054338 33.786992033215 -398.795688951149</t>
  </si>
  <si>
    <t>-753.742964715749 28.6744492041985 -487.74553885006</t>
  </si>
  <si>
    <t>-750.301354262989 21.5966786245397 -612.079297755735</t>
  </si>
  <si>
    <t>-716.78320516137 21.8634328646997 -688.115336057846</t>
  </si>
  <si>
    <t>-752.528416088451 52.365288223215 -558.960153862262</t>
  </si>
  <si>
    <t>-751.49050223371 189.334587996407 -547.386147585927</t>
  </si>
  <si>
    <t>-726.750112056953 231.530806910498 -257.216210650646</t>
  </si>
  <si>
    <t>-487.000614569406 207.663868219927 -258.408704621823</t>
  </si>
  <si>
    <t>-736.761486749423 147.830064507853 -103.214149868844</t>
  </si>
  <si>
    <t>-711.187775996535 176.067886878897 298.536033863354</t>
  </si>
  <si>
    <t>-739.612525179802 245.937159101211 740.03892578112</t>
  </si>
  <si>
    <t>-603.990256256915 195.70118028523 804.616503868446</t>
  </si>
  <si>
    <t>-667.555163757893 -38.022091304078 306.799322374712</t>
  </si>
  <si>
    <t>-681.503751126176 -29.0159495427547 754.376795314695</t>
  </si>
  <si>
    <t>-574.142133230033 -118.987066296656 828.309061105657</t>
  </si>
  <si>
    <t>9763-20170724T105100.946268800.bin</t>
  </si>
  <si>
    <t>-726.974024002359 52.315721499602 -97.421116002873</t>
  </si>
  <si>
    <t>-744.445652593263 44.6112770546849 -211.664645316859</t>
  </si>
  <si>
    <t>-750.994189442829 38.7022825000915 -309.893355229473</t>
  </si>
  <si>
    <t>-754.126125983232 33.5073259505543 -398.783365451981</t>
  </si>
  <si>
    <t>-754.115422143408 28.43391002672 -487.735693577701</t>
  </si>
  <si>
    <t>-750.802595833774 21.4237391303725 -612.076621558567</t>
  </si>
  <si>
    <t>-717.310870155767 21.7532116805512 -688.12414177623</t>
  </si>
  <si>
    <t>-753.016175043318 52.1621632874687 -558.93949561984</t>
  </si>
  <si>
    <t>-752.169971771111 189.132797160027 -547.330599221004</t>
  </si>
  <si>
    <t>-728.332060118466 231.236845408621 -257.071651475242</t>
  </si>
  <si>
    <t>-488.598494653018 207.203918709802 -258.108031971421</t>
  </si>
  <si>
    <t>-736.984953138915 147.485319019875 -103.209104977078</t>
  </si>
  <si>
    <t>-711.311157226875 175.866781170722 298.524728108859</t>
  </si>
  <si>
    <t>-739.639956718994 245.93964728434 740.002963036685</t>
  </si>
  <si>
    <t>-604.015237818407 195.712794453601 804.582134174565</t>
  </si>
  <si>
    <t>-667.70078457851 -38.0318981778885 306.798846529627</t>
  </si>
  <si>
    <t>-681.414506029625 -28.8507028499275 754.378798783932</t>
  </si>
  <si>
    <t>-574.232676273014 -119.033937522566 828.313386315854</t>
  </si>
  <si>
    <t>9763-20170724T105101.011480100.bin</t>
  </si>
  <si>
    <t>-727.177315571584 51.7060675670491 -97.4156850406609</t>
  </si>
  <si>
    <t>-744.723625387119 43.9653250331673 -211.645516564269</t>
  </si>
  <si>
    <t>-751.424157516256 38.087305042787 -309.865639564162</t>
  </si>
  <si>
    <t>-754.728465950507 32.9457107854553 -398.752639912835</t>
  </si>
  <si>
    <t>-754.924439255254 27.952836491382 -487.709120374817</t>
  </si>
  <si>
    <t>-751.936245015582 21.0854060946888 -612.066381386282</t>
  </si>
  <si>
    <t>-718.508811917516 21.5366717253428 -688.141508154601</t>
  </si>
  <si>
    <t>-754.090401411738 51.7605302344796 -558.890199839393</t>
  </si>
  <si>
    <t>-753.63457005638 188.726320256086 -547.171510237844</t>
  </si>
  <si>
    <t>-731.293361819555 230.542650575192 -256.751951953387</t>
  </si>
  <si>
    <t>-491.59455224679 206.15933053602 -257.636223067709</t>
  </si>
  <si>
    <t>-737.333037639063 146.829218108004 -103.207927206683</t>
  </si>
  <si>
    <t>-711.619385207143 175.541986265747 298.499747554739</t>
  </si>
  <si>
    <t>-739.696985433226 245.930033609242 739.93257666236</t>
  </si>
  <si>
    <t>-604.051900463483 195.762476788609 804.515285309372</t>
  </si>
  <si>
    <t>-668.025045856769 -38.3230979390421 306.829259604999</t>
  </si>
  <si>
    <t>-681.391104012601 -28.8452039903691 754.409392468111</t>
  </si>
  <si>
    <t>-574.018247913268 -118.827746736343 828.311340937761</t>
  </si>
  <si>
    <t>9763-20170724T105101.043565100.bin</t>
  </si>
  <si>
    <t>-727.313326589236 51.4441310455752 -97.4181001386294</t>
  </si>
  <si>
    <t>-744.901553778937 43.678376052844 -211.639625116831</t>
  </si>
  <si>
    <t>-751.672914240977 37.8074715085359 -309.855369823193</t>
  </si>
  <si>
    <t>-755.054649654287 32.6837732720592 -398.740468106074</t>
  </si>
  <si>
    <t>-755.341658316739 27.7209879750333 -487.698534083997</t>
  </si>
  <si>
    <t>-752.494506079038 20.9089153631512 -612.061992636598</t>
  </si>
  <si>
    <t>-719.094036185478 21.4200070484646 -688.14863403401</t>
  </si>
  <si>
    <t>-754.624037423042 51.5592861655418 -558.870550259316</t>
  </si>
  <si>
    <t>-754.359744596993 188.522723789108 -547.107722964773</t>
  </si>
  <si>
    <t>-732.694518697994 230.314849057742 -256.633530174079</t>
  </si>
  <si>
    <t>-493.015554057265 205.729331138395 -257.327556029679</t>
  </si>
  <si>
    <t>-737.55962482066 146.538551589882 -103.206964710923</t>
  </si>
  <si>
    <t>-711.777485608267 175.391437559262 298.486282595904</t>
  </si>
  <si>
    <t>-739.724517118088 245.915384796835 739.897883400929</t>
  </si>
  <si>
    <t>-604.068656975344 195.777686351408 804.481036801309</t>
  </si>
  <si>
    <t>-668.230726898463 -38.5066154148994 306.84844081839</t>
  </si>
  <si>
    <t>-681.460287722997 -29.0192472187227 754.432660062714</t>
  </si>
  <si>
    <t>-573.957814858559 -118.861777347995 828.316590984071</t>
  </si>
  <si>
    <t>9763-20170724T105101.112767700.bin</t>
  </si>
  <si>
    <t>-727.4511133612 50.9122185996505 -97.4300514828511</t>
  </si>
  <si>
    <t>-745.10467633816 43.1094429768389 -211.638920671559</t>
  </si>
  <si>
    <t>-751.980828031908 37.2650547776111 -309.849085230614</t>
  </si>
  <si>
    <t>-755.476200499097 32.18841376106 -398.732461154079</t>
  </si>
  <si>
    <t>-755.895646729064 27.2971383574902 -487.693876388416</t>
  </si>
  <si>
    <t>-753.252740447382 20.6113063132041 -612.068796898896</t>
  </si>
  <si>
    <t>-719.902475744367 21.2478666699712 -688.176540317347</t>
  </si>
  <si>
    <t>-755.360500942983 51.20543384964 -558.84411985737</t>
  </si>
  <si>
    <t>-755.46278125809 188.162149011687 -547.019080471191</t>
  </si>
  <si>
    <t>-735.16817141631 230.027677620586 -256.456512213562</t>
  </si>
  <si>
    <t>-495.519977853329 205.135443145037 -256.369301574304</t>
  </si>
  <si>
    <t>-737.864967570775 145.860883826146 -103.21341282197</t>
  </si>
  <si>
    <t>-712.046951976517 175.120189223037 298.448193935961</t>
  </si>
  <si>
    <t>-739.794670773884 245.805314713769 739.835211254003</t>
  </si>
  <si>
    <t>-604.071338568197 195.843308978074 804.412848142198</t>
  </si>
  <si>
    <t>-668.563690246547 -38.692143405148 306.878288820779</t>
  </si>
  <si>
    <t>-681.430893634606 -29.0186600045108 754.462751911752</t>
  </si>
  <si>
    <t>-574.125788475661 -119.101337445516 828.341229246894</t>
  </si>
  <si>
    <t>9763-20170724T105101.145855900.bin</t>
  </si>
  <si>
    <t>-727.545140213515 50.5825346767219 -97.4440091393521</t>
  </si>
  <si>
    <t>-745.241714305834 42.7623253972604 -211.645207304545</t>
  </si>
  <si>
    <t>-752.160716761558 36.9304100407896 -309.852957229755</t>
  </si>
  <si>
    <t>-755.697186324687 31.8757055978656 -398.735921363592</t>
  </si>
  <si>
    <t>-756.159378419045 27.0173984928465 -487.698969222376</t>
  </si>
  <si>
    <t>-753.57830169924 20.3890809050188 -612.078264918128</t>
  </si>
  <si>
    <t>-720.250047877196 21.0766865455435 -688.195282393281</t>
  </si>
  <si>
    <t>-755.682638454585 50.9577493510797 -558.838790802405</t>
  </si>
  <si>
    <t>-755.935187837489 187.914057492683 -546.971225452664</t>
  </si>
  <si>
    <t>-736.48474195228 229.783638922191 -256.35152382852</t>
  </si>
  <si>
    <t>-496.84097087947 204.851744379619 -256.034711699515</t>
  </si>
  <si>
    <t>-738.062873131255 145.624007215781 -103.226739417086</t>
  </si>
  <si>
    <t>-712.135041761139 174.963229558182 298.421870467988</t>
  </si>
  <si>
    <t>-739.82373161316 245.805797893406 739.800698380661</t>
  </si>
  <si>
    <t>-604.099864690019 195.843454406002 804.37695410989</t>
  </si>
  <si>
    <t>-668.760141728927 -38.9320390441324 306.885145008945</t>
  </si>
  <si>
    <t>-681.559570264041 -29.3294180596004 754.483257345727</t>
  </si>
  <si>
    <t>-573.942648098846 -119.059093060245 828.337345661145</t>
  </si>
  <si>
    <t>9763-20170724T105101.210781500.bin</t>
  </si>
  <si>
    <t>-727.560153556775 50.1398310851614 -97.4807554504126</t>
  </si>
  <si>
    <t>-745.274616425726 42.2856032117929 -211.676771543105</t>
  </si>
  <si>
    <t>-752.278613413818 36.4772059175259 -309.879926415544</t>
  </si>
  <si>
    <t>-755.91897872601 31.4639173545399 -398.761126495432</t>
  </si>
  <si>
    <t>-756.512110827064 26.6674187876774 -487.726728201835</t>
  </si>
  <si>
    <t>-754.142008490962 20.1469145419198 -612.11594563017</t>
  </si>
  <si>
    <t>-720.875621709987 20.8866346490083 -688.259442126238</t>
  </si>
  <si>
    <t>-756.17536918897 50.6687764045362 -558.846897108675</t>
  </si>
  <si>
    <t>-756.747555161571 187.615076511978 -546.879092843208</t>
  </si>
  <si>
    <t>-739.208396893717 229.321612142365 -256.114461819506</t>
  </si>
  <si>
    <t>-499.595648302385 204.092594728322 -255.798964574707</t>
  </si>
  <si>
    <t>-738.264206782238 145.171464492753 -103.262111010701</t>
  </si>
  <si>
    <t>-712.332618064107 174.719867850102 298.37087561465</t>
  </si>
  <si>
    <t>-739.87685146909 245.789241775682 739.728703092155</t>
  </si>
  <si>
    <t>-604.110027737574 195.939326766923 804.301492081628</t>
  </si>
  <si>
    <t>-669.0227256529 -39.0036053417361 306.889286379242</t>
  </si>
  <si>
    <t>-681.419864238299 -29.0880097273111 754.493428793141</t>
  </si>
  <si>
    <t>-574.033231677924 -119.093651178419 828.34734902903</t>
  </si>
  <si>
    <t>9763-20170724T105101.273949400.bin</t>
  </si>
  <si>
    <t>-727.530689615867 50.0107151980922 -97.4934780006628</t>
  </si>
  <si>
    <t>-745.256775835191 42.1501074421608 -211.687282752016</t>
  </si>
  <si>
    <t>-752.303516372192 36.3688729038836 -309.888996255891</t>
  </si>
  <si>
    <t>-755.995431436987 31.3931689011094 -398.77004566861</t>
  </si>
  <si>
    <t>-756.65291841404 26.646765071157 -487.737920470438</t>
  </si>
  <si>
    <t>-754.385542558597 20.2096741886189 -612.13352646042</t>
  </si>
  <si>
    <t>-721.139706179641 20.9819044676301 -688.285529019488</t>
  </si>
  <si>
    <t>-756.377385385525 50.6955855466015 -558.842203168414</t>
  </si>
  <si>
    <t>-757.042787852247 187.625583700009 -546.813440757299</t>
  </si>
  <si>
    <t>-740.591607852698 229.375895804206 -255.991335320906</t>
  </si>
  <si>
    <t>-501.006582099516 203.884184682072 -255.69814645995</t>
  </si>
  <si>
    <t>-738.285603110132 144.969942877121 -103.272999329672</t>
  </si>
  <si>
    <t>-712.468460576587 174.683004882878 298.355262673571</t>
  </si>
  <si>
    <t>-739.909508909914 245.757201674787 739.70764869947</t>
  </si>
  <si>
    <t>-604.10828240257 195.984352321589 804.267598826038</t>
  </si>
  <si>
    <t>-669.092019718182 -39.0524966419659 306.888930342553</t>
  </si>
  <si>
    <t>-681.398328880925 -29.0714553571486 754.500068850858</t>
  </si>
  <si>
    <t>-574.067850346124 -119.145008566299 828.352670331968</t>
  </si>
  <si>
    <t>9763-20170724T105101.280976700.bin</t>
  </si>
  <si>
    <t>-727.493596789067 49.8975554090946 -97.5138820633039</t>
  </si>
  <si>
    <t>-745.225414880976 42.0283607558674 -211.706177273275</t>
  </si>
  <si>
    <t>-752.306058210021 36.2929926585775 -309.908070192888</t>
  </si>
  <si>
    <t>-756.03971674375 31.3796046317752 -398.791014973164</t>
  </si>
  <si>
    <t>-756.749359546186 26.7170000799615 -487.762900662353</t>
  </si>
  <si>
    <t>-754.565746229673 20.4190449419398 -612.166918167411</t>
  </si>
  <si>
    <t>-721.315351777914 21.2403428049518 -688.316612410076</t>
  </si>
  <si>
    <t>-756.527027397038 50.845184975258 -558.840381995341</t>
  </si>
  <si>
    <t>-757.241196458265 187.771607547585 -546.737130481103</t>
  </si>
  <si>
    <t>-741.870542984874 229.557976933577 -255.861043644306</t>
  </si>
  <si>
    <t>-502.317062735939 203.771523307881 -255.547339074426</t>
  </si>
  <si>
    <t>-738.310794570291 144.841243476152 -103.291641846209</t>
  </si>
  <si>
    <t>-712.586332562179 174.687589463918 298.332695091198</t>
  </si>
  <si>
    <t>-739.93556566395 245.806220279781 739.685957922967</t>
  </si>
  <si>
    <t>-604.158277962646 195.957359561614 804.237454923329</t>
  </si>
  <si>
    <t>-669.152156657234 -39.1115487972013 306.896077613915</t>
  </si>
  <si>
    <t>-681.362453731814 -29.0331602359163 754.506173461948</t>
  </si>
  <si>
    <t>-574.118818331485 -119.210165051871 828.358800514818</t>
  </si>
  <si>
    <t>9763-20170724T105101.340744600.bin</t>
  </si>
  <si>
    <t>-727.434228727791 49.4546165518316 -97.5199884264782</t>
  </si>
  <si>
    <t>-745.216791107577 41.5860775638976 -211.704356362922</t>
  </si>
  <si>
    <t>-752.394475372647 35.9379517586542 -309.904499483842</t>
  </si>
  <si>
    <t>-756.236371615819 31.1380022165342 -398.788875077082</t>
  </si>
  <si>
    <t>-757.074386788682 26.6231201261562 -487.767212218139</t>
  </si>
  <si>
    <t>-755.090639378425 20.5673277518813 -612.186652096749</t>
  </si>
  <si>
    <t>-721.808935640425 21.4422144435614 -688.322009766287</t>
  </si>
  <si>
    <t>-756.957770665413 50.8898941279849 -558.797831815407</t>
  </si>
  <si>
    <t>-757.715062682032 187.804014823447 -546.521108633909</t>
  </si>
  <si>
    <t>-744.282565199471 229.490680542706 -255.534788414533</t>
  </si>
  <si>
    <t>-504.760046423994 203.419458959175 -255.179694703388</t>
  </si>
  <si>
    <t>-738.359447643012 144.507200371417 -103.289667742676</t>
  </si>
  <si>
    <t>-712.753315778636 174.514920986795 298.330221548559</t>
  </si>
  <si>
    <t>-739.988550081417 245.904071461205 739.650362210334</t>
  </si>
  <si>
    <t>-604.278382165599 195.85025615673 804.184817522276</t>
  </si>
  <si>
    <t>-669.244286176866 -39.2531045224282 306.901408542627</t>
  </si>
  <si>
    <t>-681.346408949753 -29.0881806878972 754.514248676046</t>
  </si>
  <si>
    <t>-574.125959633953 -119.298907746007 828.359215738139</t>
  </si>
  <si>
    <t>9763-20170724T105101.409906200.bin</t>
  </si>
  <si>
    <t>-727.292496714367 48.8200068766778 -97.5668738166443</t>
  </si>
  <si>
    <t>-745.106526537739 40.9482631771712 -211.746276352578</t>
  </si>
  <si>
    <t>-752.332627083274 35.382297066122 -309.947344293836</t>
  </si>
  <si>
    <t>-756.226062241632 30.6914997921083 -398.835393803967</t>
  </si>
  <si>
    <t>-757.12270875442 26.3208884269889 -487.82033579606</t>
  </si>
  <si>
    <t>-755.227971956905 20.5040477883672 -612.252639798495</t>
  </si>
  <si>
    <t>-721.839163493744 21.4128173626432 -688.340762317233</t>
  </si>
  <si>
    <t>-757.047436609786 50.7243218525839 -558.804218789032</t>
  </si>
  <si>
    <t>-757.849833278239 187.623857908032 -546.354998598032</t>
  </si>
  <si>
    <t>-746.31048463277 228.654568141347 -255.194266968415</t>
  </si>
  <si>
    <t>-506.802592426304 202.449258317622 -254.836977133925</t>
  </si>
  <si>
    <t>-738.254046312286 143.955609646301 -103.368710882317</t>
  </si>
  <si>
    <t>-712.85510354418 174.18263599995 298.247932763993</t>
  </si>
  <si>
    <t>-740.054804099322 245.940102242931 739.493611279887</t>
  </si>
  <si>
    <t>-604.371307088943 195.782481009261 804.00334318692</t>
  </si>
  <si>
    <t>-669.455969466376 -39.7835349714385 306.922792799192</t>
  </si>
  <si>
    <t>-681.440714761995 -29.393360866826 754.502153836137</t>
  </si>
  <si>
    <t>-573.782168783773 -119.079434135153 828.348910505611</t>
  </si>
  <si>
    <t>9763-20170724T105101.442995800.bin</t>
  </si>
  <si>
    <t>-727.174284968011 48.7090210892541 -97.6175340272462</t>
  </si>
  <si>
    <t>-744.980790303938 40.856581239045 -211.799381273211</t>
  </si>
  <si>
    <t>-752.199330072247 35.3346903095928 -310.003499915436</t>
  </si>
  <si>
    <t>-756.085362538318 30.6948593813895 -398.894518468862</t>
  </si>
  <si>
    <t>-756.973783052158 26.3870312209665 -487.882624567068</t>
  </si>
  <si>
    <t>-755.066574081651 20.6704349257886 -612.319399918842</t>
  </si>
  <si>
    <t>-721.616488917389 21.6021597503286 -688.380289601821</t>
  </si>
  <si>
    <t>-756.897876207631 50.8474016394348 -558.847026717483</t>
  </si>
  <si>
    <t>-757.788863726498 187.735023012433 -546.268573485107</t>
  </si>
  <si>
    <t>-747.011445464447 228.311357280731 -255.015022096084</t>
  </si>
  <si>
    <t>-507.512916134309 202.018964604453 -254.878382011123</t>
  </si>
  <si>
    <t>-738.149503469248 143.821978930938 -103.418035201989</t>
  </si>
  <si>
    <t>-712.922596210203 174.142979587898 298.202386762037</t>
  </si>
  <si>
    <t>-740.084819323973 245.959894110232 739.479064641008</t>
  </si>
  <si>
    <t>-604.426038578948 195.7217356338 803.978090905931</t>
  </si>
  <si>
    <t>-669.509517700127 -39.9065494833178 306.88264320586</t>
  </si>
  <si>
    <t>-681.435478709064 -29.4207875470283 754.488169590236</t>
  </si>
  <si>
    <t>-573.922050173335 -119.263775871484 828.355551329753</t>
  </si>
  <si>
    <t>9763-20170724T105101.508774100.bin</t>
  </si>
  <si>
    <t>-726.877853369621 48.5276761288453 -97.6610968486024</t>
  </si>
  <si>
    <t>-744.630303942578 40.6920000814257 -211.852450831808</t>
  </si>
  <si>
    <t>-751.82053189761 35.2393870324918 -310.062548876212</t>
  </si>
  <si>
    <t>-755.687626850496 30.6851358202314 -398.958884147349</t>
  </si>
  <si>
    <t>-756.56360879581 26.4859977053102 -487.952399685848</t>
  </si>
  <si>
    <t>-754.645009985128 20.9460019725041 -612.396938765269</t>
  </si>
  <si>
    <t>-721.073820790391 21.9312589700123 -688.403742556249</t>
  </si>
  <si>
    <t>-756.482242205175 51.0471878381397 -558.881944229231</t>
  </si>
  <si>
    <t>-757.501510613621 187.922585487173 -546.12154745596</t>
  </si>
  <si>
    <t>-748.29793083247 227.636556335538 -254.695304757411</t>
  </si>
  <si>
    <t>-508.824377458239 201.123903290765 -255.301874137962</t>
  </si>
  <si>
    <t>-737.800300361521 143.514614252345 -103.420229060616</t>
  </si>
  <si>
    <t>-712.893912511282 174.032664053918 298.205238249094</t>
  </si>
  <si>
    <t>-740.127700321899 246.03227343945 739.459865626944</t>
  </si>
  <si>
    <t>-604.571833750945 195.511739127085 803.954528738399</t>
  </si>
  <si>
    <t>-669.576948315941 -40.1959274763483 306.873858761442</t>
  </si>
  <si>
    <t>-681.401571045795 -29.4215953258681 754.480147074526</t>
  </si>
  <si>
    <t>-573.682988081741 -119.020275617734 828.345400052101</t>
  </si>
  <si>
    <t>9763-20170724T105101.546877600.bin</t>
  </si>
  <si>
    <t>-726.702038390928 48.3321217702935 -97.6585565493962</t>
  </si>
  <si>
    <t>-744.437845151301 40.4980120296254 -211.852607425387</t>
  </si>
  <si>
    <t>-751.60792899307 35.0706632056742 -310.065614465602</t>
  </si>
  <si>
    <t>-755.454223638027 30.5492309553645 -398.964455183624</t>
  </si>
  <si>
    <t>-756.306562969315 26.3926978963657 -487.960203480583</t>
  </si>
  <si>
    <t>-754.352357953098 20.9225727583346 -612.407203699869</t>
  </si>
  <si>
    <t>-720.704542526589 21.9250147670416 -688.379961453106</t>
  </si>
  <si>
    <t>-756.197730916506 50.9938641280078 -558.875677908275</t>
  </si>
  <si>
    <t>-757.229059477342 187.856067939067 -546.033409343139</t>
  </si>
  <si>
    <t>-748.803791964101 227.198645989712 -254.533149988317</t>
  </si>
  <si>
    <t>-509.347346786238 200.540614161992 -255.45849735227</t>
  </si>
  <si>
    <t>-737.590994559979 143.289683761312 -103.417408790631</t>
  </si>
  <si>
    <t>-712.852329252092 173.887174582166 298.212346373474</t>
  </si>
  <si>
    <t>-740.15384470317 246.030415747716 739.435525390581</t>
  </si>
  <si>
    <t>-604.580271160336 195.546773702642 803.921777373885</t>
  </si>
  <si>
    <t>-669.641515941755 -40.3836962066646 306.896887766981</t>
  </si>
  <si>
    <t>-681.451748287744 -29.5638919774192 754.486817431972</t>
  </si>
  <si>
    <t>-573.492109258482 -118.881000606843 828.341177776299</t>
  </si>
  <si>
    <t>9763-20170724T105101.607048900.bin</t>
  </si>
  <si>
    <t>-726.065140796645 48.0176686344644 -97.697021252165</t>
  </si>
  <si>
    <t>-743.771373954228 40.1416318739712 -211.892853598899</t>
  </si>
  <si>
    <t>-750.895342417314 34.7568652746229 -310.111566079825</t>
  </si>
  <si>
    <t>-754.690513605643 30.3056179488053 -399.01610580792</t>
  </si>
  <si>
    <t>-755.482214423444 26.2512193747807 -488.017077198836</t>
  </si>
  <si>
    <t>-753.432047261535 20.9570970373413 -612.470261016254</t>
  </si>
  <si>
    <t>-719.626734146137 21.9937990159174 -688.37238436058</t>
  </si>
  <si>
    <t>-755.322334032992 50.9524302593754 -558.897679721895</t>
  </si>
  <si>
    <t>-756.49637600197 187.795111781956 -545.826356293417</t>
  </si>
  <si>
    <t>-749.259283847673 226.694433983681 -254.234660321271</t>
  </si>
  <si>
    <t>-509.831504956685 199.775694322798 -255.03986835089</t>
  </si>
  <si>
    <t>-736.956938580352 142.888511072696 -103.47302289839</t>
  </si>
  <si>
    <t>-712.523690809728 173.668638595099 298.161479572941</t>
  </si>
  <si>
    <t>-740.202605223686 245.955235739444 739.336768338637</t>
  </si>
  <si>
    <t>-604.593583496955 195.559066697571 803.817447004615</t>
  </si>
  <si>
    <t>-669.710508531654 -40.4138556396706 306.926731380677</t>
  </si>
  <si>
    <t>-681.285515961749 -29.2710638152362 754.49555507277</t>
  </si>
  <si>
    <t>-573.716280159737 -119.035556126762 828.377243045457</t>
  </si>
  <si>
    <t>9763-20170724T105101.639135000.bin</t>
  </si>
  <si>
    <t>-725.793093963969 47.8049637428874 -97.7207003609647</t>
  </si>
  <si>
    <t>-743.493673367138 39.9094710740972 -211.916072030504</t>
  </si>
  <si>
    <t>-750.598523449221 34.5260574275783 -310.136218670585</t>
  </si>
  <si>
    <t>-754.370869575228 30.0836470306872 -399.042138235362</t>
  </si>
  <si>
    <t>-755.133452393119 26.0455627081751 -488.044158804795</t>
  </si>
  <si>
    <t>-753.036588129762 20.7823291430395 -612.49777349927</t>
  </si>
  <si>
    <t>-719.160663987294 21.8261894977234 -688.368572557531</t>
  </si>
  <si>
    <t>-754.954788009295 50.7642037146477 -558.918634506516</t>
  </si>
  <si>
    <t>-756.226783247409 187.60148596762 -545.746989061971</t>
  </si>
  <si>
    <t>-749.5547053532 226.298261931113 -254.114966301677</t>
  </si>
  <si>
    <t>-510.123002642143 199.411193792281 -254.743188843616</t>
  </si>
  <si>
    <t>-736.646123840191 142.621888272633 -103.499245112638</t>
  </si>
  <si>
    <t>-712.304017973534 173.510140539458 298.132503627911</t>
  </si>
  <si>
    <t>-740.227140716937 245.959333298853 739.267767833705</t>
  </si>
  <si>
    <t>-604.612606686052 195.583584731938 803.752379170488</t>
  </si>
  <si>
    <t>-669.700458056823 -40.6306062501335 306.945111480336</t>
  </si>
  <si>
    <t>-681.277635726552 -29.2943088840384 754.5045831341</t>
  </si>
  <si>
    <t>-573.549385584415 -118.872547657979 828.380680958187</t>
  </si>
  <si>
    <t>9763-20170724T105101.709327300.bin</t>
  </si>
  <si>
    <t>-725.295258083616 47.2859782637081 -97.7474190088602</t>
  </si>
  <si>
    <t>-742.995942915763 39.379474957924 -211.94190729471</t>
  </si>
  <si>
    <t>-750.032424202745 33.944581802351 -310.16416363087</t>
  </si>
  <si>
    <t>-753.715961959922 29.4387364649554 -399.070782525267</t>
  </si>
  <si>
    <t>-754.362958705792 25.3205105665706 -488.069998279582</t>
  </si>
  <si>
    <t>-752.077090205586 19.9280741446421 -612.514845007995</t>
  </si>
  <si>
    <t>-718.048690341768 20.9381395184209 -688.31769350871</t>
  </si>
  <si>
    <t>-754.105296099443 49.9644662027874 -558.970213915649</t>
  </si>
  <si>
    <t>-755.738823729175 186.779289611849 -545.73236074001</t>
  </si>
  <si>
    <t>-750.358197028864 225.21025783458 -254.03845930204</t>
  </si>
  <si>
    <t>-510.999661008094 197.671793489784 -254.118812237933</t>
  </si>
  <si>
    <t>-736.105753835081 142.018228600175 -103.539555938851</t>
  </si>
  <si>
    <t>-711.852519143827 173.037641144909 298.087453385076</t>
  </si>
  <si>
    <t>-740.302539955614 245.799290461816 739.123942643812</t>
  </si>
  <si>
    <t>-604.567104480414 195.736713118997 803.598146539477</t>
  </si>
  <si>
    <t>-669.579196151909 -41.1123307524852 306.981407909725</t>
  </si>
  <si>
    <t>-681.37630960726 -29.601670443149 754.534907768052</t>
  </si>
  <si>
    <t>-573.468253297433 -118.973861410525 828.397943919352</t>
  </si>
  <si>
    <t>9763-20170724T105101.740411900.bin</t>
  </si>
  <si>
    <t>-725.078670975402 47.1218976255122 -97.7632607354772</t>
  </si>
  <si>
    <t>-742.778139823275 39.2166116617836 -211.958126681736</t>
  </si>
  <si>
    <t>-749.788571702326 33.7924123800767 -310.182776121446</t>
  </si>
  <si>
    <t>-753.438191493517 29.2996725697224 -399.091388853142</t>
  </si>
  <si>
    <t>-754.0413040774 25.1981173868892 -488.091689729727</t>
  </si>
  <si>
    <t>-751.682934271106 19.8330101812178 -612.536438108722</t>
  </si>
  <si>
    <t>-717.570435899682 20.8732534371084 -688.300931609829</t>
  </si>
  <si>
    <t>-753.760615642691 49.8568415946547 -558.986717058483</t>
  </si>
  <si>
    <t>-755.498458079511 186.657414940673 -545.68072588091</t>
  </si>
  <si>
    <t>-750.9356422753 225.20524042842 -253.98822506347</t>
  </si>
  <si>
    <t>-511.653148434891 197.01437606577 -253.901055540254</t>
  </si>
  <si>
    <t>-735.925046163796 141.879715251753 -103.564420414497</t>
  </si>
  <si>
    <t>-711.663660612903 172.888620799238 298.06286605007</t>
  </si>
  <si>
    <t>-740.330902605616 245.766492747069 739.056045291183</t>
  </si>
  <si>
    <t>-604.567709754945 195.786956026022 803.536060568437</t>
  </si>
  <si>
    <t>-669.394474015491 -41.2034927781765 306.970153309832</t>
  </si>
  <si>
    <t>-681.307711371812 -29.5117411719373 754.525596156405</t>
  </si>
  <si>
    <t>-573.719403830181 -119.250311588949 828.410883605418</t>
  </si>
  <si>
    <t>9763-20170724T105101.807464900.bin</t>
  </si>
  <si>
    <t>-724.714445103208 46.8101440137384 -97.8070474337643</t>
  </si>
  <si>
    <t>-742.397860073533 38.8830906723267 -212.00285931128</t>
  </si>
  <si>
    <t>-749.375087280359 33.5021828168294 -310.232291648147</t>
  </si>
  <si>
    <t>-752.986101998377 29.0720764978053 -399.145615075936</t>
  </si>
  <si>
    <t>-753.541398104363 25.0572788220461 -488.150193445642</t>
  </si>
  <si>
    <t>-751.106511080065 19.8381377554729 -612.599590526437</t>
  </si>
  <si>
    <t>-716.810344236363 20.9775267469804 -688.279820182434</t>
  </si>
  <si>
    <t>-753.262211417822 49.7974582393731 -559.016855873581</t>
  </si>
  <si>
    <t>-755.381427276459 186.588877363926 -545.503291407894</t>
  </si>
  <si>
    <t>-751.967016341574 225.302346532367 -253.817103066787</t>
  </si>
  <si>
    <t>-512.809312216712 196.072084693635 -253.655114247908</t>
  </si>
  <si>
    <t>-735.715213346828 141.561212681401 -103.601059124583</t>
  </si>
  <si>
    <t>-711.468313132056 172.672877247758 298.019215491628</t>
  </si>
  <si>
    <t>-740.383223625749 245.697157233987 738.94280678021</t>
  </si>
  <si>
    <t>-604.536764586562 195.947298084001 803.425164444563</t>
  </si>
  <si>
    <t>-669.060787150904 -41.2814241027852 306.953370522373</t>
  </si>
  <si>
    <t>-681.20488281983 -29.426962055378 754.49016704168</t>
  </si>
  <si>
    <t>-573.750943008978 -119.306108831626 828.400142685774</t>
  </si>
  <si>
    <t>9763-20170724T105101.844563100.bin</t>
  </si>
  <si>
    <t>-724.542647041912 46.6375209787311 -97.8372434942534</t>
  </si>
  <si>
    <t>-742.201984532221 38.6920262442275 -212.035462492645</t>
  </si>
  <si>
    <t>-749.151911793068 33.3134714459457 -310.267005831063</t>
  </si>
  <si>
    <t>-752.735379648941 28.8916007405501 -399.181859407495</t>
  </si>
  <si>
    <t>-753.260360376849 24.8915309693321 -488.187245706531</t>
  </si>
  <si>
    <t>-750.779793641785 19.6992151697436 -612.63681673394</t>
  </si>
  <si>
    <t>-716.389513914939 20.8956592999975 -688.273466211478</t>
  </si>
  <si>
    <t>-752.971542200114 49.6463513728938 -559.048737405771</t>
  </si>
  <si>
    <t>-755.210140632702 186.421634987385 -545.426142622641</t>
  </si>
  <si>
    <t>-752.491125623166 225.105255237076 -253.728733216673</t>
  </si>
  <si>
    <t>-513.380266324644 195.494760944041 -253.436698580205</t>
  </si>
  <si>
    <t>-735.606039876491 141.392089773263 -103.638926865123</t>
  </si>
  <si>
    <t>-711.494130683279 172.646838159202 297.978356430337</t>
  </si>
  <si>
    <t>-740.40725843786 245.694314077313 738.899555171231</t>
  </si>
  <si>
    <t>-604.550633792597 195.968145822329 803.379058741987</t>
  </si>
  <si>
    <t>-668.961681328557 -41.3951877247036 306.927881964987</t>
  </si>
  <si>
    <t>-681.167277125431 -29.4102264803462 754.473209989904</t>
  </si>
  <si>
    <t>-573.63168958815 -119.192167278214 828.382539531944</t>
  </si>
  <si>
    <t>9763-20170724T105101.908276100.bin</t>
  </si>
  <si>
    <t>-724.363867204097 46.389726977286 -97.8751952848203</t>
  </si>
  <si>
    <t>-741.973631175195 38.43414742551 -212.080398464399</t>
  </si>
  <si>
    <t>-748.817777346187 33.1020028885891 -310.321902641943</t>
  </si>
  <si>
    <t>-752.279350286758 28.7431461462443 -399.244630918539</t>
  </si>
  <si>
    <t>-752.655671119219 24.8268166715247 -488.254445881686</t>
  </si>
  <si>
    <t>-749.939480186232 19.773301480978 -612.704886689953</t>
  </si>
  <si>
    <t>-715.344856449899 21.103334695415 -688.246006593368</t>
  </si>
  <si>
    <t>-752.267136689766 49.6591581052705 -559.088447641689</t>
  </si>
  <si>
    <t>-754.729937857725 186.408866892091 -545.28524106815</t>
  </si>
  <si>
    <t>-753.57116148296 224.745519356251 -253.53168495134</t>
  </si>
  <si>
    <t>-514.587016117423 194.13495396339 -252.840233218476</t>
  </si>
  <si>
    <t>-735.505074760573 141.24791760864 -103.705035282933</t>
  </si>
  <si>
    <t>-711.53803747199 172.500898635257 297.921079866571</t>
  </si>
  <si>
    <t>-740.458024291585 245.658054213722 738.829249178458</t>
  </si>
  <si>
    <t>-604.548977568007 196.075874763782 803.309224785054</t>
  </si>
  <si>
    <t>-668.85561399937 -41.7083968324339 306.922841519782</t>
  </si>
  <si>
    <t>-681.225868449326 -29.6338776548594 754.463397955437</t>
  </si>
  <si>
    <t>-573.18814231854 -118.838947186079 828.338838477989</t>
  </si>
  <si>
    <t>9763-20170724T105101.942369600.bin</t>
  </si>
  <si>
    <t>-724.261395976272 46.2222155145209 -97.9014442329652</t>
  </si>
  <si>
    <t>-741.838411012399 38.2779111723028 -212.112465515999</t>
  </si>
  <si>
    <t>-748.619603270104 32.9654338993068 -310.359337566174</t>
  </si>
  <si>
    <t>-752.010170199497 28.6276869631963 -399.285917573922</t>
  </si>
  <si>
    <t>-752.30140894227 24.7361507642252 -488.297233695109</t>
  </si>
  <si>
    <t>-749.451539970572 19.7207976735817 -612.746068478191</t>
  </si>
  <si>
    <t>-714.752107745396 21.0991022740341 -688.238391532349</t>
  </si>
  <si>
    <t>-751.846497147443 49.589785278813 -559.123200532782</t>
  </si>
  <si>
    <t>-754.398631022966 186.337785648337 -545.245476949884</t>
  </si>
  <si>
    <t>-754.047208548267 224.6589536987 -253.48776810907</t>
  </si>
  <si>
    <t>-515.138715774312 193.471539896703 -252.523743397701</t>
  </si>
  <si>
    <t>-735.404629050088 141.051138754595 -103.709850357015</t>
  </si>
  <si>
    <t>-711.544070932217 172.392245562607 297.915695923661</t>
  </si>
  <si>
    <t>-740.486146741301 245.633864355068 738.802369437018</t>
  </si>
  <si>
    <t>-604.576075754244 196.060415690894 803.286632091089</t>
  </si>
  <si>
    <t>-668.823222817821 -41.6739171425293 306.894049201883</t>
  </si>
  <si>
    <t>-681.15139350506 -29.522629966923 754.447534053401</t>
  </si>
  <si>
    <t>-573.50307445776 -119.177487457961 828.346899290612</t>
  </si>
  <si>
    <t>9763-20170724T105102.009564700.bin</t>
  </si>
  <si>
    <t>-724.031502754911 45.8377763776282 -97.9197023405054</t>
  </si>
  <si>
    <t>-741.569756588417 37.901301499609 -212.137217507502</t>
  </si>
  <si>
    <t>-748.271900255936 32.6164026354572 -310.39106821484</t>
  </si>
  <si>
    <t>-751.572542442652 28.3123201733847 -399.322467508273</t>
  </si>
  <si>
    <t>-751.755233116761 24.4629584720326 -488.336040336333</t>
  </si>
  <si>
    <t>-748.733750008817 19.516188436841 -612.783626781966</t>
  </si>
  <si>
    <t>-713.822351740025 20.9375647869413 -688.17725505531</t>
  </si>
  <si>
    <t>-751.22923499848 49.3546341380809 -559.148192231443</t>
  </si>
  <si>
    <t>-753.941572472647 186.075817505186 -545.141424010643</t>
  </si>
  <si>
    <t>-755.167206621128 224.193432304158 -253.359438796682</t>
  </si>
  <si>
    <t>-516.464429162782 191.482655756964 -251.997567143212</t>
  </si>
  <si>
    <t>-735.172804091571 140.578658521656 -103.722666704943</t>
  </si>
  <si>
    <t>-711.512575647027 172.154492013253 297.896390891342</t>
  </si>
  <si>
    <t>-740.537979147581 245.590248608632 738.737304985729</t>
  </si>
  <si>
    <t>-604.605308245569 196.098155257467 803.236374512429</t>
  </si>
  <si>
    <t>-668.750970546274 -42.0350865961329 306.878226681922</t>
  </si>
  <si>
    <t>-681.126588619027 -29.5754109760737 754.431071901179</t>
  </si>
  <si>
    <t>-573.507096376213 -119.261624285906 828.334485507226</t>
  </si>
  <si>
    <t>9763-20170724T105102.040647900.bin</t>
  </si>
  <si>
    <t>-723.973289814459 45.6765663107799 -97.9146853319696</t>
  </si>
  <si>
    <t>-741.508037816591 37.7409505864605 -212.1327716093</t>
  </si>
  <si>
    <t>-748.194652874652 32.4643916066511 -310.38810160669</t>
  </si>
  <si>
    <t>-751.476078608873 28.1711029140436 -399.320924594985</t>
  </si>
  <si>
    <t>-751.634385883429 24.3359700365422 -488.334963709518</t>
  </si>
  <si>
    <t>-748.573686887785 19.412752367004 -612.782540522175</t>
  </si>
  <si>
    <t>-713.564537868525 20.8393197186499 -688.130838709336</t>
  </si>
  <si>
    <t>-751.099588195537 49.2403847814508 -559.142724644917</t>
  </si>
  <si>
    <t>-753.871730385431 185.955507785176 -545.023144803378</t>
  </si>
  <si>
    <t>-755.957575955289 224.243722050914 -253.268170820732</t>
  </si>
  <si>
    <t>-517.363885148135 190.744248734151 -251.956664457224</t>
  </si>
  <si>
    <t>-735.133212810671 140.404487115982 -103.721386569189</t>
  </si>
  <si>
    <t>-711.447155313539 172.043450288774 297.891134292311</t>
  </si>
  <si>
    <t>-740.559473699539 245.621986269773 738.702131280165</t>
  </si>
  <si>
    <t>-604.646524238404 196.08745274164 803.210260668975</t>
  </si>
  <si>
    <t>-668.713366877278 -42.1509533029416 306.885789245844</t>
  </si>
  <si>
    <t>-681.060881872679 -29.4836065110148 754.421372641009</t>
  </si>
  <si>
    <t>-573.414457097643 -119.139459677258 828.322218186101</t>
  </si>
  <si>
    <t>9763-20170724T105102.112370600.bin</t>
  </si>
  <si>
    <t>-723.837412377139 45.1374523642278 -97.9031566459306</t>
  </si>
  <si>
    <t>-741.363848536163 37.2031693226788 -212.122726614406</t>
  </si>
  <si>
    <t>-747.991544441895 31.9253696398137 -310.381917822151</t>
  </si>
  <si>
    <t>-751.199141590434 27.6297479038476 -399.31726360955</t>
  </si>
  <si>
    <t>-751.262812519375 23.7921009922738 -488.331371469396</t>
  </si>
  <si>
    <t>-748.048439002092 18.8649701793984 -612.774936754328</t>
  </si>
  <si>
    <t>-712.831772939907 20.291312168994 -688.026382252497</t>
  </si>
  <si>
    <t>-750.668735362265 48.6929934174495 -559.139895977244</t>
  </si>
  <si>
    <t>-753.646940251142 185.395185889378 -544.989707892221</t>
  </si>
  <si>
    <t>-757.666206128022 223.598419086121 -253.243907682282</t>
  </si>
  <si>
    <t>-519.219869991294 189.060390439935 -252.071242040243</t>
  </si>
  <si>
    <t>-735.041974082793 139.848177721679 -103.703907429472</t>
  </si>
  <si>
    <t>-711.343376746858 171.62424437151 297.897008666387</t>
  </si>
  <si>
    <t>-740.603798302308 245.625682507244 738.622278297097</t>
  </si>
  <si>
    <t>-604.672773399816 196.145898592408 803.134304221926</t>
  </si>
  <si>
    <t>-668.780025476948 -42.3309501730598 306.907113231872</t>
  </si>
  <si>
    <t>-681.002908780693 -29.474713216284 754.421008347803</t>
  </si>
  <si>
    <t>-573.469097218623 -119.258551491365 828.330715448792</t>
  </si>
  <si>
    <t>9763-20170724T105102.146461600.bin</t>
  </si>
  <si>
    <t>-723.759045790063 44.8908967415503 -97.9108112157145</t>
  </si>
  <si>
    <t>-741.26513695676 36.9411399405435 -212.13224160454</t>
  </si>
  <si>
    <t>-747.846578567417 31.6616731778081 -310.39459671001</t>
  </si>
  <si>
    <t>-751.000196280276 27.3687933869178 -399.332017790821</t>
  </si>
  <si>
    <t>-750.998264955596 23.5378001303654 -488.346503306767</t>
  </si>
  <si>
    <t>-747.679538649726 18.6245489720041 -612.78782253076</t>
  </si>
  <si>
    <t>-712.369283804587 20.0710751921815 -687.995013799198</t>
  </si>
  <si>
    <t>-750.357177083767 48.4460862430881 -559.151841554261</t>
  </si>
  <si>
    <t>-753.454218736825 185.14388759027 -544.984320436993</t>
  </si>
  <si>
    <t>-758.397028679646 223.413613706365 -253.261510075145</t>
  </si>
  <si>
    <t>-519.978286143738 188.686788648736 -252.061889604457</t>
  </si>
  <si>
    <t>-735.00506710577 139.601092775423 -103.712666180064</t>
  </si>
  <si>
    <t>-711.357508333125 171.480820112639 297.883104221905</t>
  </si>
  <si>
    <t>-740.629615775705 245.60354728299 738.580575571547</t>
  </si>
  <si>
    <t>-604.688665299195 196.159144873282 803.098786709873</t>
  </si>
  <si>
    <t>-668.83859802235 -42.4836872266637 306.918447793079</t>
  </si>
  <si>
    <t>-680.977389522509 -29.4727278100938 754.425696143135</t>
  </si>
  <si>
    <t>-573.428449531255 -119.239971055464 828.333633320697</t>
  </si>
  <si>
    <t>9763-20170724T105102.210712400.bin</t>
  </si>
  <si>
    <t>-723.641454024248 44.3660077792226 -97.9435258786634</t>
  </si>
  <si>
    <t>-741.086637569831 36.3922446822717 -212.172607542081</t>
  </si>
  <si>
    <t>-747.595251875824 31.0961487667507 -310.438811996061</t>
  </si>
  <si>
    <t>-750.674754802366 26.7890202359147 -399.378108444611</t>
  </si>
  <si>
    <t>-750.590299202594 22.9448404711438 -488.392101122608</t>
  </si>
  <si>
    <t>-747.147324379483 18.0134543020079 -612.829255225745</t>
  </si>
  <si>
    <t>-711.656721559355 19.4969018705669 -687.950914131545</t>
  </si>
  <si>
    <t>-749.893715837903 47.8421791767125 -559.200821806083</t>
  </si>
  <si>
    <t>-753.135782425839 184.541122721739 -545.030704664753</t>
  </si>
  <si>
    <t>-759.908037736602 222.936094167715 -253.361021481847</t>
  </si>
  <si>
    <t>-521.4612781153 188.425578740064 -251.614668667588</t>
  </si>
  <si>
    <t>-734.893948344012 138.993491193497 -103.750771785076</t>
  </si>
  <si>
    <t>-711.501185993453 171.232997844155 297.831129086009</t>
  </si>
  <si>
    <t>-740.68211553738 245.546543636563 738.495166833695</t>
  </si>
  <si>
    <t>-604.692173170231 196.2511964339 803.024716490056</t>
  </si>
  <si>
    <t>-669.004761108808 -42.9077132013967 306.932039548684</t>
  </si>
  <si>
    <t>-680.978311278232 -29.5633669884103 754.442106432029</t>
  </si>
  <si>
    <t>-573.288880573859 -119.175705242354 828.333088533121</t>
  </si>
  <si>
    <t>9763-20170724T105102.243799500.bin</t>
  </si>
  <si>
    <t>-723.662622544959 44.1683706908645 -97.9595264151814</t>
  </si>
  <si>
    <t>-741.09968932346 36.1840767782471 -212.189306614492</t>
  </si>
  <si>
    <t>-747.594468069975 30.8730903662893 -310.455508826191</t>
  </si>
  <si>
    <t>-750.659075308226 26.5505993333475 -399.39470637213</t>
  </si>
  <si>
    <t>-750.557433007408 22.6891350123624 -488.407655830329</t>
  </si>
  <si>
    <t>-747.087652165604 17.7322699212968 -612.843291888133</t>
  </si>
  <si>
    <t>-711.521852886716 19.2242610665992 -687.929055484826</t>
  </si>
  <si>
    <t>-749.866294249803 47.5709074692804 -559.22203749836</t>
  </si>
  <si>
    <t>-753.216333639914 184.26577519538 -545.067719186462</t>
  </si>
  <si>
    <t>-760.784014331728 222.702037967183 -253.423054692273</t>
  </si>
  <si>
    <t>-522.321123849845 188.318991254648 -251.369914998012</t>
  </si>
  <si>
    <t>-734.970820624598 138.785070951648 -103.777574946965</t>
  </si>
  <si>
    <t>-711.581824474007 171.120601328912 297.796859583597</t>
  </si>
  <si>
    <t>-740.705807435935 245.517579627019 738.449509290117</t>
  </si>
  <si>
    <t>-604.686524126444 196.317022616513 802.989396316926</t>
  </si>
  <si>
    <t>-669.058326510345 -42.9903736394838 306.939289162192</t>
  </si>
  <si>
    <t>-680.92099501245 -29.4859507081842 754.449546059852</t>
  </si>
  <si>
    <t>-573.363851766039 -119.25579360227 828.342247048596</t>
  </si>
  <si>
    <t>9763-20170724T105102.311639900.bin</t>
  </si>
  <si>
    <t>-723.842336901099 43.5365889239013 -97.9452766136468</t>
  </si>
  <si>
    <t>-741.300409324949 35.5386914097232 -212.170814019562</t>
  </si>
  <si>
    <t>-747.791311099365 30.2297581271946 -310.437446186016</t>
  </si>
  <si>
    <t>-750.843354837246 25.9151887180799 -399.377398297286</t>
  </si>
  <si>
    <t>-750.720137433282 22.0694507570313 -488.391241195914</t>
  </si>
  <si>
    <t>-747.211504964058 17.1434180423184 -612.826788251393</t>
  </si>
  <si>
    <t>-711.522552682276 18.6603950969277 -687.853686515573</t>
  </si>
  <si>
    <t>-750.082681466876 46.9650939866842 -559.200908960152</t>
  </si>
  <si>
    <t>-753.832597283297 183.650219518552 -545.036534305381</t>
  </si>
  <si>
    <t>-762.683425126186 222.180165422693 -253.440467624754</t>
  </si>
  <si>
    <t>-524.202488557444 187.942357660921 -251.092160269374</t>
  </si>
  <si>
    <t>-735.293385049232 138.220100291227 -103.770227833732</t>
  </si>
  <si>
    <t>-711.696549660427 170.715080901486 297.779184184942</t>
  </si>
  <si>
    <t>-740.756383330931 245.534622463586 738.381209587122</t>
  </si>
  <si>
    <t>-604.74225548943 196.334269105922 802.931817548432</t>
  </si>
  <si>
    <t>-669.364880812955 -43.3163541572208 306.965778427542</t>
  </si>
  <si>
    <t>-680.958901973615 -29.6343529455705 754.475103883395</t>
  </si>
  <si>
    <t>-573.217073899181 -119.207465814511 828.337486742429</t>
  </si>
  <si>
    <t>9763-20170724T105102.344727100.bin</t>
  </si>
  <si>
    <t>-723.8845642633 43.2501226697796 -97.9393125252851</t>
  </si>
  <si>
    <t>-741.355436513064 35.2277171744049 -212.161177484728</t>
  </si>
  <si>
    <t>-747.851924363832 29.9131053244616 -310.427109289986</t>
  </si>
  <si>
    <t>-750.906832539394 25.5993168885209 -399.366980375979</t>
  </si>
  <si>
    <t>-750.784538113581 21.7615185924262 -488.381107029362</t>
  </si>
  <si>
    <t>-747.274739598477 16.8544940295135 -612.817403222623</t>
  </si>
  <si>
    <t>-711.539668472684 18.3821818961267 -687.822226960965</t>
  </si>
  <si>
    <t>-750.193771388863 46.6657208581707 -559.188497032576</t>
  </si>
  <si>
    <t>-754.206221918734 183.34576299489 -544.999185478731</t>
  </si>
  <si>
    <t>-763.64259863303 221.840266985713 -253.41673686483</t>
  </si>
  <si>
    <t>-525.133092631529 187.798886807386 -251.104279592119</t>
  </si>
  <si>
    <t>-735.440564527769 137.872232607541 -103.765145481182</t>
  </si>
  <si>
    <t>-711.816376461943 170.546518777286 297.768181580784</t>
  </si>
  <si>
    <t>-740.785902184417 245.50363650535 738.347664220766</t>
  </si>
  <si>
    <t>-604.756600847459 196.34520431085 802.898215313623</t>
  </si>
  <si>
    <t>-669.466766658008 -43.4042704304281 306.975761142381</t>
  </si>
  <si>
    <t>-680.877573363867 -29.4999753994675 754.477121927413</t>
  </si>
  <si>
    <t>-573.433054413705 -119.419543078915 828.351696175835</t>
  </si>
  <si>
    <t>9763-20170724T105102.412415500.bin</t>
  </si>
  <si>
    <t>-724.005792136325 42.4209567950927 -97.9574759786428</t>
  </si>
  <si>
    <t>-741.520780903793 34.3277106910305 -212.167517340869</t>
  </si>
  <si>
    <t>-748.056999122341 28.9917859353247 -310.429830037282</t>
  </si>
  <si>
    <t>-751.148140192317 24.6737018173599 -399.36820800787</t>
  </si>
  <si>
    <t>-751.062259318054 20.8486299832864 -488.382839136403</t>
  </si>
  <si>
    <t>-747.603522964629 15.9777061845377 -612.822020006368</t>
  </si>
  <si>
    <t>-711.833178711187 17.565323398959 -687.808524123532</t>
  </si>
  <si>
    <t>-750.612153486574 45.7674492941867 -559.186037477045</t>
  </si>
  <si>
    <t>-755.246033870956 182.41562037011 -544.92804910226</t>
  </si>
  <si>
    <t>-765.6678069008 220.763264800011 -253.359754486751</t>
  </si>
  <si>
    <t>-527.122405558407 186.967847170909 -251.159631771515</t>
  </si>
  <si>
    <t>-735.785841831921 137.065186424968 -103.788482560597</t>
  </si>
  <si>
    <t>-712.073577363925 170.132263528337 297.707436315381</t>
  </si>
  <si>
    <t>-740.83163778578 245.459469682347 738.245241840028</t>
  </si>
  <si>
    <t>-604.763877134077 196.414659770509 802.801316155501</t>
  </si>
  <si>
    <t>-669.773474528653 -43.9533791548793 307.006053380017</t>
  </si>
  <si>
    <t>-680.98602650587 -29.819547835192 754.505260928144</t>
  </si>
  <si>
    <t>-572.993199324531 -119.114704295394 828.337775349436</t>
  </si>
  <si>
    <t>9763-20170724T105102.441489100.bin</t>
  </si>
  <si>
    <t>-724.094914189613 41.9677626344785 -97.964069160661</t>
  </si>
  <si>
    <t>-741.637214974815 33.8428279102643 -212.167739700086</t>
  </si>
  <si>
    <t>-748.195415921267 28.4964102687884 -310.427806299396</t>
  </si>
  <si>
    <t>-751.305653339355 24.1749881314352 -399.365435507812</t>
  </si>
  <si>
    <t>-751.237968529683 20.3533348768603 -488.380247362755</t>
  </si>
  <si>
    <t>-747.803665242464 15.4948939935862 -612.820711933701</t>
  </si>
  <si>
    <t>-712.037631747459 17.1371656924623 -687.808155296525</t>
  </si>
  <si>
    <t>-750.863821824999 45.2757627281924 -559.182467950668</t>
  </si>
  <si>
    <t>-755.825725184753 181.908083679946 -544.879030884582</t>
  </si>
  <si>
    <t>-766.699720159302 220.276690253917 -253.330023513225</t>
  </si>
  <si>
    <t>-528.1465185387 186.544077636101 -251.006348698885</t>
  </si>
  <si>
    <t>-736.034523652785 136.65675308228 -103.790287586149</t>
  </si>
  <si>
    <t>-712.20497396475 169.873391822412 297.686335804336</t>
  </si>
  <si>
    <t>-740.857444144302 245.43022772468 738.199603875671</t>
  </si>
  <si>
    <t>-604.73585963156 196.534011797217 802.75469828414</t>
  </si>
  <si>
    <t>-669.913877155853 -44.1624583709706 307.017163111389</t>
  </si>
  <si>
    <t>-680.990548932105 -29.8650569368824 754.511844810938</t>
  </si>
  <si>
    <t>-572.796193519566 -118.930836047017 828.326315030762</t>
  </si>
  <si>
    <t>9763-20170724T105102.513249200.bin</t>
  </si>
  <si>
    <t>-724.266148061593 41.1871601871455 -97.9877187882165</t>
  </si>
  <si>
    <t>-741.859983489488 32.9793013742383 -212.177484273847</t>
  </si>
  <si>
    <t>-748.460198597249 27.6169501744223 -310.434105465804</t>
  </si>
  <si>
    <t>-751.607117358202 23.3014542379556 -399.37059760879</t>
  </si>
  <si>
    <t>-751.574536057881 19.5080868397913 -488.386583916474</t>
  </si>
  <si>
    <t>-748.187348751471 14.7128199610538 -612.830731971006</t>
  </si>
  <si>
    <t>-712.429587363757 16.5085868793244 -687.818701095087</t>
  </si>
  <si>
    <t>-751.355201476054 44.4589641202379 -559.179690976581</t>
  </si>
  <si>
    <t>-756.928643836961 181.05326778382 -544.763543077986</t>
  </si>
  <si>
    <t>-768.720085967576 219.364879034961 -253.242665750718</t>
  </si>
  <si>
    <t>-530.14820518972 185.794893289059 -250.526280584358</t>
  </si>
  <si>
    <t>-736.575495489798 135.843570886496 -103.810057892194</t>
  </si>
  <si>
    <t>-712.498684416478 169.450969579212 297.619307143884</t>
  </si>
  <si>
    <t>-740.902125211042 245.366436169763 738.092629575017</t>
  </si>
  <si>
    <t>-604.727829510241 196.63278539916 802.659595454277</t>
  </si>
  <si>
    <t>-670.150867200835 -44.464590346638 307.035996549518</t>
  </si>
  <si>
    <t>-680.968815287754 -29.9062122825865 754.527072540934</t>
  </si>
  <si>
    <t>-572.987810960076 -119.226569483184 828.346360182824</t>
  </si>
  <si>
    <t>9763-20170724T105102.549358300.bin</t>
  </si>
  <si>
    <t>-724.364111886162 40.8217144977464 -97.9999327665597</t>
  </si>
  <si>
    <t>-741.993331040483 32.5696609513134 -212.181151726984</t>
  </si>
  <si>
    <t>-748.622153261633 27.204111427546 -310.435473425733</t>
  </si>
  <si>
    <t>-751.793572262339 22.898696565868 -399.371599933194</t>
  </si>
  <si>
    <t>-751.784260376958 19.1292367222734 -488.388700778733</t>
  </si>
  <si>
    <t>-748.428130215713 14.3820586535344 -612.835503377911</t>
  </si>
  <si>
    <t>-712.672488375515 16.2535409044724 -687.822681013753</t>
  </si>
  <si>
    <t>-751.642427696259 44.1037174979774 -559.173566885707</t>
  </si>
  <si>
    <t>-757.533536299245 180.67870277817 -544.684634575969</t>
  </si>
  <si>
    <t>-769.709764460498 218.882507151872 -253.165396335003</t>
  </si>
  <si>
    <t>-531.113121476647 185.496922850636 -250.349057908675</t>
  </si>
  <si>
    <t>-736.823321230142 135.459704740184 -103.816830001939</t>
  </si>
  <si>
    <t>-712.66159019075 169.2663599751 297.590652594812</t>
  </si>
  <si>
    <t>-740.927884895256 245.374490240448 738.03784754581</t>
  </si>
  <si>
    <t>-604.74418306679 196.672907146646 802.609127515986</t>
  </si>
  <si>
    <t>-670.303812258112 -44.6324231785757 307.046232176346</t>
  </si>
  <si>
    <t>-680.980796169275 -29.9679784114626 754.539964789156</t>
  </si>
  <si>
    <t>-573.040289677501 -119.34288275187 828.352257103548</t>
  </si>
  <si>
    <t>9763-20170724T105102.607562000.bin</t>
  </si>
  <si>
    <t>-724.586602599577 40.0717867513147 -98.0193023894095</t>
  </si>
  <si>
    <t>-742.290886481709 31.7272720555998 -212.1820791128</t>
  </si>
  <si>
    <t>-748.980557810186 26.3632815303044 -310.432479934074</t>
  </si>
  <si>
    <t>-752.20481597541 22.0899401071886 -399.368276180475</t>
  </si>
  <si>
    <t>-752.24571698623 18.3854672715195 -488.38801910584</t>
  </si>
  <si>
    <t>-748.956604388099 13.7640111413054 -612.841413790762</t>
  </si>
  <si>
    <t>-713.221472482186 15.8102174273713 -687.833728512959</t>
  </si>
  <si>
    <t>-752.267529552438 43.4230317684087 -559.150746424603</t>
  </si>
  <si>
    <t>-758.769324798872 179.949629134465 -544.486689686081</t>
  </si>
  <si>
    <t>-771.70489958987 217.634097326891 -252.932516189494</t>
  </si>
  <si>
    <t>-533.041988302257 184.737046038648 -249.989911178075</t>
  </si>
  <si>
    <t>-737.394820996062 134.646809822859 -103.843848918364</t>
  </si>
  <si>
    <t>-712.972165558436 168.786610727004 297.519686928818</t>
  </si>
  <si>
    <t>-740.993657610833 245.281338430263 737.928730280413</t>
  </si>
  <si>
    <t>-604.752687738227 196.742071282786 802.501770812856</t>
  </si>
  <si>
    <t>-670.704635833971 -44.9978504374237 307.078994414959</t>
  </si>
  <si>
    <t>-680.97479133456 -29.9991080455645 754.576344533262</t>
  </si>
  <si>
    <t>-572.848742985627 -119.184446308399 828.346587268524</t>
  </si>
  <si>
    <t>9763-20170724T105102.640650900.bin</t>
  </si>
  <si>
    <t>-724.723255225919 39.6637981221836 -98.0240553999599</t>
  </si>
  <si>
    <t>-742.471454933633 31.2789261689877 -212.177042606851</t>
  </si>
  <si>
    <t>-749.190430540031 25.9097195589466 -310.425192497426</t>
  </si>
  <si>
    <t>-752.437438292018 21.6430962867912 -399.360480002907</t>
  </si>
  <si>
    <t>-752.497451102615 17.957455705468 -488.381114481915</t>
  </si>
  <si>
    <t>-749.231042644065 13.3754159661639 -612.83638860521</t>
  </si>
  <si>
    <t>-713.502546091714 15.5173918659407 -687.829221064232</t>
  </si>
  <si>
    <t>-752.600251955657 43.0126640903366 -559.137410617121</t>
  </si>
  <si>
    <t>-759.438568941323 179.518952219111 -544.380826159909</t>
  </si>
  <si>
    <t>-772.649507172638 217.059674605209 -252.820608136856</t>
  </si>
  <si>
    <t>-533.96611599901 184.329857348705 -249.678636578573</t>
  </si>
  <si>
    <t>-737.689566287991 134.226512330193 -103.847297995553</t>
  </si>
  <si>
    <t>-713.129015990681 168.536284744487 297.493280341002</t>
  </si>
  <si>
    <t>-741.024566735225 245.254770759658 737.87259848224</t>
  </si>
  <si>
    <t>-604.76522497918 196.772169463442 802.448901870339</t>
  </si>
  <si>
    <t>-670.96240041038 -45.189710435973 307.104292284405</t>
  </si>
  <si>
    <t>-681.045763682941 -30.17896140778 754.600473189228</t>
  </si>
  <si>
    <t>-572.665633340588 -119.078373767692 828.342859015807</t>
  </si>
  <si>
    <t>9763-20170724T105102.711658800.bin</t>
  </si>
  <si>
    <t>-724.97338990128 39.0439615953085 -98.0419694531987</t>
  </si>
  <si>
    <t>-742.780862784387 30.581878141119 -212.180126482114</t>
  </si>
  <si>
    <t>-749.525137861169 25.2329078562068 -310.427519816338</t>
  </si>
  <si>
    <t>-752.783816763828 21.0177195533377 -399.364876955563</t>
  </si>
  <si>
    <t>-752.843992206571 17.4187704951614 -488.388966075923</t>
  </si>
  <si>
    <t>-749.565621034312 12.9952916344755 -612.849873019774</t>
  </si>
  <si>
    <t>-713.837453649624 15.3511559483136 -687.836308254918</t>
  </si>
  <si>
    <t>-753.068648105599 42.5547770284491 -559.116341262129</t>
  </si>
  <si>
    <t>-760.515540012333 179.006224792415 -544.201531827483</t>
  </si>
  <si>
    <t>-774.522123014392 216.099329689587 -252.621156208893</t>
  </si>
  <si>
    <t>-535.781745344954 183.825214887093 -249.120381154706</t>
  </si>
  <si>
    <t>-738.305813998816 133.533385639077 -103.864558629051</t>
  </si>
  <si>
    <t>-713.456800412272 168.165030498387 297.430713888705</t>
  </si>
  <si>
    <t>-741.085916207086 245.254502914014 737.76094461037</t>
  </si>
  <si>
    <t>-604.841311293738 196.743335847418 802.34686406662</t>
  </si>
  <si>
    <t>-671.307133671775 -45.3913030028311 307.131828108959</t>
  </si>
  <si>
    <t>-681.000210864362 -30.1349611196736 754.625947164844</t>
  </si>
  <si>
    <t>-572.816916125099 -119.281426199164 828.359237954386</t>
  </si>
  <si>
    <t>9763-20170724T105102.743743100.bin</t>
  </si>
  <si>
    <t>-725.128899845475 38.7497875699291 -98.0603270368699</t>
  </si>
  <si>
    <t>-742.956890432572 30.2442900636363 -212.192003318906</t>
  </si>
  <si>
    <t>-749.700572667275 24.9000395649925 -310.439654770058</t>
  </si>
  <si>
    <t>-752.950778046832 20.7047028307543 -399.37840352158</t>
  </si>
  <si>
    <t>-752.994628667912 17.1424912753 -488.403837734034</t>
  </si>
  <si>
    <t>-749.684765588283 12.7879714129854 -612.866306712939</t>
  </si>
  <si>
    <t>-713.950457596739 15.2424326874752 -687.846688623201</t>
  </si>
  <si>
    <t>-753.260544283813 42.3131793046393 -559.118888464019</t>
  </si>
  <si>
    <t>-761.018098887778 178.744926176898 -544.111003566878</t>
  </si>
  <si>
    <t>-775.459649398674 215.659258941782 -252.529147694331</t>
  </si>
  <si>
    <t>-536.693158334506 183.596269773007 -248.871938208098</t>
  </si>
  <si>
    <t>-738.670738170292 133.218670148751 -103.886399055099</t>
  </si>
  <si>
    <t>-713.678202512112 167.997908486169 297.387120888546</t>
  </si>
  <si>
    <t>-741.114878589327 245.241099004675 737.708547045853</t>
  </si>
  <si>
    <t>-604.854325860473 196.779490365304 802.298193749314</t>
  </si>
  <si>
    <t>-671.485491074148 -45.4888406319324 307.141846550913</t>
  </si>
  <si>
    <t>-680.958497832985 -30.0739702597368 754.635127166652</t>
  </si>
  <si>
    <t>-572.707650218145 -119.149285452164 828.355296341446</t>
  </si>
  <si>
    <t>9763-20170724T105102.808925800.bin</t>
  </si>
  <si>
    <t>-725.392251289745 38.3200263968115 -98.0919495526379</t>
  </si>
  <si>
    <t>-743.249886545641 29.7243042965524 -212.212201257364</t>
  </si>
  <si>
    <t>-750.00121045782 24.3747028538201 -310.459210698687</t>
  </si>
  <si>
    <t>-753.250321194959 20.2013250755006 -399.398778128616</t>
  </si>
  <si>
    <t>-753.284700745834 16.6884222689105 -488.426357924906</t>
  </si>
  <si>
    <t>-749.952716459095 12.4318774149751 -612.891502935148</t>
  </si>
  <si>
    <t>-714.221619157098 15.0675709833492 -687.867399892716</t>
  </si>
  <si>
    <t>-753.645818106328 41.9062238826114 -559.124081752731</t>
  </si>
  <si>
    <t>-762.001861295585 178.274858083847 -543.954212577402</t>
  </si>
  <si>
    <t>-777.334013269344 214.770512916195 -252.36510457267</t>
  </si>
  <si>
    <t>-538.527137134737 183.071365333499 -248.195497418942</t>
  </si>
  <si>
    <t>-739.284143786032 132.781174745211 -103.933702667091</t>
  </si>
  <si>
    <t>-714.108228912042 167.747039517636 297.312175860783</t>
  </si>
  <si>
    <t>-741.167774435926 245.233084815058 737.609218821629</t>
  </si>
  <si>
    <t>-604.937268908056 196.702652523036 802.210472810851</t>
  </si>
  <si>
    <t>-671.869773765785 -45.8246881554539 307.168238185312</t>
  </si>
  <si>
    <t>-681.045384232443 -30.3203283804953 754.66410813978</t>
  </si>
  <si>
    <t>-572.307726431047 -118.841589755772 828.335179292605</t>
  </si>
  <si>
    <t>9763-20170724T105102.842017200.bin</t>
  </si>
  <si>
    <t>-725.467154849111 38.1204299014928 -98.1121336781699</t>
  </si>
  <si>
    <t>-743.326196036699 29.4830936451124 -212.22893783018</t>
  </si>
  <si>
    <t>-750.075363089564 24.1342513326299 -310.476163350719</t>
  </si>
  <si>
    <t>-753.320582971284 19.9753093725874 -399.416585690439</t>
  </si>
  <si>
    <t>-753.349251698372 16.4912564763276 -488.445313689362</t>
  </si>
  <si>
    <t>-750.00678878571 12.290190355154 -612.912179207062</t>
  </si>
  <si>
    <t>-714.273114124902 15.0176773473659 -687.883564959064</t>
  </si>
  <si>
    <t>-753.753421220687 41.7364907832291 -559.133039273559</t>
  </si>
  <si>
    <t>-762.343409569249 178.080812289934 -543.855923933672</t>
  </si>
  <si>
    <t>-778.080401904135 214.389642979403 -252.265092194446</t>
  </si>
  <si>
    <t>-539.259865965538 182.824011367004 -247.879906587287</t>
  </si>
  <si>
    <t>-739.502673713834 132.553929783937 -103.961999642089</t>
  </si>
  <si>
    <t>-714.325870020567 167.694538068408 297.268524558631</t>
  </si>
  <si>
    <t>-741.194765347992 245.236217083346 737.558349400949</t>
  </si>
  <si>
    <t>-604.983678730482 196.655924367493 802.163339491722</t>
  </si>
  <si>
    <t>-672.062335340869 -45.8514537006811 307.173909633992</t>
  </si>
  <si>
    <t>-681.043395098255 -30.3467059905547 754.671616350936</t>
  </si>
  <si>
    <t>-572.385820227686 -118.968117445856 828.340225635038</t>
  </si>
  <si>
    <t>9763-20170724T105102.908012300.bin</t>
  </si>
  <si>
    <t>-725.586062084981 37.9761018211409 -98.1969465349242</t>
  </si>
  <si>
    <t>-743.41010676681 29.3059524719022 -212.316860497113</t>
  </si>
  <si>
    <t>-750.134483480841 23.9747999898061 -310.566605912942</t>
  </si>
  <si>
    <t>-753.359117166327 19.8489474034805 -399.509410638142</t>
  </si>
  <si>
    <t>-753.368338197544 16.4168883914297 -488.540087473222</t>
  </si>
  <si>
    <t>-750.00056753907 12.3088204201092 -613.009374509405</t>
  </si>
  <si>
    <t>-714.249346304974 15.1759462070966 -687.967066005247</t>
  </si>
  <si>
    <t>-753.844083411148 41.7075805209381 -559.211149106185</t>
  </si>
  <si>
    <t>-762.865440101041 178.004721404317 -543.756163230475</t>
  </si>
  <si>
    <t>-779.099975342769 213.746413700948 -252.122371617556</t>
  </si>
  <si>
    <t>-540.226915358768 182.637526816024 -247.352716167387</t>
  </si>
  <si>
    <t>-739.894094385436 132.481729928722 -104.048520052661</t>
  </si>
  <si>
    <t>-714.7221047073 167.635683872099 297.181113477747</t>
  </si>
  <si>
    <t>-741.244951136433 245.206006979643 737.487020183155</t>
  </si>
  <si>
    <t>-605.038500200209 196.631232442355 802.105928015719</t>
  </si>
  <si>
    <t>-672.448444012387 -45.8505502108333 307.166425103383</t>
  </si>
  <si>
    <t>-681.112744411169 -30.54675557564 754.699144221488</t>
  </si>
  <si>
    <t>-572.401847019211 -119.126958823086 828.338771896634</t>
  </si>
  <si>
    <t>9763-20170724T105102.943106600.bin</t>
  </si>
  <si>
    <t>-725.665192339455 37.9875178137768 -98.2310534743059</t>
  </si>
  <si>
    <t>-743.425261958621 29.3419078709721 -212.362782260051</t>
  </si>
  <si>
    <t>-750.11230802408 24.0412546809278 -310.616653736023</t>
  </si>
  <si>
    <t>-753.31053699092 19.9477823834134 -399.561904668816</t>
  </si>
  <si>
    <t>-753.300645022523 16.5534013023132 -488.594169160929</t>
  </si>
  <si>
    <t>-749.913847069733 12.5038906629886 -613.064817484687</t>
  </si>
  <si>
    <t>-714.162999023386 15.4380102594066 -688.020099428896</t>
  </si>
  <si>
    <t>-753.797364635339 41.8746164561505 -559.25412454529</t>
  </si>
  <si>
    <t>-762.982697783484 178.144858445773 -543.721765010855</t>
  </si>
  <si>
    <t>-779.42529712699 213.629765736546 -252.068447556923</t>
  </si>
  <si>
    <t>-540.51399319842 182.835202640586 -247.174135594396</t>
  </si>
  <si>
    <t>-740.01959786416 132.460401634414 -104.081551229056</t>
  </si>
  <si>
    <t>-714.874782204416 167.506202083995 297.159247326223</t>
  </si>
  <si>
    <t>-741.274400735391 244.955128080669 737.446477262756</t>
  </si>
  <si>
    <t>-605.056350301014 196.511212598839 802.138839533315</t>
  </si>
  <si>
    <t>-672.578579745551 -45.9651973960977 307.145974945682</t>
  </si>
  <si>
    <t>-681.11126163462 -30.5405449114426 754.702736045831</t>
  </si>
  <si>
    <t>-572.263606013058 -118.979637876719 828.310234728603</t>
  </si>
  <si>
    <t>9763-20170724T105103.011021000.bin</t>
  </si>
  <si>
    <t>-726.266799783159 37.8606574143635 -98.0908627752727</t>
  </si>
  <si>
    <t>-743.883214653333 29.4471814525321 -212.262235051511</t>
  </si>
  <si>
    <t>-750.450029768293 24.2876709906491 -310.531817256935</t>
  </si>
  <si>
    <t>-753.542090665738 20.3020984819891 -399.485611298114</t>
  </si>
  <si>
    <t>-753.429551477683 16.9973418436402 -488.52108466467</t>
  </si>
  <si>
    <t>-749.903035843531 13.055675719927 -612.991428199066</t>
  </si>
  <si>
    <t>-714.122948079898 16.0693195476431 -687.929635503394</t>
  </si>
  <si>
    <t>-753.853520974999 42.379099187038 -559.159768586987</t>
  </si>
  <si>
    <t>-763.065299733679 178.647781635448 -543.567433405736</t>
  </si>
  <si>
    <t>-779.74294576249 213.57948285865 -251.860630755681</t>
  </si>
  <si>
    <t>-540.698664353432 184.042888528465 -245.834234175748</t>
  </si>
  <si>
    <t>-740.565813937886 132.201092675593 -103.821913499535</t>
  </si>
  <si>
    <t>-715.026372427212 166.458802716278 297.462027763473</t>
  </si>
  <si>
    <t>-741.471508449495 244.361754700096 737.701185716869</t>
  </si>
  <si>
    <t>-605.417424499099 195.474773981633 802.405687424985</t>
  </si>
  <si>
    <t>-673.183738099098 -46.2425495589594 307.162711881292</t>
  </si>
  <si>
    <t>-681.171724863473 -30.6584610785262 754.732385059938</t>
  </si>
  <si>
    <t>-572.086234817512 -118.86172130194 828.27048895548</t>
  </si>
  <si>
    <t>9763-20170724T105103.047116700.bin</t>
  </si>
  <si>
    <t>-726.823549814492 37.8217367254474 -97.9628168078</t>
  </si>
  <si>
    <t>-744.425193684559 29.5619034110198 -212.14761956238</t>
  </si>
  <si>
    <t>-750.934323888943 24.4848555042811 -310.425506855105</t>
  </si>
  <si>
    <t>-753.956887061772 20.5567202120865 -399.384231118726</t>
  </si>
  <si>
    <t>-753.757828922135 17.2920819557373 -488.421019064705</t>
  </si>
  <si>
    <t>-750.093153276734 13.3887777320119 -612.888451888802</t>
  </si>
  <si>
    <t>-714.281475699207 16.3753370628247 -687.812684450465</t>
  </si>
  <si>
    <t>-754.050922293746 42.700211504135 -559.050869093798</t>
  </si>
  <si>
    <t>-762.818635418925 178.99466662552 -543.443157095643</t>
  </si>
  <si>
    <t>-779.310162812199 213.980929548978 -251.732338291272</t>
  </si>
  <si>
    <t>-540.178774510308 185.518161134077 -244.186675893804</t>
  </si>
  <si>
    <t>-741.102989037646 132.340378403023 -103.632252118358</t>
  </si>
  <si>
    <t>-714.880934932894 165.916229563036 297.665375626145</t>
  </si>
  <si>
    <t>-741.597868406938 244.17122251248 737.860038822762</t>
  </si>
  <si>
    <t>-605.632559076864 194.984699413378 802.52371530318</t>
  </si>
  <si>
    <t>-673.709611821328 -46.4951251084533 307.196050182982</t>
  </si>
  <si>
    <t>-681.310807721709 -30.9744622080866 754.747448685835</t>
  </si>
  <si>
    <t>-571.682547381976 -118.536775079005 828.244372665037</t>
  </si>
  <si>
    <t>9763-20170724T105103.109801100.bin</t>
  </si>
  <si>
    <t>-727.44304728347 37.9506540385523 -97.7505989587817</t>
  </si>
  <si>
    <t>-745.005140915716 29.9904564906121 -211.962853274873</t>
  </si>
  <si>
    <t>-751.432380467354 25.0899893795024 -310.254877082977</t>
  </si>
  <si>
    <t>-754.362708217668 21.2934815024405 -399.22248121979</t>
  </si>
  <si>
    <t>-754.053297233614 18.1278800090433 -488.262488344716</t>
  </si>
  <si>
    <t>-750.215223818326 14.3274865963085 -612.72798481714</t>
  </si>
  <si>
    <t>-714.451251072662 17.0549141690378 -687.684788620445</t>
  </si>
  <si>
    <t>-753.937645239707 43.6193590944906 -558.86283776187</t>
  </si>
  <si>
    <t>-760.64501409977 180.005006689657 -543.10306600406</t>
  </si>
  <si>
    <t>-775.885306528194 215.223707494246 -251.352206165001</t>
  </si>
  <si>
    <t>-536.655225717879 189.141300511229 -239.540567734927</t>
  </si>
  <si>
    <t>-740.879336522171 132.482946465356 -103.268756787723</t>
  </si>
  <si>
    <t>-713.700307765537 165.069170165182 298.04671509696</t>
  </si>
  <si>
    <t>-741.743750375149 243.943393051414 738.063408353263</t>
  </si>
  <si>
    <t>-605.893204038788 194.364079688437 802.668497658341</t>
  </si>
  <si>
    <t>-674.496341032739 -46.5230292122296 307.242793189212</t>
  </si>
  <si>
    <t>-681.398593864725 -31.1153298814122 754.797443898344</t>
  </si>
  <si>
    <t>-571.783436754326 -118.724853305441 828.257493094658</t>
  </si>
  <si>
    <t>9763-20170724T105103.142889300.bin</t>
  </si>
  <si>
    <t>-727.510794027302 38.0352916671316 -97.6400294149047</t>
  </si>
  <si>
    <t>-745.074470735464 30.2559413415536 -211.864523978908</t>
  </si>
  <si>
    <t>-751.513516396591 25.4755685777427 -310.161632824631</t>
  </si>
  <si>
    <t>-754.458893234986 21.7764429164158 -399.133043322306</t>
  </si>
  <si>
    <t>-754.168527714192 18.6926980895983 -488.175849427287</t>
  </si>
  <si>
    <t>-750.361718227397 14.9895965258243 -612.645194373588</t>
  </si>
  <si>
    <t>-714.740879030038 17.5327020622099 -687.676679846697</t>
  </si>
  <si>
    <t>-753.827897032865 44.2563350136159 -558.749411704307</t>
  </si>
  <si>
    <t>-759.078248290847 180.694645087561 -542.920267108319</t>
  </si>
  <si>
    <t>-772.401604018652 216.246563458035 -251.115867606277</t>
  </si>
  <si>
    <t>-533.165274175218 191.438648907549 -236.924315533739</t>
  </si>
  <si>
    <t>-740.452075200876 132.68929494894 -103.105940765708</t>
  </si>
  <si>
    <t>-713.100193839559 164.758608884866 298.239446729697</t>
  </si>
  <si>
    <t>-741.852218462306 243.875684798427 738.193224188517</t>
  </si>
  <si>
    <t>-606.041422605323 194.117706140036 802.744370955544</t>
  </si>
  <si>
    <t>-674.793460969123 -46.5825444277768 307.268556846349</t>
  </si>
  <si>
    <t>-681.434190890848 -31.1730784153451 754.807710929307</t>
  </si>
  <si>
    <t>-571.889048460222 -118.86398331324 828.274814481162</t>
  </si>
  <si>
    <t>9763-20170724T105103.209145700.bin</t>
  </si>
  <si>
    <t>-727.157604258364 38.6036070143953 -97.4745423344521</t>
  </si>
  <si>
    <t>-744.819287591668 31.0601583877824 -211.699660648758</t>
  </si>
  <si>
    <t>-751.355935568579 26.4953036338018 -310.000697377451</t>
  </si>
  <si>
    <t>-754.394115839471 22.9987913119455 -398.976988041929</t>
  </si>
  <si>
    <t>-754.199650984745 20.114471456664 -488.026931876774</t>
  </si>
  <si>
    <t>-750.529077754572 16.6818498684563 -612.508138258556</t>
  </si>
  <si>
    <t>-715.428104413604 18.8206858320489 -687.796637861126</t>
  </si>
  <si>
    <t>-753.312009385966 45.8653758310772 -558.527534386517</t>
  </si>
  <si>
    <t>-754.652593621413 182.363229775671 -542.480180082265</t>
  </si>
  <si>
    <t>-759.880256630891 220.794622817564 -250.783496539179</t>
  </si>
  <si>
    <t>-520.753344219381 197.927507983108 -232.175765871311</t>
  </si>
  <si>
    <t>-738.825599626058 133.132116835718 -102.967708861672</t>
  </si>
  <si>
    <t>-711.664727273939 164.94124091841 298.411353386433</t>
  </si>
  <si>
    <t>-741.93342315918 243.918319183762 738.285106578301</t>
  </si>
  <si>
    <t>-606.171015102844 193.87681836271 802.718904398125</t>
  </si>
  <si>
    <t>-674.658048155457 -46.815200098865 307.322225995284</t>
  </si>
  <si>
    <t>-681.361634566501 -31.0286911478365 754.806988609008</t>
  </si>
  <si>
    <t>-572.018973686033 -118.935261123984 828.318266147869</t>
  </si>
  <si>
    <t>9763-20170724T105103.246256900.bin</t>
  </si>
  <si>
    <t>-726.851997522751 38.8256432796984 -97.4249690137907</t>
  </si>
  <si>
    <t>-744.605682359147 31.3685088714149 -211.641465546719</t>
  </si>
  <si>
    <t>-751.212990850596 26.9144518736632 -309.94286022071</t>
  </si>
  <si>
    <t>-754.310765475346 23.5332130025658 -398.921593126223</t>
  </si>
  <si>
    <t>-754.17013930074 20.7717698939657 -487.975465563276</t>
  </si>
  <si>
    <t>-750.56860823563 17.5163732719138 -612.463350958311</t>
  </si>
  <si>
    <t>-715.84236017384 19.4480317995628 -687.931143824987</t>
  </si>
  <si>
    <t>-752.966046676185 46.6360125265587 -558.429901544427</t>
  </si>
  <si>
    <t>-752.067512121719 183.129738023708 -542.275826724544</t>
  </si>
  <si>
    <t>-751.354212863123 223.217465073759 -250.756182648262</t>
  </si>
  <si>
    <t>-512.148804650125 202.05921038154 -231.160603253271</t>
  </si>
  <si>
    <t>-737.836691185475 133.288422016882 -102.954274717547</t>
  </si>
  <si>
    <t>-711.234395996356 165.098739488973 298.462053826971</t>
  </si>
  <si>
    <t>-741.971449324843 243.997162611222 738.308290072833</t>
  </si>
  <si>
    <t>-606.22929693664 193.810034710091 802.671213159702</t>
  </si>
  <si>
    <t>-674.46192612452 -46.9475618827278 307.344567744733</t>
  </si>
  <si>
    <t>-681.325370480567 -30.9752203867395 754.804156477699</t>
  </si>
  <si>
    <t>-571.880290247983 -118.738506926517 828.334278862101</t>
  </si>
  <si>
    <t>9763-20170724T105103.309428300.bin</t>
  </si>
  <si>
    <t>-726.115466331314 39.2612837459262 -97.4362319567388</t>
  </si>
  <si>
    <t>-743.98636598483 31.9443139018417 -211.64356284908</t>
  </si>
  <si>
    <t>-750.752639235913 27.6772621334396 -309.942501936608</t>
  </si>
  <si>
    <t>-754.015231179876 24.493086096867 -398.92248571582</t>
  </si>
  <si>
    <t>-754.058652731079 21.9441158540817 -487.982811413506</t>
  </si>
  <si>
    <t>-750.733009104547 18.9959574332966 -612.486151066717</t>
  </si>
  <si>
    <t>-716.931507267828 20.5329957867878 -688.381539651999</t>
  </si>
  <si>
    <t>-752.33695382022 47.9942119899588 -558.358094030414</t>
  </si>
  <si>
    <t>-747.123694667173 184.352252222588 -541.872401685333</t>
  </si>
  <si>
    <t>-727.970755041621 227.599516067182 -251.434772229207</t>
  </si>
  <si>
    <t>-488.360018016535 210.921239916693 -232.477104868848</t>
  </si>
  <si>
    <t>-735.810136895209 133.767838685375 -103.0284828492</t>
  </si>
  <si>
    <t>-710.444242129896 165.705064218886 298.457823779298</t>
  </si>
  <si>
    <t>-741.985352606972 244.248381725662 738.275358495</t>
  </si>
  <si>
    <t>-606.190063125223 194.063641562739 802.528186588348</t>
  </si>
  <si>
    <t>-674.1531696938 -46.8510207094573 307.346083985494</t>
  </si>
  <si>
    <t>-681.305615457788 -30.9755857672933 754.805010008775</t>
  </si>
  <si>
    <t>-572.250298744566 -119.166287589454 828.402997338021</t>
  </si>
  <si>
    <t>9763-20170724T105103.341514000.bin</t>
  </si>
  <si>
    <t>-725.716365765127 39.5799555048525 -97.4706027508531</t>
  </si>
  <si>
    <t>-743.626568663891 32.2941724789662 -211.673839466373</t>
  </si>
  <si>
    <t>-750.463558679926 28.0917265699998 -309.970540713634</t>
  </si>
  <si>
    <t>-753.803927779986 24.9806636815949 -398.950324706399</t>
  </si>
  <si>
    <t>-753.937536908892 22.5139618305584 -488.012928451928</t>
  </si>
  <si>
    <t>-750.7502499029 19.6876541104339 -612.522594363895</t>
  </si>
  <si>
    <t>-717.413625082714 21.0651548669646 -688.626445277173</t>
  </si>
  <si>
    <t>-752.001236983984 48.6329615785685 -558.35707206713</t>
  </si>
  <si>
    <t>-744.785493009095 184.874067577192 -541.592479842028</t>
  </si>
  <si>
    <t>-713.573596083409 229.705011322376 -252.443269632458</t>
  </si>
  <si>
    <t>-473.721215624294 215.9692316542 -234.194378606524</t>
  </si>
  <si>
    <t>-734.862886545791 134.213224520655 -103.132507015748</t>
  </si>
  <si>
    <t>-710.086294277625 166.145276744699 298.39095096094</t>
  </si>
  <si>
    <t>-741.959556354965 244.437762664941 738.210125498264</t>
  </si>
  <si>
    <t>-606.190857837076 194.168276789511 802.453019463623</t>
  </si>
  <si>
    <t>-674.033187080142 -46.6409907050295 307.330716232249</t>
  </si>
  <si>
    <t>-681.255865504722 -30.8848858354099 754.795040014507</t>
  </si>
  <si>
    <t>-572.477789515838 -119.38681063593 828.429351722631</t>
  </si>
  <si>
    <t>9763-20170724T105103.410294800.bin</t>
  </si>
  <si>
    <t>-725.102952601976 40.6426775628713 -97.5716789375251</t>
  </si>
  <si>
    <t>-743.063463231563 33.3755182400521 -211.768053179149</t>
  </si>
  <si>
    <t>-750.004162834812 29.2360248903019 -310.06022374399</t>
  </si>
  <si>
    <t>-753.459604004892 26.1978152925321 -399.038254067529</t>
  </si>
  <si>
    <t>-753.728294525203 23.8099300482688 -488.102582524481</t>
  </si>
  <si>
    <t>-750.749617238256 21.0946948921207 -612.620010919056</t>
  </si>
  <si>
    <t>-718.27843691973 22.2009012445606 -689.101436651689</t>
  </si>
  <si>
    <t>-751.429621399979 49.9852142756934 -558.414944451535</t>
  </si>
  <si>
    <t>-740.904415818256 185.974567387954 -541.167512918671</t>
  </si>
  <si>
    <t>-684.964680506741 231.839687128962 -255.93366197606</t>
  </si>
  <si>
    <t>-444.534488627024 224.763142502876 -241.999938893368</t>
  </si>
  <si>
    <t>-733.509404990234 135.048234154001 -103.337089433515</t>
  </si>
  <si>
    <t>-709.573755056743 167.165690593666 298.222650965787</t>
  </si>
  <si>
    <t>-741.870572529638 244.791814448376 738.072075860749</t>
  </si>
  <si>
    <t>-606.060254269853 194.635875575019 802.315982113445</t>
  </si>
  <si>
    <t>-673.765775051854 -46.3281228131475 307.300355560415</t>
  </si>
  <si>
    <t>-681.206820831511 -30.8178101718001 754.780394686181</t>
  </si>
  <si>
    <t>-572.633656722419 -119.534930009548 828.45817874159</t>
  </si>
  <si>
    <t>9763-20170724T105103.446372500.bin</t>
  </si>
  <si>
    <t>-724.809156561486 41.0678434838444 -97.6126673009118</t>
  </si>
  <si>
    <t>-742.810475066457 33.8129176068728 -211.803454647294</t>
  </si>
  <si>
    <t>-749.834740172462 29.6521874668547 -310.088765716908</t>
  </si>
  <si>
    <t>-753.384710762054 26.5808994278307 -399.061952343449</t>
  </si>
  <si>
    <t>-753.766814926042 24.1417424740596 -488.12448726337</t>
  </si>
  <si>
    <t>-750.965924891337 21.3336080738256 -612.64394303466</t>
  </si>
  <si>
    <t>-718.90081321152 22.2920454754562 -689.298541507491</t>
  </si>
  <si>
    <t>-751.375609692757 50.2596018781344 -558.455052900356</t>
  </si>
  <si>
    <t>-739.727710479759 186.172510101054 -541.250849573858</t>
  </si>
  <si>
    <t>-672.446046214021 231.616082764106 -258.409481848776</t>
  </si>
  <si>
    <t>-431.883213767452 227.319138552932 -245.683312702589</t>
  </si>
  <si>
    <t>-732.959963560691 135.344811791992 -103.402015459033</t>
  </si>
  <si>
    <t>-709.335508783449 167.615331016709 298.163823730445</t>
  </si>
  <si>
    <t>-741.838043005402 244.97578556415 738.03072534128</t>
  </si>
  <si>
    <t>-606.014673508943 194.833139352503 802.257005320914</t>
  </si>
  <si>
    <t>-673.515058010665 -46.1156964442202 307.269792451324</t>
  </si>
  <si>
    <t>-681.148784215975 -30.7303605188874 754.767350860948</t>
  </si>
  <si>
    <t>-572.767127904428 -119.659461407681 828.471726337592</t>
  </si>
  <si>
    <t>9763-20170724T105103.509082700.bin</t>
  </si>
  <si>
    <t>-724.230009323885 41.543223336409 -97.6460975676221</t>
  </si>
  <si>
    <t>-742.325789528354 34.356993593085 -211.826341987613</t>
  </si>
  <si>
    <t>-749.525310297764 30.0808336097689 -310.093914249178</t>
  </si>
  <si>
    <t>-753.273048879391 26.8341808826233 -399.052732622585</t>
  </si>
  <si>
    <t>-753.893081840092 24.142649387456 -488.106779577749</t>
  </si>
  <si>
    <t>-751.467536656199 20.8981906976908 -612.623361208767</t>
  </si>
  <si>
    <t>-720.018354759556 21.5223581634439 -689.536258292682</t>
  </si>
  <si>
    <t>-751.400955153247 50.0029621144656 -558.528908232567</t>
  </si>
  <si>
    <t>-737.920451641406 185.775519795741 -541.739639738689</t>
  </si>
  <si>
    <t>-654.543378250489 230.702239308235 -263.134151374924</t>
  </si>
  <si>
    <t>-413.845436405022 229.517173354679 -252.457864839815</t>
  </si>
  <si>
    <t>-731.9492269728 135.826757579668 -103.475917226045</t>
  </si>
  <si>
    <t>-708.976995698651 168.095994971017 298.127955116473</t>
  </si>
  <si>
    <t>-741.787228210741 245.195438522478 737.983649566629</t>
  </si>
  <si>
    <t>-605.921491485705 195.135964878235 802.185124819241</t>
  </si>
  <si>
    <t>-672.891674381338 -45.9334225000687 307.218940668938</t>
  </si>
  <si>
    <t>-681.194071128994 -30.8660128897948 754.752657704639</t>
  </si>
  <si>
    <t>-573.003368500799 -120.005305680332 828.483762016776</t>
  </si>
  <si>
    <t>9763-20170724T105103.541166600.bin</t>
  </si>
  <si>
    <t>-723.888506242915 41.582751798451 -97.6565518858238</t>
  </si>
  <si>
    <t>-742.066979586455 34.4359352334063 -211.826071921707</t>
  </si>
  <si>
    <t>-749.344881430945 30.1143519486955 -310.086008855219</t>
  </si>
  <si>
    <t>-753.167416415598 26.7964594974355 -399.039008364076</t>
  </si>
  <si>
    <t>-753.866879143588 24.0019422309788 -488.089231910208</t>
  </si>
  <si>
    <t>-751.557617602049 20.5796125574177 -612.603394956021</t>
  </si>
  <si>
    <t>-720.33823367292 21.0573141739706 -689.610740020564</t>
  </si>
  <si>
    <t>-751.323063877358 49.7566230900286 -558.548097600961</t>
  </si>
  <si>
    <t>-737.04304468121 185.489041660489 -542.095393339971</t>
  </si>
  <si>
    <t>-649.814910470567 229.799314476883 -264.572331479392</t>
  </si>
  <si>
    <t>-409.093615540073 230.111936066908 -254.370709184593</t>
  </si>
  <si>
    <t>-731.318789680162 135.930250955999 -103.50969744739</t>
  </si>
  <si>
    <t>-708.873069109754 168.36379670135 298.110699525383</t>
  </si>
  <si>
    <t>-741.75094526128 245.359021795572 737.981664304075</t>
  </si>
  <si>
    <t>-605.953032088899 195.115012026588 802.182756089315</t>
  </si>
  <si>
    <t>-672.659981965101 -45.9564672604797 307.205298276944</t>
  </si>
  <si>
    <t>-681.264074411116 -31.0332568631932 754.74835828211</t>
  </si>
  <si>
    <t>-572.909212263042 -119.9777464494 828.473314035904</t>
  </si>
  <si>
    <t>9763-20170724T105103.609775000.bin</t>
  </si>
  <si>
    <t>-722.922667180633 41.8560528379392 -97.6678323724707</t>
  </si>
  <si>
    <t>-741.256163520961 34.780482711006 -211.817119256201</t>
  </si>
  <si>
    <t>-748.701399500399 30.3576296731962 -310.059939858556</t>
  </si>
  <si>
    <t>-752.692284491914 26.8897357781761 -398.999729499749</t>
  </si>
  <si>
    <t>-753.57877946848 23.8859636967154 -488.041486013727</t>
  </si>
  <si>
    <t>-751.551666114179 20.1103085462942 -612.550360212921</t>
  </si>
  <si>
    <t>-720.709997361079 20.2885774991103 -689.71118313096</t>
  </si>
  <si>
    <t>-751.034404792074 49.4330239931564 -558.57594234049</t>
  </si>
  <si>
    <t>-735.859303424819 185.156383753641 -542.747849394504</t>
  </si>
  <si>
    <t>-646.484899807914 228.469510618092 -265.750725683897</t>
  </si>
  <si>
    <t>-405.794634751823 229.425240819704 -254.883047592171</t>
  </si>
  <si>
    <t>-729.620202672563 136.20510672863 -103.624327135634</t>
  </si>
  <si>
    <t>-708.947248827553 169.224201849219 298.043475787412</t>
  </si>
  <si>
    <t>-741.69477003382 245.537034343191 738.014186422828</t>
  </si>
  <si>
    <t>-605.898624392671 195.282018037972 802.210328146864</t>
  </si>
  <si>
    <t>-672.125817685911 -46.0192364888933 307.213334906697</t>
  </si>
  <si>
    <t>-681.132668701706 -30.7403284872796 754.727681115523</t>
  </si>
  <si>
    <t>-573.136975287683 -120.106542944058 828.469554654819</t>
  </si>
  <si>
    <t>9763-20170724T105103.641864900.bin</t>
  </si>
  <si>
    <t>-722.465197112912 42.2208038079416 -97.6968149557896</t>
  </si>
  <si>
    <t>-740.856779449155 35.1469095840082 -211.836843304333</t>
  </si>
  <si>
    <t>-748.416686859099 30.6743945275239 -310.06870212865</t>
  </si>
  <si>
    <t>-752.538222326778 27.1441357752992 -399.000082612461</t>
  </si>
  <si>
    <t>-753.582993452174 24.0610289840042 -488.037304177844</t>
  </si>
  <si>
    <t>-751.806342546814 20.1578620453231 -612.546043145194</t>
  </si>
  <si>
    <t>-721.124637116076 20.1930728496443 -689.770848516095</t>
  </si>
  <si>
    <t>-751.124564176724 49.5329095755826 -558.602110230486</t>
  </si>
  <si>
    <t>-735.725098923252 185.244433563963 -542.957631227714</t>
  </si>
  <si>
    <t>-647.317367722345 228.316070500424 -265.612937763493</t>
  </si>
  <si>
    <t>-406.627829726607 228.164160860459 -254.685694145533</t>
  </si>
  <si>
    <t>-728.875556353342 136.56137539042 -103.69740911245</t>
  </si>
  <si>
    <t>-709.003936258586 169.728044073488 297.998701599506</t>
  </si>
  <si>
    <t>-741.655063128529 245.660286324934 738.039411406982</t>
  </si>
  <si>
    <t>-605.869716072183 195.380170656997 802.238433180978</t>
  </si>
  <si>
    <t>-671.921461527977 -45.897664729797 307.225768784766</t>
  </si>
  <si>
    <t>-681.066141148157 -30.5987499439043 754.72774965618</t>
  </si>
  <si>
    <t>-573.289859506387 -120.222502184316 828.478500807072</t>
  </si>
  <si>
    <t>9763-20170724T105103.707037800.bin</t>
  </si>
  <si>
    <t>-721.681147923235 42.6938533201364 -97.7489553261044</t>
  </si>
  <si>
    <t>-740.162402589628 35.578760457033 -211.871771167393</t>
  </si>
  <si>
    <t>-747.942760941144 31.0296774924025 -310.08306139331</t>
  </si>
  <si>
    <t>-752.322031998751 27.4174998881069 -398.998793252578</t>
  </si>
  <si>
    <t>-753.683384892518 24.2401171639294 -488.028515878093</t>
  </si>
  <si>
    <t>-752.411366515371 20.1936878626584 -612.538850078852</t>
  </si>
  <si>
    <t>-721.93876887999 20.0271776663433 -689.846114648341</t>
  </si>
  <si>
    <t>-751.459720368927 49.6279945191068 -558.631207340473</t>
  </si>
  <si>
    <t>-735.935724807258 185.34753295842 -543.187864870613</t>
  </si>
  <si>
    <t>-651.150229993975 226.703262323316 -264.454366980058</t>
  </si>
  <si>
    <t>-410.44663036265 224.764419196774 -254.019878284162</t>
  </si>
  <si>
    <t>-727.895367634204 136.901025347125 -103.74233347417</t>
  </si>
  <si>
    <t>-708.673066260907 170.104148839301 297.982357155874</t>
  </si>
  <si>
    <t>-741.623033735974 245.725428118706 738.070103239988</t>
  </si>
  <si>
    <t>-605.789454957993 195.574850412625 802.268836255044</t>
  </si>
  <si>
    <t>-671.603738678115 -45.705267041468 307.268433593041</t>
  </si>
  <si>
    <t>-681.011470191401 -30.5269496468936 754.735525724716</t>
  </si>
  <si>
    <t>-573.474886158261 -120.42350350197 828.504065087997</t>
  </si>
  <si>
    <t>9763-20170724T105103.745143700.bin</t>
  </si>
  <si>
    <t>-721.46948617102 42.6573665862279 -97.7666401668938</t>
  </si>
  <si>
    <t>-740.000348267018 35.493809261824 -211.878414430079</t>
  </si>
  <si>
    <t>-747.889012907991 30.884992126749 -310.078108502524</t>
  </si>
  <si>
    <t>-752.393021416036 27.2118228445006 -398.985304799049</t>
  </si>
  <si>
    <t>-753.905926332085 23.9668351310797 -488.010158513873</t>
  </si>
  <si>
    <t>-752.874003185551 19.8197422610808 -612.519298083682</t>
  </si>
  <si>
    <t>-722.448598051102 19.5895880395958 -689.844986004217</t>
  </si>
  <si>
    <t>-751.824706363758 49.298009033979 -558.637522368283</t>
  </si>
  <si>
    <t>-736.440505325875 185.046645577785 -543.314385899888</t>
  </si>
  <si>
    <t>-653.314480302873 225.286874322896 -263.918608574944</t>
  </si>
  <si>
    <t>-412.600855794197 222.982449412476 -253.793949615287</t>
  </si>
  <si>
    <t>-727.803282184836 136.924254892887 -103.761451988013</t>
  </si>
  <si>
    <t>-708.382027360621 170.024393043199 297.96216079647</t>
  </si>
  <si>
    <t>-741.614617679645 245.734155682369 738.052521286063</t>
  </si>
  <si>
    <t>-605.77307239524 195.612127158135 802.256242950927</t>
  </si>
  <si>
    <t>-671.509378872255 -45.7274277791171 307.27581845616</t>
  </si>
  <si>
    <t>-681.067980287151 -30.6744281590486 754.74481185619</t>
  </si>
  <si>
    <t>-573.421140980074 -120.439717160785 828.512368856599</t>
  </si>
  <si>
    <t>9763-20170724T105103.810322500.bin</t>
  </si>
  <si>
    <t>-721.316058812774 42.2615378168312 -97.7602611658069</t>
  </si>
  <si>
    <t>-739.971251449924 34.9865393491634 -211.84468841501</t>
  </si>
  <si>
    <t>-748.042440991916 30.2673799392137 -310.024436793289</t>
  </si>
  <si>
    <t>-752.742214119517 26.4868968519313 -398.916796850838</t>
  </si>
  <si>
    <t>-754.481551227997 23.1284134405339 -487.933289225017</t>
  </si>
  <si>
    <t>-753.79837290589 18.8157789455399 -612.43927493361</t>
  </si>
  <si>
    <t>-723.350002097322 18.5658943204642 -689.755997900973</t>
  </si>
  <si>
    <t>-752.658795586392 48.3688322142889 -558.600355705311</t>
  </si>
  <si>
    <t>-737.662302289638 184.156660980643 -543.374102854177</t>
  </si>
  <si>
    <t>-657.357076838327 223.46310085239 -263.021977910958</t>
  </si>
  <si>
    <t>-416.624837698317 219.97453209326 -253.710279107711</t>
  </si>
  <si>
    <t>-728.001923154067 136.602805124696 -103.760225790509</t>
  </si>
  <si>
    <t>-708.226350550463 169.628128096776 297.952221750034</t>
  </si>
  <si>
    <t>-741.646333467166 245.740696012702 738.023191831971</t>
  </si>
  <si>
    <t>-605.70100674457 195.802235616948 802.150586726517</t>
  </si>
  <si>
    <t>-671.319944166074 -45.9454061947147 307.33304524708</t>
  </si>
  <si>
    <t>-681.120616054425 -30.8058181852105 754.781602793231</t>
  </si>
  <si>
    <t>-573.470034379545 -120.572035896789 828.542551278415</t>
  </si>
  <si>
    <t>9763-20170724T105103.841404300.bin</t>
  </si>
  <si>
    <t>-721.285905945127 41.9364976663373 -97.7676750300511</t>
  </si>
  <si>
    <t>-739.956342129277 34.6221753331663 -211.847188577147</t>
  </si>
  <si>
    <t>-748.083892259015 29.8668858778983 -310.020420127845</t>
  </si>
  <si>
    <t>-752.851888001152 26.0524052927269 -398.907733646759</t>
  </si>
  <si>
    <t>-754.676997648543 22.6594208065726 -487.921241936505</t>
  </si>
  <si>
    <t>-754.132063018203 18.2978647484233 -612.426212211945</t>
  </si>
  <si>
    <t>-723.653432660468 18.0677357203763 -689.730912692057</t>
  </si>
  <si>
    <t>-752.971049559884 47.874047802311 -558.600458236997</t>
  </si>
  <si>
    <t>-738.208168653715 183.697420518834 -543.420914168208</t>
  </si>
  <si>
    <t>-659.112293016661 223.126615729836 -262.742524730269</t>
  </si>
  <si>
    <t>-418.367749958068 219.336840072068 -253.875239932542</t>
  </si>
  <si>
    <t>-728.043252990334 136.28769948718 -103.765750938699</t>
  </si>
  <si>
    <t>-708.430667192354 169.529668134553 297.936900839195</t>
  </si>
  <si>
    <t>-741.661909262857 245.820270563348 737.990706029892</t>
  </si>
  <si>
    <t>-605.732981779403 195.786120005352 802.078143466543</t>
  </si>
  <si>
    <t>-671.362976569841 -46.1922788143759 307.360735502589</t>
  </si>
  <si>
    <t>-681.237414480162 -31.0512985010512 754.809118096454</t>
  </si>
  <si>
    <t>-573.310644845323 -120.505863425826 828.545347070275</t>
  </si>
  <si>
    <t>9763-20170724T105103.912119600.bin</t>
  </si>
  <si>
    <t>-721.264452524084 41.4091428595877 -97.7818808110278</t>
  </si>
  <si>
    <t>-739.920462349213 34.0220089925381 -211.858960239659</t>
  </si>
  <si>
    <t>-748.107761825697 29.2076468415601 -310.024385564618</t>
  </si>
  <si>
    <t>-752.959165855222 25.3408561658955 -398.905063963247</t>
  </si>
  <si>
    <t>-754.897011675428 21.8988139716053 -487.914168451634</t>
  </si>
  <si>
    <t>-754.540177716887 17.4734771517494 -612.41760677666</t>
  </si>
  <si>
    <t>-723.993461618289 17.2730912692757 -689.695600234408</t>
  </si>
  <si>
    <t>-753.398042746904 47.0821233644697 -558.609213181273</t>
  </si>
  <si>
    <t>-739.223168512021 182.973245865797 -543.470645391068</t>
  </si>
  <si>
    <t>-661.723274331063 222.643974079205 -262.381217251573</t>
  </si>
  <si>
    <t>-420.946380916216 218.802259695937 -254.470839934617</t>
  </si>
  <si>
    <t>-728.215408873734 135.78664471061 -103.824783115579</t>
  </si>
  <si>
    <t>-708.72169919045 169.364684408262 297.855613259915</t>
  </si>
  <si>
    <t>-741.663584407179 245.840082011998 737.881035693669</t>
  </si>
  <si>
    <t>-605.695117265525 195.890443640327 801.950702646785</t>
  </si>
  <si>
    <t>-671.434899565121 -46.5325612156232 307.402773000772</t>
  </si>
  <si>
    <t>-681.213712566738 -30.9957279325758 754.836287316068</t>
  </si>
  <si>
    <t>-573.37498933569 -120.564713660201 828.562168474057</t>
  </si>
  <si>
    <t>9763-20170724T105103.944205000.bin</t>
  </si>
  <si>
    <t>-721.389560993244 41.0386303611026 -97.7787274005976</t>
  </si>
  <si>
    <t>-740.03444655077 33.6405262155022 -211.857027360445</t>
  </si>
  <si>
    <t>-748.230678223169 28.8015893363188 -310.020441018559</t>
  </si>
  <si>
    <t>-753.097879019123 24.9066237106933 -398.89890217703</t>
  </si>
  <si>
    <t>-755.059424272193 21.431293283797 -487.906365909258</t>
  </si>
  <si>
    <t>-754.744298268751 16.9548427777247 -612.408076506322</t>
  </si>
  <si>
    <t>-724.159098389096 16.7586269359385 -689.670777663919</t>
  </si>
  <si>
    <t>-753.635456187081 46.587952491851 -558.612556710404</t>
  </si>
  <si>
    <t>-739.777029265543 182.512445371401 -543.479018755882</t>
  </si>
  <si>
    <t>-662.888974419014 222.241000094804 -262.229970041037</t>
  </si>
  <si>
    <t>-422.098287310735 218.5544754911 -254.672323900202</t>
  </si>
  <si>
    <t>-728.399648557524 135.491494257998 -103.83643155028</t>
  </si>
  <si>
    <t>-708.882684664168 169.150068183665 297.836115729146</t>
  </si>
  <si>
    <t>-741.653018592275 245.856738942162 737.825507433626</t>
  </si>
  <si>
    <t>-605.689885389512 195.925152111434 801.920291771132</t>
  </si>
  <si>
    <t>-671.656468956677 -46.8438028677672 307.414570026598</t>
  </si>
  <si>
    <t>-681.378041505574 -31.3512070341365 754.858710271825</t>
  </si>
  <si>
    <t>-572.933836094294 -120.227112307713 828.535088910473</t>
  </si>
  <si>
    <t>9763-20170724T105104.009889500.bin</t>
  </si>
  <si>
    <t>-721.414131867681 40.5979189373322 -97.8400522468781</t>
  </si>
  <si>
    <t>-740.031808707597 33.1290921866723 -211.91818735773</t>
  </si>
  <si>
    <t>-748.199367828468 28.2227423331951 -310.080712844113</t>
  </si>
  <si>
    <t>-753.0386665395 24.2635216898971 -398.957847276892</t>
  </si>
  <si>
    <t>-754.970767723304 20.7219606558681 -487.963256848734</t>
  </si>
  <si>
    <t>-754.612750565685 16.1515844206547 -612.461363068111</t>
  </si>
  <si>
    <t>-723.92922370916 15.9622828496604 -689.685271944532</t>
  </si>
  <si>
    <t>-753.609151912292 45.8290091592453 -558.688172589817</t>
  </si>
  <si>
    <t>-740.265532250562 181.79953431348 -543.507835358645</t>
  </si>
  <si>
    <t>-665.043961662758 221.294420751579 -261.775525455834</t>
  </si>
  <si>
    <t>-424.222127634479 218.02040197204 -255.068300223808</t>
  </si>
  <si>
    <t>-728.634906884441 135.003980715956 -103.892489712307</t>
  </si>
  <si>
    <t>-708.975290387889 168.821690308437 297.759764140321</t>
  </si>
  <si>
    <t>-741.628048318074 245.881318187686 737.701151176104</t>
  </si>
  <si>
    <t>-605.668915302536 196.02353070597 801.86199641062</t>
  </si>
  <si>
    <t>-671.890741589648 -46.9126348563773 307.416311386925</t>
  </si>
  <si>
    <t>-681.301182277643 -31.1882893744701 754.864601554343</t>
  </si>
  <si>
    <t>-573.265563337755 -120.546109759428 828.558459602122</t>
  </si>
  <si>
    <t>9763-20170724T105104.046985100.bin</t>
  </si>
  <si>
    <t>-721.306844008384 40.3728143958424 -97.8632918991276</t>
  </si>
  <si>
    <t>-739.912137767511 32.8797782915849 -211.941940698158</t>
  </si>
  <si>
    <t>-748.065456807975 27.9503987189216 -310.104401561995</t>
  </si>
  <si>
    <t>-752.890789945224 23.9690381335165 -398.98136132055</t>
  </si>
  <si>
    <t>-754.807342707643 20.4050676868101 -487.98615622378</t>
  </si>
  <si>
    <t>-754.42652996348 15.8024850094212 -612.483173116721</t>
  </si>
  <si>
    <t>-723.705891141896 15.6184635059155 -689.69213540002</t>
  </si>
  <si>
    <t>-753.466684200899 45.4951414542629 -558.717500505783</t>
  </si>
  <si>
    <t>-740.321459437768 181.479367438891 -543.500997491975</t>
  </si>
  <si>
    <t>-666.091963164854 220.742325554219 -261.473368091926</t>
  </si>
  <si>
    <t>-425.260422063037 217.502536649949 -255.105270761545</t>
  </si>
  <si>
    <t>-728.57760879603 134.719157847232 -103.926697756308</t>
  </si>
  <si>
    <t>-709.002240318113 168.699459524782 297.715916927702</t>
  </si>
  <si>
    <t>-741.622315290683 245.875672045005 737.638249387405</t>
  </si>
  <si>
    <t>-605.672656114266 196.030974140442 801.829407043306</t>
  </si>
  <si>
    <t>-671.909935454411 -47.0490145279996 307.421105574405</t>
  </si>
  <si>
    <t>-681.230477205257 -31.0467552960192 754.864922296388</t>
  </si>
  <si>
    <t>-573.316414185285 -120.546980331011 828.564089234172</t>
  </si>
  <si>
    <t>9763-20170724T105104.114753200.bin</t>
  </si>
  <si>
    <t>-721.037951666166 39.6904462651389 -97.9015420341915</t>
  </si>
  <si>
    <t>-739.649335695992 32.1282252631861 -211.974440361539</t>
  </si>
  <si>
    <t>-747.800904093913 27.1414254322249 -310.134338830369</t>
  </si>
  <si>
    <t>-752.621566710968 23.1085968479074 -399.009227891784</t>
  </si>
  <si>
    <t>-754.530879148504 19.494366264983 -488.012193560976</t>
  </si>
  <si>
    <t>-754.136974440669 14.8238991439368 -612.506544536617</t>
  </si>
  <si>
    <t>-723.324372143705 14.6343612501512 -689.678876707851</t>
  </si>
  <si>
    <t>-753.245758847824 44.5483965645362 -558.757333937384</t>
  </si>
  <si>
    <t>-740.519518912055 180.574415458716 -543.516458870001</t>
  </si>
  <si>
    <t>-667.833266350074 219.343890782897 -261.018926792928</t>
  </si>
  <si>
    <t>-426.987475098686 216.175289013953 -255.17526750649</t>
  </si>
  <si>
    <t>-728.36851543915 133.966937155121 -103.97416540482</t>
  </si>
  <si>
    <t>-708.922736820849 168.346461179492 297.640811329119</t>
  </si>
  <si>
    <t>-741.616197097843 245.86717414072 737.50537104482</t>
  </si>
  <si>
    <t>-605.612011839767 196.208519555647 801.725021689575</t>
  </si>
  <si>
    <t>-671.896081397612 -47.5601663585105 307.458757866785</t>
  </si>
  <si>
    <t>-681.333703411009 -31.3180055069638 754.884268861143</t>
  </si>
  <si>
    <t>-573.287438900591 -120.669885139691 828.56985712307</t>
  </si>
  <si>
    <t>9763-20170724T105104.141825800.bin</t>
  </si>
  <si>
    <t>-720.951129266537 39.4237230702227 -97.9109546346347</t>
  </si>
  <si>
    <t>-739.576753277474 31.8372661389421 -211.980014653144</t>
  </si>
  <si>
    <t>-747.73270274375 26.8150084956076 -310.137672621552</t>
  </si>
  <si>
    <t>-752.5546971319 22.7441984872212 -399.01061048794</t>
  </si>
  <si>
    <t>-754.46233408801 19.0866428043423 -488.01196613552</t>
  </si>
  <si>
    <t>-754.063773932695 14.3498721447115 -612.503761537925</t>
  </si>
  <si>
    <t>-723.193098694152 14.1299860828103 -689.65294582419</t>
  </si>
  <si>
    <t>-753.208957670354 44.1043332248792 -558.770627172499</t>
  </si>
  <si>
    <t>-740.722959992782 180.150543240464 -543.517207470727</t>
  </si>
  <si>
    <t>-668.616183940785 218.693723232727 -260.840198781247</t>
  </si>
  <si>
    <t>-427.764784067811 215.549636881712 -255.223613455765</t>
  </si>
  <si>
    <t>-728.395718020767 133.749483740042 -104.000712002649</t>
  </si>
  <si>
    <t>-708.840505881869 168.178621620136 297.604708966165</t>
  </si>
  <si>
    <t>-741.617128737104 245.906252056244 737.437845616189</t>
  </si>
  <si>
    <t>-605.632435793716 196.207123611901 801.667473745772</t>
  </si>
  <si>
    <t>-671.851614785573 -47.6226033527614 307.461721756304</t>
  </si>
  <si>
    <t>-681.22437382639 -31.1107921053247 754.874748626918</t>
  </si>
  <si>
    <t>-573.593321945171 -120.942003346977 828.584962452987</t>
  </si>
  <si>
    <t>9763-20170724T105104.211586900.bin</t>
  </si>
  <si>
    <t>-721.00813552818 38.7061711044462 -97.9291996457774</t>
  </si>
  <si>
    <t>-739.655614380366 31.1160051340926 -211.994350927143</t>
  </si>
  <si>
    <t>-747.816890208826 26.0439197937719 -310.149140201309</t>
  </si>
  <si>
    <t>-752.639244995528 21.9092839178529 -399.019163351464</t>
  </si>
  <si>
    <t>-754.543127275768 18.1701985770276 -488.017071522807</t>
  </si>
  <si>
    <t>-754.135502661481 13.3020688987617 -612.503899816679</t>
  </si>
  <si>
    <t>-723.172125869441 12.9843258070625 -689.615447353976</t>
  </si>
  <si>
    <t>-753.348907867166 43.1154005037133 -558.802318971699</t>
  </si>
  <si>
    <t>-741.374662737512 179.212891749454 -543.575643566436</t>
  </si>
  <si>
    <t>-670.641621773787 217.353365430929 -260.497350979372</t>
  </si>
  <si>
    <t>-429.776249873656 214.249534269282 -255.485444970869</t>
  </si>
  <si>
    <t>-728.607763169394 133.148818381629 -104.016942845889</t>
  </si>
  <si>
    <t>-708.992175941518 167.83273795092 297.563593137342</t>
  </si>
  <si>
    <t>-741.619864232067 245.891513956272 737.335332819007</t>
  </si>
  <si>
    <t>-605.595190112557 196.316698244483 801.576416527877</t>
  </si>
  <si>
    <t>-671.951268804896 -47.9745942394329 307.446183847159</t>
  </si>
  <si>
    <t>-681.272715755782 -31.2124503951147 754.875338081747</t>
  </si>
  <si>
    <t>-573.57085663413 -120.972069841417 828.569197806303</t>
  </si>
  <si>
    <t>9763-20170724T105104.244676500.bin</t>
  </si>
  <si>
    <t>-721.087146453885 38.4082012781364 -97.9313217324784</t>
  </si>
  <si>
    <t>-739.741868481402 30.818914385002 -211.99544720202</t>
  </si>
  <si>
    <t>-747.89647659155 25.7362253972881 -310.149966242047</t>
  </si>
  <si>
    <t>-752.707755331392 21.5873433035715 -399.02002863513</t>
  </si>
  <si>
    <t>-754.596030678101 17.8301319091056 -488.017550929826</t>
  </si>
  <si>
    <t>-754.161299251947 12.9323125370481 -612.503135438069</t>
  </si>
  <si>
    <t>-723.144386816317 12.5713840550529 -689.592895878418</t>
  </si>
  <si>
    <t>-753.416862897612 42.7595013642876 -558.808605895688</t>
  </si>
  <si>
    <t>-741.662643585375 178.875426734772 -543.599128492266</t>
  </si>
  <si>
    <t>-671.711869678147 216.866918941038 -260.306470668505</t>
  </si>
  <si>
    <t>-430.841480232438 213.721724962773 -255.566682936942</t>
  </si>
  <si>
    <t>-728.682920601801 132.884874429879 -104.021740766106</t>
  </si>
  <si>
    <t>-709.200326476665 167.814074732035 297.544014554476</t>
  </si>
  <si>
    <t>-741.617815845045 245.981242043731 737.303533487501</t>
  </si>
  <si>
    <t>-605.617967543295 196.333459939 801.540927795038</t>
  </si>
  <si>
    <t>-672.035742783271 -48.351394390553 307.453874488254</t>
  </si>
  <si>
    <t>-681.471400008978 -31.6289449607732 754.892196154936</t>
  </si>
  <si>
    <t>-573.379069263038 -120.947554317636 828.550487227196</t>
  </si>
  <si>
    <t>9763-20170724T105104.310857800.bin</t>
  </si>
  <si>
    <t>-721.224144950147 37.9720641099104 -97.9344591308318</t>
  </si>
  <si>
    <t>-739.881868672614 30.3833336257267 -211.998248934562</t>
  </si>
  <si>
    <t>-748.001461667762 25.2846700151983 -310.154945506482</t>
  </si>
  <si>
    <t>-752.766388355476 21.1139114200155 -399.026337863839</t>
  </si>
  <si>
    <t>-754.59360342917 17.3281063379184 -488.023829546954</t>
  </si>
  <si>
    <t>-754.05868263292 12.3837106700969 -612.50713500601</t>
  </si>
  <si>
    <t>-722.898015960524 11.9581698742957 -689.538761942565</t>
  </si>
  <si>
    <t>-753.414387133952 42.2329239409803 -558.823694792393</t>
  </si>
  <si>
    <t>-742.083247548011 178.388549729292 -543.596004587398</t>
  </si>
  <si>
    <t>-673.703453856302 216.144070113038 -259.888611228192</t>
  </si>
  <si>
    <t>-432.823604107473 213.145237336871 -255.556413612134</t>
  </si>
  <si>
    <t>-728.915738733993 132.577399171087 -104.042998083755</t>
  </si>
  <si>
    <t>-709.603613389865 167.814569235608 297.504029164408</t>
  </si>
  <si>
    <t>-741.603461212424 246.121800812117 737.272758877994</t>
  </si>
  <si>
    <t>-605.636149337854 196.377714622995 801.50442786116</t>
  </si>
  <si>
    <t>-672.191340819447 -48.6527578152959 307.459032093196</t>
  </si>
  <si>
    <t>-681.508350993349 -31.6944601699633 754.896354314296</t>
  </si>
  <si>
    <t>-573.218283990761 -120.799657579269 828.522591515195</t>
  </si>
  <si>
    <t>9763-20170724T105104.344948100.bin</t>
  </si>
  <si>
    <t>-721.278372540209 37.844691792872 -97.9441165841322</t>
  </si>
  <si>
    <t>-739.931755572024 30.2454640937035 -212.007801802175</t>
  </si>
  <si>
    <t>-748.030397617188 25.1296998432515 -310.165301712516</t>
  </si>
  <si>
    <t>-752.769324003112 20.9394992356229 -399.037250143619</t>
  </si>
  <si>
    <t>-754.564137741494 17.1305608950199 -488.034576188888</t>
  </si>
  <si>
    <t>-753.976554743513 12.1492583342433 -612.516132831654</t>
  </si>
  <si>
    <t>-722.74114338248 11.6992632210911 -689.517274360831</t>
  </si>
  <si>
    <t>-753.377263740363 42.0150259931943 -558.841298671223</t>
  </si>
  <si>
    <t>-742.252676489128 178.183802719711 -543.600114276349</t>
  </si>
  <si>
    <t>-674.672407834786 215.728644408721 -259.67319194956</t>
  </si>
  <si>
    <t>-433.78530030068 212.906978859332 -255.629033270211</t>
  </si>
  <si>
    <t>-729.094235115477 132.49654014755 -104.051525849195</t>
  </si>
  <si>
    <t>-709.69881922852 167.766757662068 297.488668640154</t>
  </si>
  <si>
    <t>-741.596665070161 246.134305528444 737.261548193774</t>
  </si>
  <si>
    <t>-605.598031253174 196.473417261664 801.491114932945</t>
  </si>
  <si>
    <t>-672.255681848554 -48.5829401361534 307.459881377574</t>
  </si>
  <si>
    <t>-681.420612420327 -31.5080011723401 754.88781264042</t>
  </si>
  <si>
    <t>-573.380484732769 -120.90726067662 828.524759800665</t>
  </si>
  <si>
    <t>9763-20170724T105104.410144300.bin</t>
  </si>
  <si>
    <t>-721.362436440523 37.4043285127268 -97.925724969022</t>
  </si>
  <si>
    <t>-739.994902351084 29.7955583792711 -211.992168482708</t>
  </si>
  <si>
    <t>-748.065953881457 24.6629913716874 -310.151077549779</t>
  </si>
  <si>
    <t>-752.776172911548 20.4534422730044 -399.023678928872</t>
  </si>
  <si>
    <t>-754.53828523066 16.621837666155 -488.020616859967</t>
  </si>
  <si>
    <t>-753.90151931986 11.6056911824676 -612.500597835431</t>
  </si>
  <si>
    <t>-722.542115757451 11.1419522049785 -689.451121463456</t>
  </si>
  <si>
    <t>-753.37092103694 41.4879479858414 -558.834029134784</t>
  </si>
  <si>
    <t>-742.642212815274 177.685398751789 -543.59474002417</t>
  </si>
  <si>
    <t>-676.67763644485 214.932111111729 -259.24890277908</t>
  </si>
  <si>
    <t>-435.785397215642 211.916907866496 -255.682569947174</t>
  </si>
  <si>
    <t>-729.276273608067 132.096698025229 -104.020131299533</t>
  </si>
  <si>
    <t>-709.975901378123 167.689133602715 297.49621357381</t>
  </si>
  <si>
    <t>-741.59774391018 246.240282644591 737.264183818796</t>
  </si>
  <si>
    <t>-605.615227509752 196.518812041967 801.48140967566</t>
  </si>
  <si>
    <t>-672.539813937083 -48.8465020621918 307.464086760124</t>
  </si>
  <si>
    <t>-681.552111076009 -31.7901703941675 754.902281704911</t>
  </si>
  <si>
    <t>-573.113356940529 -120.731193149391 828.508210421245</t>
  </si>
  <si>
    <t>9763-20170724T105104.442216900.bin</t>
  </si>
  <si>
    <t>-721.369107068263 37.3133315353057 -97.9340223857223</t>
  </si>
  <si>
    <t>-739.997263423073 29.6974946844593 -212.000688334125</t>
  </si>
  <si>
    <t>-748.061136698443 24.5570829636131 -310.159778901622</t>
  </si>
  <si>
    <t>-752.763590090327 20.3406142042811 -399.032482707183</t>
  </si>
  <si>
    <t>-754.517066358266 16.5021311669213 -488.029310123334</t>
  </si>
  <si>
    <t>-753.86682489461 11.4770382692709 -612.508688298208</t>
  </si>
  <si>
    <t>-722.445167744291 11.0235771709229 -689.434147365898</t>
  </si>
  <si>
    <t>-753.368492114438 41.3639388615829 -558.844648779639</t>
  </si>
  <si>
    <t>-742.811956635198 177.569835795929 -543.588309049491</t>
  </si>
  <si>
    <t>-677.672849379352 214.66540486419 -259.032408901595</t>
  </si>
  <si>
    <t>-436.777720752789 211.562526151535 -255.751773310085</t>
  </si>
  <si>
    <t>-729.316538367897 132.008694345402 -104.028916282028</t>
  </si>
  <si>
    <t>-710.119121426317 167.698386649229 297.483703516131</t>
  </si>
  <si>
    <t>-741.59220021256 246.295762232357 737.257924118155</t>
  </si>
  <si>
    <t>-605.62783548413 196.520924767969 801.472150159847</t>
  </si>
  <si>
    <t>-672.587259641264 -48.8002370081317 307.469013720332</t>
  </si>
  <si>
    <t>-681.4484559926 -31.5649989303697 754.900119496727</t>
  </si>
  <si>
    <t>-573.43763654703 -121.00621024457 828.529122767963</t>
  </si>
  <si>
    <t>9763-20170724T105104.508969800.bin</t>
  </si>
  <si>
    <t>-721.404318406264 36.964461462677 -97.9443741266193</t>
  </si>
  <si>
    <t>-740.025384699899 29.3499619120055 -212.012359005638</t>
  </si>
  <si>
    <t>-748.068002266625 24.2139877584407 -310.173400261538</t>
  </si>
  <si>
    <t>-752.745285805119 20.0029225462392 -399.047726382488</t>
  </si>
  <si>
    <t>-754.467365730582 16.1729185848415 -488.045491314169</t>
  </si>
  <si>
    <t>-753.767080651139 11.1632826179321 -612.525284938623</t>
  </si>
  <si>
    <t>-722.253614389757 10.7460758406028 -689.413173317067</t>
  </si>
  <si>
    <t>-753.352492711121 41.0451950363654 -558.857708670728</t>
  </si>
  <si>
    <t>-743.152623218495 177.277042140298 -543.55532892306</t>
  </si>
  <si>
    <t>-679.399443039837 213.828523990591 -258.615404779838</t>
  </si>
  <si>
    <t>-438.498365425621 210.800746245342 -255.722536359828</t>
  </si>
  <si>
    <t>-729.517056647962 131.760467126839 -104.022997499794</t>
  </si>
  <si>
    <t>-710.349357955744 167.57425673107 297.479933825732</t>
  </si>
  <si>
    <t>-741.580985150503 246.375837463229 737.247460012251</t>
  </si>
  <si>
    <t>-605.676717880115 196.440812613924 801.464439644157</t>
  </si>
  <si>
    <t>-672.850409013642 -48.9048150722447 307.475630184509</t>
  </si>
  <si>
    <t>-681.542116451172 -31.7457385791329 754.916364796475</t>
  </si>
  <si>
    <t>-573.358608197086 -120.997036125379 828.522269563661</t>
  </si>
  <si>
    <t>9763-20170724T105104.540051300.bin</t>
  </si>
  <si>
    <t>-721.436203326143 36.8189737133057 -97.9466115469439</t>
  </si>
  <si>
    <t>-740.048490489937 29.2006150534678 -212.015725339849</t>
  </si>
  <si>
    <t>-748.081202802809 24.0756324614724 -310.178236306263</t>
  </si>
  <si>
    <t>-752.748456737323 19.8803397271665 -399.053786652069</t>
  </si>
  <si>
    <t>-754.459487891945 16.0725121196951 -488.052723391251</t>
  </si>
  <si>
    <t>-753.742391857913 11.1007908600714 -612.533907832649</t>
  </si>
  <si>
    <t>-722.203356771415 10.7157870256951 -689.411624221719</t>
  </si>
  <si>
    <t>-753.367262687134 40.9671615024129 -558.857242498934</t>
  </si>
  <si>
    <t>-743.345834045503 177.206305710867 -543.500421984973</t>
  </si>
  <si>
    <t>-680.089249396365 213.570268277605 -258.425916774612</t>
  </si>
  <si>
    <t>-439.187410524291 210.531591364432 -255.617358244089</t>
  </si>
  <si>
    <t>-729.607282282795 131.621462691873 -104.016145934517</t>
  </si>
  <si>
    <t>-710.471067845295 167.537617145556 297.479216428552</t>
  </si>
  <si>
    <t>-741.57555404769 246.428867696438 737.245380017893</t>
  </si>
  <si>
    <t>-605.685027709743 196.455435247767 801.461539963827</t>
  </si>
  <si>
    <t>-672.964871377592 -48.9761576466233 307.488885554253</t>
  </si>
  <si>
    <t>-681.519240047646 -31.6751452857682 754.920355883188</t>
  </si>
  <si>
    <t>-573.31420538697 -120.9066051226 828.518592489522</t>
  </si>
  <si>
    <t>9763-20170724T105104.611788400.bin</t>
  </si>
  <si>
    <t>-721.497670778354 36.4980958782069 -97.9456107009313</t>
  </si>
  <si>
    <t>-740.065473613742 28.8565764809127 -212.02041745648</t>
  </si>
  <si>
    <t>-748.056648063266 23.7442437641146 -310.187010112218</t>
  </si>
  <si>
    <t>-752.684731659694 19.5730360230093 -399.06561676502</t>
  </si>
  <si>
    <t>-754.354653624525 15.8033547779364 -488.066921198102</t>
  </si>
  <si>
    <t>-753.578364418736 10.900482603156 -612.550632942185</t>
  </si>
  <si>
    <t>-721.982739464656 10.5892290612046 -689.405369455109</t>
  </si>
  <si>
    <t>-753.296042930496 40.7387006256392 -558.857941475619</t>
  </si>
  <si>
    <t>-743.659053486337 176.996002115046 -543.416532803043</t>
  </si>
  <si>
    <t>-681.446131542847 213.262315189693 -258.100110504268</t>
  </si>
  <si>
    <t>-440.544204636131 210.089775815351 -255.443701606011</t>
  </si>
  <si>
    <t>-729.726459865333 131.317781718514 -104.020085058805</t>
  </si>
  <si>
    <t>-710.792113804454 167.517034896429 297.459414289502</t>
  </si>
  <si>
    <t>-741.569490603459 246.487902883199 737.236464824306</t>
  </si>
  <si>
    <t>-605.712869940122 196.416487481382 801.447778635031</t>
  </si>
  <si>
    <t>-673.189470690611 -49.1937647588236 307.515791261303</t>
  </si>
  <si>
    <t>-681.609819766313 -31.8505947400522 754.939350190996</t>
  </si>
  <si>
    <t>-573.239932590286 -120.895335931788 828.521309986975</t>
  </si>
  <si>
    <t>9763-20170724T105104.643872400.bin</t>
  </si>
  <si>
    <t>-721.462334082363 36.3459674940809 -97.9438036595351</t>
  </si>
  <si>
    <t>-740.017980930754 28.6976642242269 -212.020030287121</t>
  </si>
  <si>
    <t>-747.997243911699 23.594283372179 -310.187990780831</t>
  </si>
  <si>
    <t>-752.613850407291 19.4374680664041 -399.068082910052</t>
  </si>
  <si>
    <t>-754.271473756625 15.688977933783 -488.070578771387</t>
  </si>
  <si>
    <t>-753.476872459336 10.8230165689924 -612.555464916194</t>
  </si>
  <si>
    <t>-721.859985124149 10.555277341494 -689.401621271359</t>
  </si>
  <si>
    <t>-753.238032477016 40.6460869781797 -558.854042166434</t>
  </si>
  <si>
    <t>-743.807584516836 176.916242302566 -543.37897253896</t>
  </si>
  <si>
    <t>-682.23169698463 213.084337509187 -257.911924188584</t>
  </si>
  <si>
    <t>-441.329246997886 209.844364033958 -255.391829881284</t>
  </si>
  <si>
    <t>-729.713027420728 131.156215505242 -104.013128070915</t>
  </si>
  <si>
    <t>-710.832912038977 167.490864551856 297.456652601055</t>
  </si>
  <si>
    <t>-741.570118237142 246.484061910644 737.232907450908</t>
  </si>
  <si>
    <t>-605.673756983907 196.514318761509 801.439556405314</t>
  </si>
  <si>
    <t>-673.212046526954 -49.2692778838598 307.521294816247</t>
  </si>
  <si>
    <t>-681.572771441573 -31.7704280766286 754.941596737671</t>
  </si>
  <si>
    <t>-573.395794527115 -121.039823360931 828.535178329157</t>
  </si>
  <si>
    <t>9763-20170724T105104.710061800.bin</t>
  </si>
  <si>
    <t>-721.358145252049 35.9586646952632 -97.9455035009289</t>
  </si>
  <si>
    <t>-739.901290707271 28.2885896401231 -212.022429638402</t>
  </si>
  <si>
    <t>-747.861447001223 23.1975876604129 -310.192581774309</t>
  </si>
  <si>
    <t>-752.457188433691 19.0643929279897 -399.07471269784</t>
  </si>
  <si>
    <t>-754.090074825197 15.3534943800312 -488.079234985666</t>
  </si>
  <si>
    <t>-753.256999217819 10.5553991887302 -612.566511375518</t>
  </si>
  <si>
    <t>-721.597789940792 10.396922179224 -689.395554374451</t>
  </si>
  <si>
    <t>-753.110821724413 40.3506599770003 -558.84944248317</t>
  </si>
  <si>
    <t>-744.139018833991 176.647894345949 -543.338359103128</t>
  </si>
  <si>
    <t>-684.138618439216 212.601960938096 -257.50888040896</t>
  </si>
  <si>
    <t>-443.239231073381 209.026155818518 -255.146158346131</t>
  </si>
  <si>
    <t>-729.755735014125 130.807388563091 -104.00495284371</t>
  </si>
  <si>
    <t>-710.665258718831 167.250815212106 297.445047302336</t>
  </si>
  <si>
    <t>-741.569875757559 246.424684869178 737.195128350653</t>
  </si>
  <si>
    <t>-605.605146855116 196.642260225168 801.402669469454</t>
  </si>
  <si>
    <t>-673.17911960402 -49.4623804229561 307.523880877728</t>
  </si>
  <si>
    <t>-681.583384801639 -31.8263238294464 754.936688532936</t>
  </si>
  <si>
    <t>-573.461633201058 -121.150900375319 828.544274054117</t>
  </si>
  <si>
    <t>9763-20170724T105104.741143600.bin</t>
  </si>
  <si>
    <t>-721.261618524216 35.8150866986509 -97.9535574660661</t>
  </si>
  <si>
    <t>-739.799865752397 28.1327408289712 -212.030355202077</t>
  </si>
  <si>
    <t>-747.750809604677 23.0407947212234 -310.201172738766</t>
  </si>
  <si>
    <t>-752.336074174106 18.9106977329591 -399.084111916117</t>
  </si>
  <si>
    <t>-753.956315949246 15.207228810139 -488.089135230576</t>
  </si>
  <si>
    <t>-753.103271308609 10.4246616650785 -612.576999737199</t>
  </si>
  <si>
    <t>-721.418303711748 10.3110216473158 -689.39545270623</t>
  </si>
  <si>
    <t>-753.003748164337 40.2139066376196 -558.856443230653</t>
  </si>
  <si>
    <t>-744.261871352285 176.522831962782 -543.336389253785</t>
  </si>
  <si>
    <t>-685.110972363824 212.289120902709 -257.306354249995</t>
  </si>
  <si>
    <t>-444.211404528116 208.630928989606 -255.102417654976</t>
  </si>
  <si>
    <t>-729.733175749239 130.666450802601 -104.004377598333</t>
  </si>
  <si>
    <t>-710.60067949558 167.163272698421 297.438818792137</t>
  </si>
  <si>
    <t>-741.565830532784 246.464310760357 737.169529958981</t>
  </si>
  <si>
    <t>-605.61510767139 196.650924908277 801.382646109812</t>
  </si>
  <si>
    <t>-673.155672064815 -49.5090061613207 307.529575770722</t>
  </si>
  <si>
    <t>-681.515496352629 -31.6833951417552 754.932866035635</t>
  </si>
  <si>
    <t>-573.469282677614 -121.096633841632 828.543800758628</t>
  </si>
  <si>
    <t>9763-20170724T105104.810839100.bin</t>
  </si>
  <si>
    <t>-721.169792416601 35.4243081504781 -97.9659811391872</t>
  </si>
  <si>
    <t>-739.705322739343 27.7039434867384 -212.040784966945</t>
  </si>
  <si>
    <t>-747.65764635189 22.6116500655469 -310.211423631543</t>
  </si>
  <si>
    <t>-752.245499166979 18.4937055502048 -399.09481340017</t>
  </si>
  <si>
    <t>-753.869520618983 14.8162397014078 -488.100828160399</t>
  </si>
  <si>
    <t>-753.022769027921 10.0848178522403 -612.59057660991</t>
  </si>
  <si>
    <t>-721.276723561107 10.0461323694747 -689.383914480924</t>
  </si>
  <si>
    <t>-752.992263311068 39.8530956822349 -558.858299565663</t>
  </si>
  <si>
    <t>-744.652845972329 176.181667029587 -543.291551165588</t>
  </si>
  <si>
    <t>-686.881207981571 211.331412368263 -256.90344703638</t>
  </si>
  <si>
    <t>-445.97794112031 207.709540706029 -255.073301067893</t>
  </si>
  <si>
    <t>-729.740435544703 130.267087935532 -104.01703919924</t>
  </si>
  <si>
    <t>-710.633762053586 166.941468504253 297.411117693473</t>
  </si>
  <si>
    <t>-741.57500383814 246.422075705645 737.109607696686</t>
  </si>
  <si>
    <t>-605.58305456381 196.726028527356 801.326249847137</t>
  </si>
  <si>
    <t>-673.183558583217 -49.9045911029048 307.542834191063</t>
  </si>
  <si>
    <t>-681.627042434811 -31.9476929062109 754.942704190353</t>
  </si>
  <si>
    <t>-573.312786266966 -121.050721045303 828.535869469673</t>
  </si>
  <si>
    <t>9763-20170724T105104.842924800.bin</t>
  </si>
  <si>
    <t>-721.132356200768 35.1889814918848 -97.9649043922506</t>
  </si>
  <si>
    <t>-739.669940505678 27.4564597030676 -212.038545488996</t>
  </si>
  <si>
    <t>-747.633310219577 22.3725291512533 -310.208757969202</t>
  </si>
  <si>
    <t>-752.234642376827 18.2693197819933 -399.092036453623</t>
  </si>
  <si>
    <t>-753.875745719333 14.6149059844117 -488.098750168634</t>
  </si>
  <si>
    <t>-753.055812550191 9.92466674080401 -612.590277410489</t>
  </si>
  <si>
    <t>-721.280176361142 9.92569418080052 -689.371323539186</t>
  </si>
  <si>
    <t>-753.051415802455 39.6757088037155 -558.848358972209</t>
  </si>
  <si>
    <t>-744.923306911912 176.009331677521 -543.245637677575</t>
  </si>
  <si>
    <t>-687.637703538176 210.944788631432 -256.73378649833</t>
  </si>
  <si>
    <t>-446.734047601605 207.288509720955 -255.022429522853</t>
  </si>
  <si>
    <t>-729.770836469797 130.025068427885 -104.01623883384</t>
  </si>
  <si>
    <t>-710.637189759619 166.823045882182 297.399283412727</t>
  </si>
  <si>
    <t>-741.57965418314 246.417739149186 737.078223499695</t>
  </si>
  <si>
    <t>-605.555194672575 196.811976378413 801.295893596705</t>
  </si>
  <si>
    <t>-673.145712279791 -49.9539235268228 307.542960423026</t>
  </si>
  <si>
    <t>-681.577312476624 -31.8424392759378 754.939611204207</t>
  </si>
  <si>
    <t>-573.490166727151 -121.211863973757 828.543931993847</t>
  </si>
  <si>
    <t>9763-20170724T105104.908644900.bin</t>
  </si>
  <si>
    <t>-721.111941530948 34.6115740962957 -97.9644731456394</t>
  </si>
  <si>
    <t>-739.661456000722 26.8385340118914 -212.03328715939</t>
  </si>
  <si>
    <t>-747.645385538907 21.7596517088791 -310.202171380297</t>
  </si>
  <si>
    <t>-752.268837358976 17.6767140333839 -399.08517182563</t>
  </si>
  <si>
    <t>-753.935550149917 14.0594525754709 -488.092997284038</t>
  </si>
  <si>
    <t>-753.154978560949 9.43960749362736 -612.587433415844</t>
  </si>
  <si>
    <t>-721.32276313928 9.53109037486433 -689.345051838216</t>
  </si>
  <si>
    <t>-753.215403441251 39.1611657603364 -558.829212438307</t>
  </si>
  <si>
    <t>-745.555041778501 175.518134116499 -543.141562274542</t>
  </si>
  <si>
    <t>-689.102959389978 210.130298686446 -256.425060974833</t>
  </si>
  <si>
    <t>-448.19901418201 206.438689447215 -254.817560869146</t>
  </si>
  <si>
    <t>-729.910160373121 129.549822287154 -104.021822403418</t>
  </si>
  <si>
    <t>-710.630937218539 166.44723456985 297.377632936527</t>
  </si>
  <si>
    <t>-741.585718847016 246.35835716611 737.008783261144</t>
  </si>
  <si>
    <t>-605.50173634641 196.92664341768 801.234564842325</t>
  </si>
  <si>
    <t>-673.236349340917 -50.2948612608795 307.551334929527</t>
  </si>
  <si>
    <t>-681.660210587187 -32.0263686546919 754.9418816557</t>
  </si>
  <si>
    <t>-573.221477390368 -120.988476412185 828.522255430324</t>
  </si>
  <si>
    <t>9763-20170724T105104.945743100.bin</t>
  </si>
  <si>
    <t>-721.091602361802 34.4344074088115 -97.9683118675558</t>
  </si>
  <si>
    <t>-739.654559926053 26.6414608462121 -212.033604380857</t>
  </si>
  <si>
    <t>-747.652420137553 21.5714825390132 -310.201852652206</t>
  </si>
  <si>
    <t>-752.289487359747 17.5068472017292 -399.084946323251</t>
  </si>
  <si>
    <t>-753.970171266214 13.9191907639104 -488.093739407062</t>
  </si>
  <si>
    <t>-753.209909257879 9.35275338021074 -612.590235845433</t>
  </si>
  <si>
    <t>-721.361011917649 9.50842124495466 -689.3407183044</t>
  </si>
  <si>
    <t>-753.307209191933 39.0517282720411 -558.819667472404</t>
  </si>
  <si>
    <t>-745.874308810779 175.411167760056 -543.101526058852</t>
  </si>
  <si>
    <t>-689.917851279224 209.967895190659 -256.281314968226</t>
  </si>
  <si>
    <t>-449.014837437405 206.184371576365 -254.769039050418</t>
  </si>
  <si>
    <t>-729.962859888432 129.351356546285 -104.027109718591</t>
  </si>
  <si>
    <t>-710.654126892317 166.327059126627 297.363782902088</t>
  </si>
  <si>
    <t>-741.594294333569 246.298328060208 736.977460167737</t>
  </si>
  <si>
    <t>-605.452606258079 197.024395017832 801.202390661695</t>
  </si>
  <si>
    <t>-673.224126727428 -50.3817565722745 307.56011565462</t>
  </si>
  <si>
    <t>-681.613603776166 -31.9282253065519 754.93663539088</t>
  </si>
  <si>
    <t>-573.25789047153 -120.987783940746 828.521529263238</t>
  </si>
  <si>
    <t>9763-20170724T105105.008966000.bin</t>
  </si>
  <si>
    <t>-721.135770675296 34.1104214728359 -97.9768199359243</t>
  </si>
  <si>
    <t>-739.731266556049 26.285972019266 -212.034708272534</t>
  </si>
  <si>
    <t>-747.742895795657 21.2240261906175 -310.20218278579</t>
  </si>
  <si>
    <t>-752.386095910227 17.1802393539595 -399.085937659751</t>
  </si>
  <si>
    <t>-754.067094978745 13.6286599076245 -488.096089174624</t>
  </si>
  <si>
    <t>-753.300230210059 9.12936078972484 -612.595066228825</t>
  </si>
  <si>
    <t>-721.428199631765 9.40350288003515 -689.335687129118</t>
  </si>
  <si>
    <t>-753.487563028105 38.7998881326062 -558.809050206053</t>
  </si>
  <si>
    <t>-746.480983974124 175.172160567166 -543.009247892557</t>
  </si>
  <si>
    <t>-691.541737831828 209.607719808899 -255.977770772229</t>
  </si>
  <si>
    <t>-450.637448254103 205.788499011096 -254.798711273331</t>
  </si>
  <si>
    <t>-730.145471503631 128.996345289761 -104.036131896142</t>
  </si>
  <si>
    <t>-710.785567702125 166.176061189533 297.3334527165</t>
  </si>
  <si>
    <t>-741.606477716045 246.278454395479 736.925153514296</t>
  </si>
  <si>
    <t>-605.445647683952 197.054818284094 801.147797829313</t>
  </si>
  <si>
    <t>-673.330897014749 -50.503933435544 307.560658931496</t>
  </si>
  <si>
    <t>-681.628885937984 -31.9611232108102 754.942981925459</t>
  </si>
  <si>
    <t>-573.3950947748 -121.172150201644 828.523737801824</t>
  </si>
  <si>
    <t>9763-20170724T105105.043059800.bin</t>
  </si>
  <si>
    <t>-721.203888951859 33.9800912203777 -97.9929452211053</t>
  </si>
  <si>
    <t>-739.819381271635 26.1410790228481 -212.046541523128</t>
  </si>
  <si>
    <t>-747.834046511964 21.0941519748569 -310.214520954886</t>
  </si>
  <si>
    <t>-752.474318415218 17.0748262588932 -399.099586203538</t>
  </si>
  <si>
    <t>-754.145929222834 13.5594473777564 -488.111316046679</t>
  </si>
  <si>
    <t>-753.35963580186 9.12293714874181 -612.612504801491</t>
  </si>
  <si>
    <t>-721.477853071324 9.46642630208817 -689.348683779571</t>
  </si>
  <si>
    <t>-753.599671902723 38.7665270440373 -558.811649295751</t>
  </si>
  <si>
    <t>-746.801286740567 175.143276336283 -542.976457613722</t>
  </si>
  <si>
    <t>-692.281862132542 209.433989022732 -255.847601473019</t>
  </si>
  <si>
    <t>-451.376912288317 205.607969371098 -254.834931990086</t>
  </si>
  <si>
    <t>-730.322717181333 128.88462582629 -104.042117275453</t>
  </si>
  <si>
    <t>-710.850234341007 166.092447485254 297.319365259805</t>
  </si>
  <si>
    <t>-741.610950095291 246.287389612063 736.899403073294</t>
  </si>
  <si>
    <t>-605.414136218888 197.155454780504 801.115989406804</t>
  </si>
  <si>
    <t>-673.376915570023 -50.4736145267736 307.553462825964</t>
  </si>
  <si>
    <t>-681.544184660467 -31.7719222172284 754.938198333072</t>
  </si>
  <si>
    <t>-573.432071094439 -121.130778685882 828.518548451099</t>
  </si>
  <si>
    <t>9763-20170724T105105.112894200.bin</t>
  </si>
  <si>
    <t>-721.47410574498 33.5414392294899 -98.0116483218692</t>
  </si>
  <si>
    <t>-740.127840191118 25.6613566196231 -212.056185766043</t>
  </si>
  <si>
    <t>-748.150670033013 20.6247011880964 -310.224130659201</t>
  </si>
  <si>
    <t>-752.78766057981 16.6321311159961 -399.110574636684</t>
  </si>
  <si>
    <t>-754.44518096498 13.1619200640232 -488.124266023978</t>
  </si>
  <si>
    <t>-753.628057586259 8.80876536452365 -612.628078221729</t>
  </si>
  <si>
    <t>-721.711105650685 9.28599474668545 -689.348957645383</t>
  </si>
  <si>
    <t>-753.966739487048 38.4165259648553 -558.808239375925</t>
  </si>
  <si>
    <t>-747.572766471082 174.809083181619 -542.86864401716</t>
  </si>
  <si>
    <t>-693.602675477184 208.911817275861 -255.613616014492</t>
  </si>
  <si>
    <t>-452.696071862741 205.139325517229 -254.809774660262</t>
  </si>
  <si>
    <t>-730.749969591466 128.501800028233 -104.050648035579</t>
  </si>
  <si>
    <t>-711.126764975861 165.900216294542 297.285825699077</t>
  </si>
  <si>
    <t>-741.618853025176 246.248378797335 736.849636200115</t>
  </si>
  <si>
    <t>-605.371179192907 197.26026516055 801.068257601152</t>
  </si>
  <si>
    <t>-673.601733273041 -50.7512569077853 307.556916801064</t>
  </si>
  <si>
    <t>-681.711831184673 -32.1340829928681 754.951141107825</t>
  </si>
  <si>
    <t>-573.163536287427 -120.995643129391 828.491649298699</t>
  </si>
  <si>
    <t>9763-20170724T105105.143971500.bin</t>
  </si>
  <si>
    <t>-721.571971441467 33.3705643210135 -98.0044848522639</t>
  </si>
  <si>
    <t>-740.253213517534 25.4691102868503 -212.043079775716</t>
  </si>
  <si>
    <t>-748.292289374307 20.4291004585109 -310.209397655334</t>
  </si>
  <si>
    <t>-752.94107376278 16.4387105706739 -399.095360568696</t>
  </si>
  <si>
    <t>-754.607221668072 12.9767228093426 -488.109317781191</t>
  </si>
  <si>
    <t>-753.798551470339 8.6408497212426 -612.613623029584</t>
  </si>
  <si>
    <t>-721.876060779575 9.17675014619931 -689.331974121293</t>
  </si>
  <si>
    <t>-754.170396401301 38.2411280563804 -558.789876922337</t>
  </si>
  <si>
    <t>-747.972280704847 174.640989612411 -542.814292660098</t>
  </si>
  <si>
    <t>-694.266774425072 208.64376549605 -255.497851479307</t>
  </si>
  <si>
    <t>-453.360820150686 204.803992842488 -254.815870112109</t>
  </si>
  <si>
    <t>-730.935998652063 128.356591954228 -104.05245444186</t>
  </si>
  <si>
    <t>-711.259634581157 165.865777495507 297.271027147226</t>
  </si>
  <si>
    <t>-741.619102149429 246.315779747207 736.831909767851</t>
  </si>
  <si>
    <t>-605.401569922032 197.249322874945 801.054924914845</t>
  </si>
  <si>
    <t>-673.703895118108 -50.8163291585006 307.566473668189</t>
  </si>
  <si>
    <t>-681.712596941183 -32.1291470661038 754.953735353889</t>
  </si>
  <si>
    <t>-573.182860798473 -121.017207812076 828.489345914522</t>
  </si>
  <si>
    <t>9763-20170724T105105.208765200.bin</t>
  </si>
  <si>
    <t>-721.764567543879 33.0676468712954 -98.0034946581255</t>
  </si>
  <si>
    <t>-740.502162157856 25.1123240455804 -212.029092025973</t>
  </si>
  <si>
    <t>-748.58585254457 20.0558130026354 -310.190882327896</t>
  </si>
  <si>
    <t>-753.273045639571 16.0612424010849 -399.074667998418</t>
  </si>
  <si>
    <t>-754.975754082041 12.6066199210684 -488.088260584816</t>
  </si>
  <si>
    <t>-754.215357800991 8.29385040266652 -612.593764474003</t>
  </si>
  <si>
    <t>-722.317900649547 8.94307415066783 -689.321582536008</t>
  </si>
  <si>
    <t>-754.636789881708 37.8840392037382 -558.764740469712</t>
  </si>
  <si>
    <t>-748.787967313086 174.286253811876 -542.72214914235</t>
  </si>
  <si>
    <t>-695.724611788401 208.192733740325 -255.274987760419</t>
  </si>
  <si>
    <t>-454.824578625674 203.949619779763 -255.024637933161</t>
  </si>
  <si>
    <t>-731.358583660328 128.046800322418 -104.06586356555</t>
  </si>
  <si>
    <t>-711.564203487671 165.809266313438 297.228128671698</t>
  </si>
  <si>
    <t>-741.621665791612 246.355612324128 736.798725302872</t>
  </si>
  <si>
    <t>-605.402429362403 197.29300324494 801.020624791083</t>
  </si>
  <si>
    <t>-673.918483081218 -50.779251484923 307.564025350096</t>
  </si>
  <si>
    <t>-681.668342739402 -32.02449378031 754.957789777076</t>
  </si>
  <si>
    <t>-573.36568229497 -121.185138206367 828.49847634608</t>
  </si>
  <si>
    <t>9763-20170724T105105.244861300.bin</t>
  </si>
  <si>
    <t>-721.909836812015 32.8544052998975 -98.0007270336808</t>
  </si>
  <si>
    <t>-740.686945851551 24.8772588746358 -212.018240758776</t>
  </si>
  <si>
    <t>-748.804134740953 19.8175650000553 -310.177194484947</t>
  </si>
  <si>
    <t>-753.520928621738 15.8260087795038 -399.059530693675</t>
  </si>
  <si>
    <t>-755.252856023694 12.3809577215764 -488.07282468135</t>
  </si>
  <si>
    <t>-754.53279121242 8.08841522851912 -612.579245792688</t>
  </si>
  <si>
    <t>-722.65799758426 8.78581026473489 -689.316122764722</t>
  </si>
  <si>
    <t>-754.972781822267 37.6696719346457 -558.745689820458</t>
  </si>
  <si>
    <t>-749.297968818692 174.07829803893 -542.664430135612</t>
  </si>
  <si>
    <t>-696.504905693903 207.916949646077 -255.159739387653</t>
  </si>
  <si>
    <t>-455.608693071831 203.463214601029 -255.165337653622</t>
  </si>
  <si>
    <t>-731.612441219853 127.825668649594 -104.059475525652</t>
  </si>
  <si>
    <t>-711.69250621766 165.716028154736 297.216194319083</t>
  </si>
  <si>
    <t>-741.626831705297 246.344562165748 736.779985493178</t>
  </si>
  <si>
    <t>-605.367962288992 197.388099752419 800.998840463549</t>
  </si>
  <si>
    <t>-674.051907395575 -50.8270601831405 307.573886620527</t>
  </si>
  <si>
    <t>-681.676884355694 -32.0376328738073 754.966373680891</t>
  </si>
  <si>
    <t>-573.347888811302 -121.171398358725 828.50074170571</t>
  </si>
  <si>
    <t>9763-20170724T105105.307529500.bin</t>
  </si>
  <si>
    <t>-722.330197021279 32.2964613432018 -97.9837197197492</t>
  </si>
  <si>
    <t>-741.178694234978 24.2987465533306 -211.988156900255</t>
  </si>
  <si>
    <t>-749.344653781476 19.2570520423726 -310.143890964381</t>
  </si>
  <si>
    <t>-754.100463686354 15.2957046365227 -399.025356957996</t>
  </si>
  <si>
    <t>-755.86581069717 11.8955818136619 -488.03992397178</t>
  </si>
  <si>
    <t>-755.186822821282 7.68195088649327 -612.549279781776</t>
  </si>
  <si>
    <t>-723.357289913621 8.48465557690133 -689.303762710666</t>
  </si>
  <si>
    <t>-755.686308274731 37.2285913407216 -558.697038483597</t>
  </si>
  <si>
    <t>-750.383837534123 173.640500416218 -542.528073512167</t>
  </si>
  <si>
    <t>-698.162810586786 207.297375765015 -254.897424299158</t>
  </si>
  <si>
    <t>-457.274655272263 202.50042798371 -255.773455881198</t>
  </si>
  <si>
    <t>-732.210650859635 127.318710717376 -104.034382773456</t>
  </si>
  <si>
    <t>-712.026261742005 165.414780688655 297.208636277956</t>
  </si>
  <si>
    <t>-741.639092933646 246.339107097786 736.755881779682</t>
  </si>
  <si>
    <t>-605.380026920788 197.388137634624 800.978765217497</t>
  </si>
  <si>
    <t>-674.452591270309 -50.9959235677634 307.583273883566</t>
  </si>
  <si>
    <t>-681.726591073146 -32.1425947200653 754.984395378537</t>
  </si>
  <si>
    <t>-573.279381237779 -121.147106965917 828.500748313122</t>
  </si>
  <si>
    <t>9763-20170724T105105.344694600.bin</t>
  </si>
  <si>
    <t>-722.556495006059 31.9920749807206 -97.9763844302004</t>
  </si>
  <si>
    <t>-741.437789615562 23.9762437345705 -211.974040626447</t>
  </si>
  <si>
    <t>-749.624463991198 18.9453776686312 -310.128582122365</t>
  </si>
  <si>
    <t>-754.39542643419 15.0041986876411 -399.010377547959</t>
  </si>
  <si>
    <t>-756.172388280755 11.635046679221 -488.025661319982</t>
  </si>
  <si>
    <t>-755.506024388416 7.476752828597 -612.537026547268</t>
  </si>
  <si>
    <t>-723.693774296758 8.34716711291753 -689.297934483304</t>
  </si>
  <si>
    <t>-756.04143396135 36.999132713984 -558.671941412957</t>
  </si>
  <si>
    <t>-750.93878044781 173.410574773337 -542.447477011175</t>
  </si>
  <si>
    <t>-698.982029686193 207.005212442471 -254.761600032021</t>
  </si>
  <si>
    <t>-458.098537692883 202.055637425455 -256.00419597236</t>
  </si>
  <si>
    <t>-732.534732588338 127.006647351524 -104.016478938789</t>
  </si>
  <si>
    <t>-712.206182498686 165.252949415669 297.204884071077</t>
  </si>
  <si>
    <t>-741.644757811228 246.301770340841 736.743352725308</t>
  </si>
  <si>
    <t>-605.348689481324 197.45511692679 800.967283871833</t>
  </si>
  <si>
    <t>-674.665676054697 -51.0659783404922 307.591085793109</t>
  </si>
  <si>
    <t>-681.722362425028 -32.1172117063811 754.990011929267</t>
  </si>
  <si>
    <t>-573.276195814615 -121.127790185245 828.5007362564</t>
  </si>
  <si>
    <t>9763-20170724T105105.411683400.bin</t>
  </si>
  <si>
    <t>-723.042416552974 31.4533334916712 -97.9515070478133</t>
  </si>
  <si>
    <t>-742.003075600629 23.4040586695216 -211.933599868745</t>
  </si>
  <si>
    <t>-750.249010982413 18.3941019607885 -310.084381820859</t>
  </si>
  <si>
    <t>-755.069615263815 14.4908354056258 -398.965001620029</t>
  </si>
  <si>
    <t>-756.892028564546 11.17996673579 -487.981708385517</t>
  </si>
  <si>
    <t>-756.284248046699 7.12429278321906 -612.496708452729</t>
  </si>
  <si>
    <t>-724.504849863484 8.14545056960924 -689.269312030067</t>
  </si>
  <si>
    <t>-756.864568298036 36.6015429689614 -558.607326247274</t>
  </si>
  <si>
    <t>-752.106328212829 173.008687893587 -542.277131516049</t>
  </si>
  <si>
    <t>-700.768200147895 206.456603655464 -254.463179984666</t>
  </si>
  <si>
    <t>-459.893774607297 201.234158710272 -256.214402254348</t>
  </si>
  <si>
    <t>-733.182551767906 126.441205404916 -103.983154464328</t>
  </si>
  <si>
    <t>-712.595211759145 164.975547505968 297.197514587681</t>
  </si>
  <si>
    <t>-741.657340987055 246.245936830319 736.711609067413</t>
  </si>
  <si>
    <t>-605.320867428957 197.51806704278 800.939510176328</t>
  </si>
  <si>
    <t>-675.075858970523 -51.3029619578381 307.618901307271</t>
  </si>
  <si>
    <t>-681.740545982818 -32.1460466599256 755.003958801044</t>
  </si>
  <si>
    <t>-573.240913186723 -121.103991144051 828.499823492835</t>
  </si>
  <si>
    <t>9763-20170724T105105.444764200.bin</t>
  </si>
  <si>
    <t>-723.31330986733 31.0858393896815 -97.929648949339</t>
  </si>
  <si>
    <t>-742.308632550676 23.0206013808338 -211.904887050446</t>
  </si>
  <si>
    <t>-750.584962497915 18.0262701315671 -310.053766581435</t>
  </si>
  <si>
    <t>-755.433158566369 14.1486132943517 -398.934047444879</t>
  </si>
  <si>
    <t>-757.28273433215 10.8751872758705 -487.951452231183</t>
  </si>
  <si>
    <t>-756.712382969913 6.88457398518449 -612.468809784916</t>
  </si>
  <si>
    <t>-724.946158642624 7.99272360073655 -689.245764683067</t>
  </si>
  <si>
    <t>-757.308100727784 36.3333637094966 -558.564021755303</t>
  </si>
  <si>
    <t>-752.71431676705 172.738521932513 -542.158266577797</t>
  </si>
  <si>
    <t>-701.711005449665 206.086928591232 -254.273372243389</t>
  </si>
  <si>
    <t>-460.839305184467 200.783560293163 -256.167797165565</t>
  </si>
  <si>
    <t>-733.509929493083 126.086648037315 -103.960554833413</t>
  </si>
  <si>
    <t>-712.776454102728 164.82266897169 297.193162370162</t>
  </si>
  <si>
    <t>-741.661253090331 246.257182609077 736.695900770284</t>
  </si>
  <si>
    <t>-605.325193723346 197.531638128064 800.926470480665</t>
  </si>
  <si>
    <t>-675.350181347706 -51.4671321382482 307.622475712636</t>
  </si>
  <si>
    <t>-681.814587995093 -32.2968226387788 755.016679479343</t>
  </si>
  <si>
    <t>-573.109310295933 -121.017684908785 828.495149297645</t>
  </si>
  <si>
    <t>9763-20170724T105105.510104200.bin</t>
  </si>
  <si>
    <t>-723.891922146093 30.3952473261279 -97.8921442914667</t>
  </si>
  <si>
    <t>-742.978620489923 22.2799465640853 -211.848488890823</t>
  </si>
  <si>
    <t>-751.321079200521 17.3112785133285 -309.993118409822</t>
  </si>
  <si>
    <t>-756.22305955114 13.4828629412496 -398.872599823869</t>
  </si>
  <si>
    <t>-758.120299366453 10.2859739003072 -487.891795901677</t>
  </si>
  <si>
    <t>-757.609163100036 6.43078830652303 -612.413689313348</t>
  </si>
  <si>
    <t>-725.859014336802 7.7158289600336 -689.194522973158</t>
  </si>
  <si>
    <t>-758.247450783587 35.8199464770971 -558.476878931342</t>
  </si>
  <si>
    <t>-753.978033794152 172.216132614519 -541.915641133954</t>
  </si>
  <si>
    <t>-703.495273547357 205.243035795851 -253.901832309298</t>
  </si>
  <si>
    <t>-462.627531239958 199.876149291834 -256.094156512779</t>
  </si>
  <si>
    <t>-734.277642689669 125.476457996661 -103.926102724409</t>
  </si>
  <si>
    <t>-713.178999334804 164.460798483432 297.184478526211</t>
  </si>
  <si>
    <t>-741.676467293865 246.214374802749 736.659662356598</t>
  </si>
  <si>
    <t>-605.311507090502 197.585814825207 800.902848871698</t>
  </si>
  <si>
    <t>-675.94899659802 -51.6723794167931 307.651037236119</t>
  </si>
  <si>
    <t>-681.888261176102 -32.4318859300829 755.048415220016</t>
  </si>
  <si>
    <t>-573.078924310239 -121.043171784196 828.50486794475</t>
  </si>
  <si>
    <t>9763-20170724T105105.548207300.bin</t>
  </si>
  <si>
    <t>-724.198512476753 30.049995710544 -97.8746523570027</t>
  </si>
  <si>
    <t>-743.331170940142 21.9193063027194 -211.822234270703</t>
  </si>
  <si>
    <t>-751.709167492444 16.9650714341528 -309.964630362475</t>
  </si>
  <si>
    <t>-756.641256976229 13.1603199172971 -398.843393018242</t>
  </si>
  <si>
    <t>-758.566538795308 9.99826101202689 -487.863314787489</t>
  </si>
  <si>
    <t>-758.092408333204 6.20368804282543 -612.387105348743</t>
  </si>
  <si>
    <t>-726.35121863415 7.57302430091454 -689.170172522988</t>
  </si>
  <si>
    <t>-758.750865280467 35.5660652849413 -558.435863037087</t>
  </si>
  <si>
    <t>-754.670759592401 171.963033090607 -541.798141692767</t>
  </si>
  <si>
    <t>-704.284969892379 204.794586320899 -253.745019357873</t>
  </si>
  <si>
    <t>-463.417734403781 199.477969036413 -256.108018301878</t>
  </si>
  <si>
    <t>-734.700215838757 125.128156083525 -103.894525833744</t>
  </si>
  <si>
    <t>-713.380523100572 164.248409954354 297.191206986762</t>
  </si>
  <si>
    <t>-741.69255782452 246.159473959112 736.653096168794</t>
  </si>
  <si>
    <t>-605.293690470467 197.623799707639 800.894403420862</t>
  </si>
  <si>
    <t>-676.241438021423 -51.7619188664321 307.668878781672</t>
  </si>
  <si>
    <t>-681.90877013946 -32.4590644186044 755.0649687136</t>
  </si>
  <si>
    <t>-573.066689342545 -121.040221069058 828.509515272495</t>
  </si>
  <si>
    <t>9763-20170724T105105.609280600.bin</t>
  </si>
  <si>
    <t>-724.787514277294 29.5232013832681 -97.8367513494143</t>
  </si>
  <si>
    <t>-744.005898751102 21.3378154557656 -211.766012778316</t>
  </si>
  <si>
    <t>-752.479577183198 16.3963533412668 -309.900734435039</t>
  </si>
  <si>
    <t>-757.50634030932 12.6264989485817 -398.775819063217</t>
  </si>
  <si>
    <t>-759.534256611139 9.52360748061142 -487.795431654247</t>
  </si>
  <si>
    <t>-759.211078633804 5.83724670737956 -612.323064861309</t>
  </si>
  <si>
    <t>-727.503001277022 7.35209602676105 -689.117079984257</t>
  </si>
  <si>
    <t>-759.866569156398 35.1514567166903 -558.345581016705</t>
  </si>
  <si>
    <t>-756.095215439414 171.540042632586 -541.57615150751</t>
  </si>
  <si>
    <t>-705.727128263353 204.052419734221 -253.483829156883</t>
  </si>
  <si>
    <t>-464.860424546885 198.925554773054 -256.270400986393</t>
  </si>
  <si>
    <t>-735.496669202067 124.570588097747 -103.85467266864</t>
  </si>
  <si>
    <t>-713.77153285105 163.896488647531 297.189146961967</t>
  </si>
  <si>
    <t>-741.710860977433 246.126599450062 736.623038435606</t>
  </si>
  <si>
    <t>-605.294463161218 197.653007002978 800.873935512799</t>
  </si>
  <si>
    <t>-676.809856010067 -51.8667047895051 307.703700158811</t>
  </si>
  <si>
    <t>-681.851371051993 -32.3052050035196 755.089607198944</t>
  </si>
  <si>
    <t>-573.25650921891 -121.188968554932 828.534337952708</t>
  </si>
  <si>
    <t>9763-20170724T105105.642393200.bin</t>
  </si>
  <si>
    <t>-725.183936456866 29.200956649262 -97.8108174205305</t>
  </si>
  <si>
    <t>-744.459472088694 20.9757614170139 -211.727518792316</t>
  </si>
  <si>
    <t>-753.010656233322 16.0329441568026 -309.855589328086</t>
  </si>
  <si>
    <t>-758.118370205026 12.2745326510794 -398.7264141429</t>
  </si>
  <si>
    <t>-760.23778127823 9.19632916259843 -487.744898541721</t>
  </si>
  <si>
    <t>-760.053646028753 5.55813602773537 -612.274102919293</t>
  </si>
  <si>
    <t>-728.391769875869 7.13039042974219 -689.086110035042</t>
  </si>
  <si>
    <t>-760.669769563059 34.8511744887956 -558.28464878897</t>
  </si>
  <si>
    <t>-756.983036893231 171.235151800802 -541.452892042294</t>
  </si>
  <si>
    <t>-706.485362352997 203.643996561812 -253.371489567193</t>
  </si>
  <si>
    <t>-465.618401477503 198.65478099054 -256.383311692465</t>
  </si>
  <si>
    <t>-735.956922608959 124.252003140917 -103.843825205053</t>
  </si>
  <si>
    <t>-714.009101882886 163.683159565926 297.17754781844</t>
  </si>
  <si>
    <t>-741.726759366699 246.057779859772 736.597790878364</t>
  </si>
  <si>
    <t>-605.284823289605 197.666522519489 800.856411546428</t>
  </si>
  <si>
    <t>-677.168904548212 -52.1011995212987 307.740908818465</t>
  </si>
  <si>
    <t>-681.97010164925 -32.5556112824252 755.118364083155</t>
  </si>
  <si>
    <t>-572.911706002145 -120.903472892466 828.522998416491</t>
  </si>
  <si>
    <t>9763-20170724T105105.710136900.bin</t>
  </si>
  <si>
    <t>-725.962265280607 28.7487594507959 -97.7912752674607</t>
  </si>
  <si>
    <t>-745.300551120386 20.4578866732593 -211.692573447488</t>
  </si>
  <si>
    <t>-753.99087277314 15.5142930938284 -309.808432352534</t>
  </si>
  <si>
    <t>-759.258230921116 11.7780479149155 -398.670798860494</t>
  </si>
  <si>
    <t>-761.570772317094 8.74572744416196 -487.685976354704</t>
  </si>
  <si>
    <t>-761.691359869599 5.19771876177606 -612.217975230132</t>
  </si>
  <si>
    <t>-730.138272265631 6.86574735626914 -689.072626461997</t>
  </si>
  <si>
    <t>-762.207036259004 34.4511052857852 -558.205893662086</t>
  </si>
  <si>
    <t>-758.601098261669 170.826427272036 -541.302314461138</t>
  </si>
  <si>
    <t>-707.673442556461 203.237327723981 -253.296832995175</t>
  </si>
  <si>
    <t>-466.803590311696 198.487570270993 -256.460608338055</t>
  </si>
  <si>
    <t>-736.860057381547 123.950346594726 -103.862023026672</t>
  </si>
  <si>
    <t>-714.492273568854 163.350409215184 297.13926436514</t>
  </si>
  <si>
    <t>-741.744384654254 246.017083343424 736.544976171391</t>
  </si>
  <si>
    <t>-605.316340554414 197.621950689347 800.830201451402</t>
  </si>
  <si>
    <t>-678.042362551198 -51.9580749022311 307.781131184202</t>
  </si>
  <si>
    <t>-681.9856093381 -32.5019538643464 755.16889687839</t>
  </si>
  <si>
    <t>-573.21366128392 -121.219137975917 828.553061318448</t>
  </si>
  <si>
    <t>9763-20170724T105105.743225100.bin</t>
  </si>
  <si>
    <t>-726.410013869665 28.6764812781771 -97.7975684967284</t>
  </si>
  <si>
    <t>-745.771993487688 20.3656816570219 -211.693398139768</t>
  </si>
  <si>
    <t>-754.531158712638 15.4276975077623 -309.803322983506</t>
  </si>
  <si>
    <t>-759.880182031528 11.7067697353434 -398.661499303374</t>
  </si>
  <si>
    <t>-762.294073562432 8.7010050875308 -487.674883289241</t>
  </si>
  <si>
    <t>-762.576375279132 5.20259697424785 -612.207940482299</t>
  </si>
  <si>
    <t>-731.087017553075 6.91608783272113 -689.087865798726</t>
  </si>
  <si>
    <t>-763.041233089701 34.4339099933038 -558.183778032112</t>
  </si>
  <si>
    <t>-759.455499216981 170.802381525022 -541.268573672256</t>
  </si>
  <si>
    <t>-708.205630770109 203.314859236367 -253.331690183816</t>
  </si>
  <si>
    <t>-467.335865938169 198.586620920967 -256.542661004625</t>
  </si>
  <si>
    <t>-737.309901938401 123.869638897851 -103.88764731035</t>
  </si>
  <si>
    <t>-714.835660147598 163.344426033588 297.100398572427</t>
  </si>
  <si>
    <t>-741.750961431805 245.990387571857 736.527851234697</t>
  </si>
  <si>
    <t>-605.302947294508 197.662454520651 800.82132980071</t>
  </si>
  <si>
    <t>-678.446752117348 -51.863762279097 307.796135889208</t>
  </si>
  <si>
    <t>-681.974007503792 -32.4240422334119 755.192224621111</t>
  </si>
  <si>
    <t>-573.141184086178 -121.086404529132 828.55225971503</t>
  </si>
  <si>
    <t>9763-20170724T105105.812415700.bin</t>
  </si>
  <si>
    <t>-727.467788771458 28.6173524740268 -97.7740698557388</t>
  </si>
  <si>
    <t>-746.908940418561 20.307151980948 -211.656395715829</t>
  </si>
  <si>
    <t>-755.806520212386 15.3546020414251 -309.753064471762</t>
  </si>
  <si>
    <t>-761.309459634715 11.6161588907617 -398.601158651749</t>
  </si>
  <si>
    <t>-763.90618929799 8.58989630770998 -487.608753050529</t>
  </si>
  <si>
    <t>-764.475145088671 5.06056526060115 -612.140080348202</t>
  </si>
  <si>
    <t>-733.098663663346 6.77969587795701 -689.065926897457</t>
  </si>
  <si>
    <t>-764.843256484534 34.3048185863038 -558.121935801085</t>
  </si>
  <si>
    <t>-761.284386132045 170.699979164531 -541.29698054052</t>
  </si>
  <si>
    <t>-709.555170155683 203.470616081971 -253.475151291854</t>
  </si>
  <si>
    <t>-468.693587738688 198.763391904286 -257.268420241478</t>
  </si>
  <si>
    <t>-738.332031762302 123.875291382478 -103.894894045789</t>
  </si>
  <si>
    <t>-715.495633471192 163.457037610653 297.062124713942</t>
  </si>
  <si>
    <t>-741.755875068321 246.028669376458 736.540558858791</t>
  </si>
  <si>
    <t>-605.32604945623 197.649667065407 800.834071700266</t>
  </si>
  <si>
    <t>-678.989097205546 -51.9674068587531 307.798617793999</t>
  </si>
  <si>
    <t>-682.093008535653 -32.6213048042139 755.224428119705</t>
  </si>
  <si>
    <t>-572.97568652358 -120.969829121215 828.540437065044</t>
  </si>
  <si>
    <t>9763-20170724T105105.880597800.bin</t>
  </si>
  <si>
    <t>-728.492703038141 28.4640635840767 -97.7035417661646</t>
  </si>
  <si>
    <t>-748.089985404034 20.1515203471988 -211.559034228036</t>
  </si>
  <si>
    <t>-757.136382665963 15.1634199585571 -309.640227118497</t>
  </si>
  <si>
    <t>-762.780064301621 11.3785436515368 -398.477504815577</t>
  </si>
  <si>
    <t>-765.524280741407 8.2915547845289 -487.478585379264</t>
  </si>
  <si>
    <t>-766.306141311523 4.6624662669451 -612.0059026517</t>
  </si>
  <si>
    <t>-734.98604706122 6.34155781021582 -688.95543694375</t>
  </si>
  <si>
    <t>-766.605963160449 33.9494248255623 -558.010369281599</t>
  </si>
  <si>
    <t>-763.071234034544 170.35178917192 -541.335151333256</t>
  </si>
  <si>
    <t>-710.755343141162 203.688321364128 -253.684479611223</t>
  </si>
  <si>
    <t>-469.934135170356 199.119311849618 -259.617882184028</t>
  </si>
  <si>
    <t>-739.55030762411 123.959677029765 -103.814492357951</t>
  </si>
  <si>
    <t>-715.915621418598 163.500295241964 297.10018035173</t>
  </si>
  <si>
    <t>-741.769138550271 246.041577926262 736.62107948517</t>
  </si>
  <si>
    <t>-605.350920179915 197.608810173386 800.898888175892</t>
  </si>
  <si>
    <t>-679.513093783635 -51.7784119974463 307.785250625366</t>
  </si>
  <si>
    <t>-682.219833791181 -32.8300630127451 755.251931860121</t>
  </si>
  <si>
    <t>-572.836994360753 -120.883493475557 828.527160298396</t>
  </si>
  <si>
    <t>9763-20170724T105105.942682700.bin</t>
  </si>
  <si>
    <t>-729.268212129464 28.2223187501099 -97.6530701250937</t>
  </si>
  <si>
    <t>-749.00998641211 19.8916423782614 -211.482300214271</t>
  </si>
  <si>
    <t>-758.237955677987 14.879457937152 -309.545319917223</t>
  </si>
  <si>
    <t>-764.069208610019 11.0674023396414 -398.369393024886</t>
  </si>
  <si>
    <t>-767.023455024308 7.94773281705852 -487.362581175901</t>
  </si>
  <si>
    <t>-768.123010305393 4.26660070227808 -611.885957408338</t>
  </si>
  <si>
    <t>-736.839231168303 5.92535122606796 -688.850709372213</t>
  </si>
  <si>
    <t>-768.294146830593 33.5757752761215 -557.902060747057</t>
  </si>
  <si>
    <t>-764.665163429102 169.988128592403 -541.307965165532</t>
  </si>
  <si>
    <t>-711.661154715556 203.636252980361 -253.819556298281</t>
  </si>
  <si>
    <t>-470.909544217915 199.89121374222 -262.510676565919</t>
  </si>
  <si>
    <t>-740.529297143329 123.746888988083 -103.705262878793</t>
  </si>
  <si>
    <t>-716.349803110531 163.550855273226 297.150893983503</t>
  </si>
  <si>
    <t>-741.780169466387 246.007969656939 736.722771751653</t>
  </si>
  <si>
    <t>-605.274407677832 197.78231696066 800.970686531147</t>
  </si>
  <si>
    <t>-679.727510766313 -51.7294718788035 307.777497316816</t>
  </si>
  <si>
    <t>-682.285842060287 -32.9439047515204 755.249312431422</t>
  </si>
  <si>
    <t>-572.809197633505 -120.87740664526 828.528692131831</t>
  </si>
  <si>
    <t>9763-20170724T105106.013878600.bin</t>
  </si>
  <si>
    <t>-729.807907564989 27.8137630733347 -97.5811081337126</t>
  </si>
  <si>
    <t>-749.642673247837 19.4510961378157 -211.391768354633</t>
  </si>
  <si>
    <t>-759.039885626391 14.4624634575544 -309.440041284806</t>
  </si>
  <si>
    <t>-765.058993682025 10.6914294912092 -398.25329790737</t>
  </si>
  <si>
    <t>-768.236084882116 7.6325964863529 -487.240917549624</t>
  </si>
  <si>
    <t>-769.682943017754 4.05768171632076 -611.763670383562</t>
  </si>
  <si>
    <t>-738.43932543115 5.74076069161015 -688.744473914402</t>
  </si>
  <si>
    <t>-769.721582196393 33.3203781251159 -557.754434120016</t>
  </si>
  <si>
    <t>-766.073220154172 169.731683106649 -541.176507091267</t>
  </si>
  <si>
    <t>-712.557745088941 203.318734318321 -253.77571081118</t>
  </si>
  <si>
    <t>-471.985069340541 201.410128793671 -266.890980573401</t>
  </si>
  <si>
    <t>-741.20243206896 123.347603588839 -103.631980108251</t>
  </si>
  <si>
    <t>-716.875445059512 163.564178696832 297.174067571023</t>
  </si>
  <si>
    <t>-741.767183042036 246.049842539418 736.787838678018</t>
  </si>
  <si>
    <t>-605.256888677164 197.824811009538 801.025958147747</t>
  </si>
  <si>
    <t>-680.011169152312 -51.8592122261718 307.798151524168</t>
  </si>
  <si>
    <t>-682.315814968983 -32.9895607496908 755.251367414315</t>
  </si>
  <si>
    <t>-572.659599693147 -120.70098134434 828.528434100649</t>
  </si>
  <si>
    <t>9763-20170724T105106.045965000.bin</t>
  </si>
  <si>
    <t>-730.012508000781 27.7184806119039 -97.5583761763036</t>
  </si>
  <si>
    <t>-749.908582662114 19.3369047675142 -211.356963461493</t>
  </si>
  <si>
    <t>-759.376964466957 14.3537629896048 -309.398729441088</t>
  </si>
  <si>
    <t>-765.467609729862 10.596174816993 -398.207615356888</t>
  </si>
  <si>
    <t>-768.723161271101 7.55951945882566 -487.193156986734</t>
  </si>
  <si>
    <t>-770.286984875903 4.02471532676191 -611.715612113004</t>
  </si>
  <si>
    <t>-739.047600766883 5.73298143026864 -688.697493494813</t>
  </si>
  <si>
    <t>-770.285352977601 33.269885865127 -557.696847595897</t>
  </si>
  <si>
    <t>-766.659313126683 169.693786548541 -541.134942519771</t>
  </si>
  <si>
    <t>-712.96505675549 203.2194322807 -253.76039814252</t>
  </si>
  <si>
    <t>-472.496302875197 202.355463675812 -268.759335009308</t>
  </si>
  <si>
    <t>-741.514138073765 123.224202322558 -103.595105772486</t>
  </si>
  <si>
    <t>-717.000839467731 163.531703144876 297.190543719645</t>
  </si>
  <si>
    <t>-741.766384366592 246.057079245086 736.812528517499</t>
  </si>
  <si>
    <t>-605.26087550736 197.80789010581 801.0429591726</t>
  </si>
  <si>
    <t>-680.156080909382 -51.7588601662719 307.815854658175</t>
  </si>
  <si>
    <t>-682.241756218673 -32.8066054908056 755.248337618295</t>
  </si>
  <si>
    <t>-572.943066046732 -120.936685944184 828.556908845407</t>
  </si>
  <si>
    <t>9763-20170724T105106.111140300.bin</t>
  </si>
  <si>
    <t>-730.553694023508 27.1852689722691 -97.4947429113504</t>
  </si>
  <si>
    <t>-750.579999800724 18.8013412882724 -211.27033392043</t>
  </si>
  <si>
    <t>-760.187796246504 13.7698194056443 -309.295906305491</t>
  </si>
  <si>
    <t>-766.415880572876 9.94831969858069 -398.092687023582</t>
  </si>
  <si>
    <t>-769.820930390579 6.82800230186535 -487.069618445252</t>
  </si>
  <si>
    <t>-771.605978399592 3.15409627201075 -611.58534617977</t>
  </si>
  <si>
    <t>-740.328516548464 4.81316008233398 -688.552817397841</t>
  </si>
  <si>
    <t>-771.498492711989 32.4597602166127 -557.599370175977</t>
  </si>
  <si>
    <t>-767.849684748876 168.89106452499 -541.107962492406</t>
  </si>
  <si>
    <t>-713.832899739042 202.276178246477 -253.777422992058</t>
  </si>
  <si>
    <t>-473.583742419446 202.724289824842 -271.972540269248</t>
  </si>
  <si>
    <t>-742.175474015052 122.616158870337 -103.50101113001</t>
  </si>
  <si>
    <t>-717.276954438988 163.235653467528 297.229289514703</t>
  </si>
  <si>
    <t>-741.76827540459 246.000190699732 736.829821102707</t>
  </si>
  <si>
    <t>-605.211587835173 197.89420545225 801.058907866159</t>
  </si>
  <si>
    <t>-680.637031675989 -52.0421158361023 307.835115554101</t>
  </si>
  <si>
    <t>-682.382542748091 -33.090059757192 755.275670891044</t>
  </si>
  <si>
    <t>-572.815750528875 -120.892319685653 828.577600178506</t>
  </si>
  <si>
    <t>9763-20170724T105106.143225000.bin</t>
  </si>
  <si>
    <t>-730.938902497286 26.7822363032153 -97.4383327612989</t>
  </si>
  <si>
    <t>-751.040090567671 18.4212514213982 -211.202337151416</t>
  </si>
  <si>
    <t>-760.719253011688 13.3525927591559 -309.219133269817</t>
  </si>
  <si>
    <t>-767.015324954101 9.47443288577756 -398.008489697575</t>
  </si>
  <si>
    <t>-770.492056519766 6.27371909559179 -486.979854097439</t>
  </si>
  <si>
    <t>-772.3815488327 2.46257536038797 -611.489803825383</t>
  </si>
  <si>
    <t>-741.070716103188 4.06303054894556 -688.445036585326</t>
  </si>
  <si>
    <t>-772.227961456103 31.8277478997063 -557.536337124326</t>
  </si>
  <si>
    <t>-768.674585142633 168.27189297489 -541.139408858586</t>
  </si>
  <si>
    <t>-714.390809754266 201.579320410684 -253.85026853259</t>
  </si>
  <si>
    <t>-474.239337050123 202.234600689643 -273.284847233495</t>
  </si>
  <si>
    <t>-742.559774357019 122.171496089448 -103.411421694062</t>
  </si>
  <si>
    <t>-717.509080790376 163.033958766432 297.284721259842</t>
  </si>
  <si>
    <t>-741.773997717672 245.983401067955 736.849674459008</t>
  </si>
  <si>
    <t>-605.20860095069 197.904578100908 801.08070706731</t>
  </si>
  <si>
    <t>-680.908762675604 -52.2748485391057 307.845221509713</t>
  </si>
  <si>
    <t>-682.407080516224 -33.1150578620759 755.289883582547</t>
  </si>
  <si>
    <t>-572.733445273519 -120.795139877871 828.578382640906</t>
  </si>
  <si>
    <t>9763-20170724T105106.214006900.bin</t>
  </si>
  <si>
    <t>-731.877681115102 25.8305980715456 -97.3075841408864</t>
  </si>
  <si>
    <t>-752.105379969508 17.5235852610438 -211.053151772438</t>
  </si>
  <si>
    <t>-761.924827096393 12.3681605450104 -309.051442816414</t>
  </si>
  <si>
    <t>-768.362365638623 8.35725894009602 -397.824795937663</t>
  </si>
  <si>
    <t>-771.995663266103 4.96902809974267 -486.783057297179</t>
  </si>
  <si>
    <t>-774.121187421405 0.838835264872159 -611.278803512159</t>
  </si>
  <si>
    <t>-742.75975760313 2.30780287094399 -688.21609990135</t>
  </si>
  <si>
    <t>-773.877873912202 30.3419968580558 -557.401117399064</t>
  </si>
  <si>
    <t>-770.693767341316 166.808087465751 -541.212847388326</t>
  </si>
  <si>
    <t>-715.757067392615 200.179044660429 -254.055103462214</t>
  </si>
  <si>
    <t>-475.710855355727 200.624325685853 -274.756448848626</t>
  </si>
  <si>
    <t>-743.517116895458 121.245853560171 -103.207655774223</t>
  </si>
  <si>
    <t>-718.05912072043 162.471023219756 297.425569481032</t>
  </si>
  <si>
    <t>-741.788036228636 245.845081819797 736.913440990626</t>
  </si>
  <si>
    <t>-605.135218491704 198.023606961095 801.150577102249</t>
  </si>
  <si>
    <t>-681.356787520128 -52.5548382831014 307.83618903712</t>
  </si>
  <si>
    <t>-682.392729551745 -33.0264092230022 755.307645177884</t>
  </si>
  <si>
    <t>-572.803006021452 -120.821760877218 828.583460041566</t>
  </si>
  <si>
    <t>9763-20170724T105106.241078400.bin</t>
  </si>
  <si>
    <t>-732.398783886074 25.3624073295161 -97.225408050532</t>
  </si>
  <si>
    <t>-752.675684201315 17.0602052332613 -210.962531756297</t>
  </si>
  <si>
    <t>-762.582573965053 11.8793613539058 -308.950671198439</t>
  </si>
  <si>
    <t>-769.117380301477 7.83257232373671 -397.715350928823</t>
  </si>
  <si>
    <t>-772.866748359057 4.39556050060924 -486.66689947438</t>
  </si>
  <si>
    <t>-775.173864226614 0.183258940174028 -611.156739592687</t>
  </si>
  <si>
    <t>-743.796532944683 1.61470588489146 -688.088299685315</t>
  </si>
  <si>
    <t>-774.848659522967 29.7219450172411 -557.298910104994</t>
  </si>
  <si>
    <t>-771.770026379419 166.195987471288 -541.170194191318</t>
  </si>
  <si>
    <t>-716.518448628924 199.6185060346 -254.078960037688</t>
  </si>
  <si>
    <t>-476.496487397863 199.896034288003 -275.060167106983</t>
  </si>
  <si>
    <t>-744.082216864673 120.837734182785 -103.110380504687</t>
  </si>
  <si>
    <t>-718.380888383683 162.228521781829 297.490383488196</t>
  </si>
  <si>
    <t>-741.788495613329 245.837989896208 736.947901987254</t>
  </si>
  <si>
    <t>-605.144526176601 198.010567509016 801.199531851515</t>
  </si>
  <si>
    <t>-681.580442793822 -52.6551886619502 307.855006562239</t>
  </si>
  <si>
    <t>-682.389137997752 -33.0029862217666 755.31110203234</t>
  </si>
  <si>
    <t>-572.817342357463 -120.823883055032 828.583342708442</t>
  </si>
  <si>
    <t>9763-20170724T105106.311272500.bin</t>
  </si>
  <si>
    <t>-733.156571011637 24.4072859939554 -97.0824493363708</t>
  </si>
  <si>
    <t>-753.503575200705 16.0438704855728 -210.802616791072</t>
  </si>
  <si>
    <t>-763.569005639949 10.8374697300762 -308.773229681391</t>
  </si>
  <si>
    <t>-770.28613779378 6.77736385911271 -397.523638170318</t>
  </si>
  <si>
    <t>-774.256544487606 3.33656390527949 -486.465537883852</t>
  </si>
  <si>
    <t>-745.496757128122 0.540391753653921 -687.864598548533</t>
  </si>
  <si>
    <t>-776.40419238292 28.6657746636192 -557.091581894609</t>
  </si>
  <si>
    <t>-773.3826163642 165.161829222605 -541.087500583602</t>
  </si>
  <si>
    <t>-717.343786318824 198.655161109972 -254.157092794811</t>
  </si>
  <si>
    <t>-477.30027529062 198.754597405945 -274.894008366669</t>
  </si>
  <si>
    <t>-744.875125056052 119.871669900862 -102.97142558409</t>
  </si>
  <si>
    <t>-718.898556452323 161.758284262105 297.559965959103</t>
  </si>
  <si>
    <t>-741.800699966795 245.728434115999 736.993476161344</t>
  </si>
  <si>
    <t>-605.064639921558 198.175983558099 801.253044476794</t>
  </si>
  <si>
    <t>-682.15252757441 -52.9135783673071 307.957789891316</t>
  </si>
  <si>
    <t>-682.417708185071 -33.0197868838995 755.349447378373</t>
  </si>
  <si>
    <t>-572.860315672623 -120.870438994267 828.607486628888</t>
  </si>
  <si>
    <t>9763-20170724T105106.345366000.bin</t>
  </si>
  <si>
    <t>-733.436400078419 23.9627244566709 -97.0309068536349</t>
  </si>
  <si>
    <t>-753.823753386587 15.5663220941433 -210.741406077475</t>
  </si>
  <si>
    <t>-763.949367265444 10.329244924116 -308.704157702704</t>
  </si>
  <si>
    <t>-770.730869001127 6.24006575902126 -397.448308324284</t>
  </si>
  <si>
    <t>-774.775793831165 2.76871037871206 -486.385636452399</t>
  </si>
  <si>
    <t>-776.968822659296 28.0729324114343 -557.019381384784</t>
  </si>
  <si>
    <t>-773.965154677646 164.582874923875 -541.092231850602</t>
  </si>
  <si>
    <t>-717.484224182176 198.037592051093 -254.244140019426</t>
  </si>
  <si>
    <t>-477.321579058235 198.066827074434 -273.550197488433</t>
  </si>
  <si>
    <t>-745.170796153408 119.408982992195 -102.931532811165</t>
  </si>
  <si>
    <t>-719.072674181394 161.546548229954 297.56559867473</t>
  </si>
  <si>
    <t>-741.805561893812 245.727953083826 736.985128020027</t>
  </si>
  <si>
    <t>-605.069430989663 198.189781028199 801.255230867373</t>
  </si>
  <si>
    <t>-682.473298086994 -53.0437397729074 308.001255051324</t>
  </si>
  <si>
    <t>-682.432894196763 -33.0211589296018 755.37753281599</t>
  </si>
  <si>
    <t>-572.927191047985 -120.942181330282 828.628200992068</t>
  </si>
  <si>
    <t>9763-20170724T105106.410103400.bin</t>
  </si>
  <si>
    <t>-734.254903072559 22.8850033540405 -96.9346384570299</t>
  </si>
  <si>
    <t>-754.725313829488 14.4358586704616 -210.626347242739</t>
  </si>
  <si>
    <t>-764.956270445406 9.15070859170578 -308.575569503475</t>
  </si>
  <si>
    <t>-771.846926461227 5.01682048053294 -397.30931640768</t>
  </si>
  <si>
    <t>-776.014328938806 1.49858058292421 -486.239021047724</t>
  </si>
  <si>
    <t>-778.262212936656 26.7655247877115 -556.884356547186</t>
  </si>
  <si>
    <t>-775.116764422811 163.301312740831 -541.147774395219</t>
  </si>
  <si>
    <t>-718.081319216557 196.515900327925 -254.381495858847</t>
  </si>
  <si>
    <t>-477.64720602729 197.533772738928 -269.914253364945</t>
  </si>
  <si>
    <t>-745.944136986815 118.31918637876 -102.854691604673</t>
  </si>
  <si>
    <t>-719.327301532172 160.855881395821 297.566187368422</t>
  </si>
  <si>
    <t>-741.817124353531 245.58405379433 736.919500951819</t>
  </si>
  <si>
    <t>-605.014221424704 198.280471588826 801.220615006905</t>
  </si>
  <si>
    <t>-683.338764042462 -53.7053124598815 308.11185322586</t>
  </si>
  <si>
    <t>-682.601999031309 -33.3293344062672 755.468137676128</t>
  </si>
  <si>
    <t>-572.560748713468 -120.63237743282 828.655421243889</t>
  </si>
  <si>
    <t>9763-20170724T105106.444197900.bin</t>
  </si>
  <si>
    <t>-734.684671963498 22.2473248497297 -96.8752804640477</t>
  </si>
  <si>
    <t>-755.190574996089 13.7760748839214 -210.55891709324</t>
  </si>
  <si>
    <t>-765.482421349813 8.45432043877054 -308.499742151214</t>
  </si>
  <si>
    <t>-772.440202702451 4.28085895788104 -397.226389840509</t>
  </si>
  <si>
    <t>-776.687443318326 0.715568428582856 -486.150445592078</t>
  </si>
  <si>
    <t>-778.968907131059 25.941442698979 -556.809488672485</t>
  </si>
  <si>
    <t>-775.745459828382 162.489936465789 -541.194335711563</t>
  </si>
  <si>
    <t>-718.479603978442 195.644207715083 -254.466891665439</t>
  </si>
  <si>
    <t>-477.905509084766 197.451817679305 -267.567978420912</t>
  </si>
  <si>
    <t>-746.346055170278 117.676241452434 -102.813405762894</t>
  </si>
  <si>
    <t>-719.503640123374 160.444323691205 297.56773436867</t>
  </si>
  <si>
    <t>-741.827433905253 245.488455786475 736.873986847912</t>
  </si>
  <si>
    <t>-604.984832717925 198.329751921055 801.196812440093</t>
  </si>
  <si>
    <t>-683.854168238664 -53.9207062492064 308.173852391481</t>
  </si>
  <si>
    <t>-682.629978076203 -33.3493369795033 755.508220522829</t>
  </si>
  <si>
    <t>-572.615906800986 -120.699028938585 828.680842323849</t>
  </si>
  <si>
    <t>9763-20170724T105106.509913800.bin</t>
  </si>
  <si>
    <t>-735.554340490783 20.8837901156658 -96.7554629551955</t>
  </si>
  <si>
    <t>-756.09856920051 12.396367343797 -210.430951065474</t>
  </si>
  <si>
    <t>-766.466222346105 6.99126538021551 -308.359272955165</t>
  </si>
  <si>
    <t>-773.510570039857 2.71452989060595 -397.074143416318</t>
  </si>
  <si>
    <t>-780.165203275765 24.1227567573869 -556.689078257527</t>
  </si>
  <si>
    <t>-776.80299230982 160.682328792259 -541.307523255255</t>
  </si>
  <si>
    <t>-719.05873868901 194.120117464215 -254.709037058332</t>
  </si>
  <si>
    <t>-478.272303105621 198.175308391361 -262.211636659799</t>
  </si>
  <si>
    <t>-747.16147436547 116.248655813013 -102.713224859393</t>
  </si>
  <si>
    <t>-719.965723725645 159.583083228795 297.583157249279</t>
  </si>
  <si>
    <t>-741.859851044552 245.309583774477 736.781886406621</t>
  </si>
  <si>
    <t>-604.954895045801 198.375507123033 801.136647671108</t>
  </si>
  <si>
    <t>-684.973140331718 -54.3862246047063 308.288400399021</t>
  </si>
  <si>
    <t>-682.620423468496 -33.2078334110954 755.595105939379</t>
  </si>
  <si>
    <t>-572.736389044136 -120.749263194339 828.733915889612</t>
  </si>
  <si>
    <t>9763-20170724T105106.543001300.bin</t>
  </si>
  <si>
    <t>-736.016240040773 20.2266838597407 -96.698723213016</t>
  </si>
  <si>
    <t>-756.564353666867 11.7357506181977 -210.373256789419</t>
  </si>
  <si>
    <t>-766.949262009325 6.29358646885726 -308.297627346833</t>
  </si>
  <si>
    <t>-774.015196152935 1.9697891033054 -397.008639741123</t>
  </si>
  <si>
    <t>-780.698609939847 23.2603048954199 -556.639610860352</t>
  </si>
  <si>
    <t>-777.278621162314 159.833205245973 -541.3728067979</t>
  </si>
  <si>
    <t>-719.240596709291 193.630528853451 -254.87583500567</t>
  </si>
  <si>
    <t>-478.416733544701 198.967507337914 -259.998688880113</t>
  </si>
  <si>
    <t>-747.561130152831 115.532870263018 -102.665963530426</t>
  </si>
  <si>
    <t>-720.22819311906 159.217320576354 297.583052661431</t>
  </si>
  <si>
    <t>-741.870490653405 245.208754026546 736.723636714425</t>
  </si>
  <si>
    <t>-604.917385158867 198.43117987625 801.089691035943</t>
  </si>
  <si>
    <t>-685.549663437447 -54.6641448582973 308.357055058242</t>
  </si>
  <si>
    <t>-682.640939092783 -33.1914264404465 755.634168975832</t>
  </si>
  <si>
    <t>-572.807407675794 -120.808467029554 828.758014098658</t>
  </si>
  <si>
    <t>9763-20170724T105106.610192100.bin</t>
  </si>
  <si>
    <t>-736.94608607744 18.7844342619994 -96.5947968781697</t>
  </si>
  <si>
    <t>-757.482371359301 10.2983781112353 -210.271878815919</t>
  </si>
  <si>
    <t>-767.845341036791 4.76657902842135 -308.193483785419</t>
  </si>
  <si>
    <t>-774.888224821357 0.323738071105709 -396.900440601106</t>
  </si>
  <si>
    <t>-781.484551645552 21.3082367744564 -556.580133006485</t>
  </si>
  <si>
    <t>-778.005356555485 157.90786680727 -541.584726658438</t>
  </si>
  <si>
    <t>-719.407535116351 192.619661460672 -255.311078838053</t>
  </si>
  <si>
    <t>-478.60135158353 200.331077885177 -257.264720166507</t>
  </si>
  <si>
    <t>-748.493028366535 114.122761391342 -102.57435732357</t>
  </si>
  <si>
    <t>-720.840322065726 158.40801008461 297.58656722257</t>
  </si>
  <si>
    <t>-741.882472237484 245.124843981556 736.620378925937</t>
  </si>
  <si>
    <t>-604.89063103819 198.501916195219 801.016057370295</t>
  </si>
  <si>
    <t>-686.819562030011 -55.2900916961482 308.464176587534</t>
  </si>
  <si>
    <t>-682.846201644916 -33.5803432400112 755.713942244208</t>
  </si>
  <si>
    <t>-572.685014287184 -120.824002803818 828.7914506131</t>
  </si>
  <si>
    <t>9763-20170724T105106.643281700.bin</t>
  </si>
  <si>
    <t>-737.426909789141 18.0348033516673 -96.5484548942028</t>
  </si>
  <si>
    <t>-757.93561788814 9.53874251961179 -210.229677283202</t>
  </si>
  <si>
    <t>-768.255320268893 3.95357616659794 -308.15307966157</t>
  </si>
  <si>
    <t>-781.73553018689 20.2636792244025 -556.56834457247</t>
  </si>
  <si>
    <t>-778.279503329943 156.879937523888 -541.680542746102</t>
  </si>
  <si>
    <t>-719.424251922004 191.800921913325 -255.48526423978</t>
  </si>
  <si>
    <t>-478.650266396416 200.663909200352 -255.942538186136</t>
  </si>
  <si>
    <t>-749.043462404783 113.386626063249 -102.532510221722</t>
  </si>
  <si>
    <t>-721.15224472661 158.003696329468 297.575080938712</t>
  </si>
  <si>
    <t>-741.891676152164 245.077297489714 736.572316788367</t>
  </si>
  <si>
    <t>-604.881057448482 198.52948330646 800.98286659042</t>
  </si>
  <si>
    <t>-687.477399478506 -55.5635357218125 308.506056547023</t>
  </si>
  <si>
    <t>-682.867585122968 -33.5955946281626 755.745721590562</t>
  </si>
  <si>
    <t>-572.55551764655 -120.661163509925 828.808110186244</t>
  </si>
  <si>
    <t>9763-20170724T105106.708958100.bin</t>
  </si>
  <si>
    <t>-738.494070165157 16.6202576783828 -96.4650873639064</t>
  </si>
  <si>
    <t>-758.928456918336 8.11049421033999 -210.158652159038</t>
  </si>
  <si>
    <t>-769.132923486223 2.4054834784456 -308.08706529378</t>
  </si>
  <si>
    <t>-782.207180322222 18.1744587048381 -556.571359993025</t>
  </si>
  <si>
    <t>-778.888674028873 154.811635776692 -541.829179812603</t>
  </si>
  <si>
    <t>-719.780073048976 189.778702666744 -255.691651777173</t>
  </si>
  <si>
    <t>-479.114992174279 200.82793105598 -252.672343047362</t>
  </si>
  <si>
    <t>-750.224941697308 111.952650915661 -102.4574417198</t>
  </si>
  <si>
    <t>-721.980979815839 157.269385382695 297.546823735359</t>
  </si>
  <si>
    <t>-741.894688581712 244.918164081 736.462182009001</t>
  </si>
  <si>
    <t>-604.810583878644 198.623259766678 800.898311391233</t>
  </si>
  <si>
    <t>-688.799868031675 -56.1373973109053 308.597126847615</t>
  </si>
  <si>
    <t>-682.926724501312 -33.6610461410537 755.799793247319</t>
  </si>
  <si>
    <t>-572.67050802609 -120.80749650127 828.850195723955</t>
  </si>
  <si>
    <t>9763-20170724T105106.746114800.bin</t>
  </si>
  <si>
    <t>-739.047122663764 15.9241314777646 -96.4019495972982</t>
  </si>
  <si>
    <t>-759.42151296605 7.42005491761415 -210.106729962337</t>
  </si>
  <si>
    <t>-769.553722612035 1.66273779985977 -308.039689910083</t>
  </si>
  <si>
    <t>-782.404314993483 17.1727493744993 -556.558711401001</t>
  </si>
  <si>
    <t>-779.191199887013 153.814034363909 -541.846426512077</t>
  </si>
  <si>
    <t>-720.048367683194 188.604281205586 -255.694293003992</t>
  </si>
  <si>
    <t>-479.448601027556 200.662832972356 -251.535154660376</t>
  </si>
  <si>
    <t>-750.812461543942 111.218129156659 -102.394544790886</t>
  </si>
  <si>
    <t>-722.431154774191 156.923712461584 297.555658867925</t>
  </si>
  <si>
    <t>-741.897456705704 244.870741545705 736.415342864157</t>
  </si>
  <si>
    <t>-604.79836831905 198.637275929587 800.864030382826</t>
  </si>
  <si>
    <t>-689.45430400394 -56.4245887709178 308.646798788152</t>
  </si>
  <si>
    <t>-683.018408548903 -33.8235346039401 755.835050011111</t>
  </si>
  <si>
    <t>-572.732732185297 -120.954402948696 828.85940982773</t>
  </si>
  <si>
    <t>9763-20170724T105106.809282300.bin</t>
  </si>
  <si>
    <t>-740.290217559877 14.1675046944706 -96.2492852741219</t>
  </si>
  <si>
    <t>-760.560523825262 5.6780704910334 -209.973821415225</t>
  </si>
  <si>
    <t>-782.85652540015 14.9583963606656 -556.498627297576</t>
  </si>
  <si>
    <t>-779.804475176799 151.602241610083 -541.79067357775</t>
  </si>
  <si>
    <t>-720.697318547625 186.246913652678 -255.613579783331</t>
  </si>
  <si>
    <t>-480.261826178488 200.34948588877 -249.07281560917</t>
  </si>
  <si>
    <t>-752.167708395017 109.558650895954 -102.229825630461</t>
  </si>
  <si>
    <t>-723.389977905505 155.951663464932 297.612953477036</t>
  </si>
  <si>
    <t>-741.915460455753 244.71147187408 736.36946035589</t>
  </si>
  <si>
    <t>-604.756169433303 198.689213296608 800.840822599269</t>
  </si>
  <si>
    <t>-690.995259247321 -57.131903278334 308.754565040697</t>
  </si>
  <si>
    <t>-683.21764666335 -34.1251796920244 755.914849535599</t>
  </si>
  <si>
    <t>-572.329878349733 -120.570332432147 828.84231243639</t>
  </si>
  <si>
    <t>9763-20170724T105106.843376500.bin</t>
  </si>
  <si>
    <t>-740.929496093353 13.2836504418578 -96.164867410266</t>
  </si>
  <si>
    <t>-761.157500235403 4.80984965124821 -209.89816657403</t>
  </si>
  <si>
    <t>-783.038813016982 13.8951561581007 -556.460436981134</t>
  </si>
  <si>
    <t>-779.990522176295 150.543467589072 -541.74231989231</t>
  </si>
  <si>
    <t>-720.867666516538 185.187822290859 -255.568454899453</t>
  </si>
  <si>
    <t>-480.531497211786 200.395546030253 -247.945215467227</t>
  </si>
  <si>
    <t>-752.862417906834 108.689839809118 -102.122578585997</t>
  </si>
  <si>
    <t>-723.820766189975 155.461428179872 297.656957193985</t>
  </si>
  <si>
    <t>-741.930287081148 244.617410866483 736.353947497854</t>
  </si>
  <si>
    <t>-604.753771774012 198.667991151963 800.841035445138</t>
  </si>
  <si>
    <t>-691.713316170937 -57.4278212757908 308.807833810067</t>
  </si>
  <si>
    <t>-683.252235984419 -34.124795954785 755.944791922009</t>
  </si>
  <si>
    <t>-572.405289861164 -120.642742358933 828.847963726392</t>
  </si>
  <si>
    <t>9763-20170724T105106.911250100.bin</t>
  </si>
  <si>
    <t>-742.233989946305 11.4629808475493 -95.9905335986011</t>
  </si>
  <si>
    <t>-762.328601788042 3.06345306095363 -209.753032683565</t>
  </si>
  <si>
    <t>-783.259373579211 11.8542155450868 -556.393498235048</t>
  </si>
  <si>
    <t>-780.172620244144 148.501628804332 -541.705415767143</t>
  </si>
  <si>
    <t>-721.204941581767 183.180633383143 -255.503882146156</t>
  </si>
  <si>
    <t>-481.110944595276 200.731208200806 -245.617462887711</t>
  </si>
  <si>
    <t>-754.132340286369 106.996512095814 -101.904910831654</t>
  </si>
  <si>
    <t>-724.610532757272 154.414485071284 297.763321682253</t>
  </si>
  <si>
    <t>-741.940274233156 244.42871689329 736.329243433634</t>
  </si>
  <si>
    <t>-604.702731449466 198.703742376606 800.845763527156</t>
  </si>
  <si>
    <t>-693.153736017221 -58.3243672481763 308.90888707001</t>
  </si>
  <si>
    <t>-683.465520005996 -34.5003270945779 756.000380291711</t>
  </si>
  <si>
    <t>-572.077590828028 -120.382444606271 828.83086884512</t>
  </si>
  <si>
    <t>9763-20170724T105106.946343600.bin</t>
  </si>
  <si>
    <t>-742.786679219321 10.6974042823485 -95.903537206998</t>
  </si>
  <si>
    <t>-762.800694592874 2.35027721341203 -209.683938220504</t>
  </si>
  <si>
    <t>-783.238708450989 11.05467353833 -556.361017451401</t>
  </si>
  <si>
    <t>-780.118908930594 147.700902936093 -541.706316624439</t>
  </si>
  <si>
    <t>-721.358275050533 182.320852013871 -255.454931619738</t>
  </si>
  <si>
    <t>-481.331618413651 200.618668062204 -245.294831783124</t>
  </si>
  <si>
    <t>-754.606310977439 106.193404390023 -101.801910395321</t>
  </si>
  <si>
    <t>-724.904946470032 154.011990014723 297.805244356722</t>
  </si>
  <si>
    <t>-741.936345010083 244.352195015257 736.314869200721</t>
  </si>
  <si>
    <t>-604.646678795751 198.799894430785 800.842748163133</t>
  </si>
  <si>
    <t>-693.73950974736 -58.5353123895402 308.956131158061</t>
  </si>
  <si>
    <t>-683.408951632927 -34.297537886554 756.020584974059</t>
  </si>
  <si>
    <t>-572.527946732456 -120.823305843388 828.862886944715</t>
  </si>
  <si>
    <t>9763-20170724T105107.019552900.bin</t>
  </si>
  <si>
    <t>-743.867222795981 9.06181422309146 -95.6442907705961</t>
  </si>
  <si>
    <t>-763.74999090956 0.825328253346015 -209.455804208157</t>
  </si>
  <si>
    <t>-783.327910043818 9.33801570123342 -556.198577027027</t>
  </si>
  <si>
    <t>-780.168488924247 145.990216376567 -541.605030854608</t>
  </si>
  <si>
    <t>-722.148911030688 180.31720673601 -255.167262393071</t>
  </si>
  <si>
    <t>-482.220305606598 199.615468273211 -244.549209342884</t>
  </si>
  <si>
    <t>-755.498702393905 104.492030886919 -101.516170894464</t>
  </si>
  <si>
    <t>-725.390400713825 153.115476910066 297.963403096523</t>
  </si>
  <si>
    <t>-741.94166643366 244.297272510251 736.311111588871</t>
  </si>
  <si>
    <t>-604.625414861045 198.831407072969 800.843477116033</t>
  </si>
  <si>
    <t>-694.942534543306 -59.4451689159989 309.109388407106</t>
  </si>
  <si>
    <t>-683.571427329782 -34.4915167314018 756.106268959632</t>
  </si>
  <si>
    <t>-572.372036933944 -120.671523601181 828.873087989532</t>
  </si>
  <si>
    <t>9763-20170724T105107.046617000.bin</t>
  </si>
  <si>
    <t>-744.344281228747 8.27811249227352 -95.5079341837137</t>
  </si>
  <si>
    <t>-764.176094015533 0.0818339669176567 -209.331251084937</t>
  </si>
  <si>
    <t>-783.427476195295 8.58643244343898 -556.094277850759</t>
  </si>
  <si>
    <t>-780.148183143233 145.229520880553 -541.470487126535</t>
  </si>
  <si>
    <t>-722.575450950914 179.607067910247 -254.948573526376</t>
  </si>
  <si>
    <t>-482.534785857147 198.066843054335 -245.429847340463</t>
  </si>
  <si>
    <t>-755.896798040312 103.676048679311 -101.372682929113</t>
  </si>
  <si>
    <t>-725.677744390516 152.715906254364 298.047587469215</t>
  </si>
  <si>
    <t>-741.940419660756 244.289073514725 736.303272949518</t>
  </si>
  <si>
    <t>-604.624460561686 198.834523379667 800.844234417121</t>
  </si>
  <si>
    <t>-695.557725401407 -59.8245787702824 309.188713943474</t>
  </si>
  <si>
    <t>-683.64402928866 -34.6095414688682 756.136703688661</t>
  </si>
  <si>
    <t>-572.207299561464 -120.495835735683 828.887706141185</t>
  </si>
  <si>
    <t>9763-20170724T105107.110790900.bin</t>
  </si>
  <si>
    <t>-745.165626244717 6.66414224784126 -95.2692077888111</t>
  </si>
  <si>
    <t>-783.736009281874 7.02493021689088 -555.889474065921</t>
  </si>
  <si>
    <t>-780.253280269994 143.66320866566 -541.189469106877</t>
  </si>
  <si>
    <t>-723.496152175452 177.71985106646 -254.466766447228</t>
  </si>
  <si>
    <t>-483.312118912552 195.331816932197 -247.235590032609</t>
  </si>
  <si>
    <t>-756.67476566106 101.981028059537 -101.10264288681</t>
  </si>
  <si>
    <t>-726.174418446203 151.75986544141 298.204842383701</t>
  </si>
  <si>
    <t>-741.951234900345 244.19759532281 736.293597202531</t>
  </si>
  <si>
    <t>-604.621040435887 198.798429467949 800.84297241603</t>
  </si>
  <si>
    <t>-696.785965339234 -60.4419974124949 309.342372091207</t>
  </si>
  <si>
    <t>-683.769091129729 -34.7802060593344 756.220572279531</t>
  </si>
  <si>
    <t>-572.255531816101 -120.590056493365 828.944071077012</t>
  </si>
  <si>
    <t>9763-20170724T105107.143886500.bin</t>
  </si>
  <si>
    <t>-745.534950232828 5.8354987817645 -95.1679576813231</t>
  </si>
  <si>
    <t>-783.800842560223 6.23815500378964 -555.804100965235</t>
  </si>
  <si>
    <t>-780.213814903238 142.863953689927 -541.043901598263</t>
  </si>
  <si>
    <t>-723.96011634468 176.958113592865 -254.226327805674</t>
  </si>
  <si>
    <t>-483.677259566142 193.812972195451 -248.669276393189</t>
  </si>
  <si>
    <t>-757.057372753811 101.12960740656 -100.972637470238</t>
  </si>
  <si>
    <t>-726.335893204228 151.26020723017 298.273815286626</t>
  </si>
  <si>
    <t>-741.953417974755 244.171263462942 736.274545864586</t>
  </si>
  <si>
    <t>-604.629340294356 198.759952203688 800.828467106214</t>
  </si>
  <si>
    <t>-697.345980256945 -60.7522888437411 309.423152828282</t>
  </si>
  <si>
    <t>-683.754197644321 -34.6557685570608 756.260510562791</t>
  </si>
  <si>
    <t>-572.401122214017 -120.676771205196 828.980488015436</t>
  </si>
  <si>
    <t>9763-20170724T105107.210672900.bin</t>
  </si>
  <si>
    <t>-746.202720456111 3.95096867486291 -94.9237773572149</t>
  </si>
  <si>
    <t>-783.965462921095 4.72407012041981 -555.572250134607</t>
  </si>
  <si>
    <t>-780.374113903742 141.332743682492 -540.640607900932</t>
  </si>
  <si>
    <t>-725.069030362759 174.703132834534 -253.55351403194</t>
  </si>
  <si>
    <t>-484.76307865983 192.104515959827 -252.515430813216</t>
  </si>
  <si>
    <t>-757.704656444688 99.1374809829019 -100.68408838012</t>
  </si>
  <si>
    <t>-726.632240260417 150.102233025159 298.429610824526</t>
  </si>
  <si>
    <t>-741.96706877414 244.029396261501 736.221435183892</t>
  </si>
  <si>
    <t>-604.558939854788 198.858374037246 800.764965126193</t>
  </si>
  <si>
    <t>-698.378639764954 -61.6362927361033 309.585648431988</t>
  </si>
  <si>
    <t>-683.899108670955 -34.8551693540874 756.35586946589</t>
  </si>
  <si>
    <t>-572.419730187466 -120.746130370758 829.03605278365</t>
  </si>
  <si>
    <t>9763-20170724T105107.242758600.bin</t>
  </si>
  <si>
    <t>-746.489759401388 2.93252566682827 -94.7921786763213</t>
  </si>
  <si>
    <t>-784.088604460929 3.97329310586315 -555.440389184184</t>
  </si>
  <si>
    <t>-780.680303608299 140.578642709806 -540.385342279508</t>
  </si>
  <si>
    <t>-725.455780962641 173.538647739901 -253.235320755941</t>
  </si>
  <si>
    <t>-485.245829362196 192.198506276531 -254.618011939922</t>
  </si>
  <si>
    <t>-758.028303699346 98.1030781165459 -100.526140304661</t>
  </si>
  <si>
    <t>-726.771621359051 149.431278156528 298.52667404371</t>
  </si>
  <si>
    <t>-741.981775070728 243.936482673281 736.194702897864</t>
  </si>
  <si>
    <t>-604.540425560985 198.866692571864 800.738300529088</t>
  </si>
  <si>
    <t>-698.834693247462 -62.0537071325314 309.667671958146</t>
  </si>
  <si>
    <t>-683.888748419279 -34.7601501425343 756.389628355039</t>
  </si>
  <si>
    <t>-572.514096268518 -120.797306408459 829.057061490594</t>
  </si>
  <si>
    <t>9763-20170724T105107.309438200.bin</t>
  </si>
  <si>
    <t>-747.14241235683 0.727091389760062 -94.5361108146692</t>
  </si>
  <si>
    <t>-784.510989632613 2.30871193320149 -555.161158016295</t>
  </si>
  <si>
    <t>-781.595291185302 138.893585778705 -539.855887758265</t>
  </si>
  <si>
    <t>-726.338723386028 172.248049890371 -252.757668457825</t>
  </si>
  <si>
    <t>-486.357567966154 193.32670304138 -256.704557308164</t>
  </si>
  <si>
    <t>-758.91445478203 95.9400191595735 -100.221161958201</t>
  </si>
  <si>
    <t>-727.026632149992 147.963679478199 298.69157724502</t>
  </si>
  <si>
    <t>-742.004518565802 243.670926491404 736.122959759806</t>
  </si>
  <si>
    <t>-604.458937922578 198.949489736535 800.686968683614</t>
  </si>
  <si>
    <t>-699.917788014579 -63.2278080321755 309.84799211812</t>
  </si>
  <si>
    <t>-684.091506369798 -35.0803429909715 756.486986844178</t>
  </si>
  <si>
    <t>-572.309363549597 -120.649289580768 829.081705740592</t>
  </si>
  <si>
    <t>9763-20170724T105107.341796500.bin</t>
  </si>
  <si>
    <t>-784.799301885965 1.52839300493724 -555.00692085764</t>
  </si>
  <si>
    <t>-782.178668587851 138.093297882276 -539.535682733254</t>
  </si>
  <si>
    <t>-726.571730841839 172.000068905735 -252.569731228531</t>
  </si>
  <si>
    <t>-486.684407282889 193.929949489608 -257.466730487181</t>
  </si>
  <si>
    <t>-759.483995762201 94.9024650384631 -100.076231972915</t>
  </si>
  <si>
    <t>-727.186375034759 147.204086257178 298.76720176264</t>
  </si>
  <si>
    <t>-742.010086949959 243.478870363557 736.086049254148</t>
  </si>
  <si>
    <t>-604.384410235233 199.023815537038 800.663237785195</t>
  </si>
  <si>
    <t>-700.413965336933 -63.7820369579829 309.949419354361</t>
  </si>
  <si>
    <t>-684.148212344297 -35.1380845455278 756.531438396016</t>
  </si>
  <si>
    <t>-572.193594455376 -120.514218662769 829.087425031759</t>
  </si>
  <si>
    <t>9763-20170724T105107.407477100.bin</t>
  </si>
  <si>
    <t>-783.256451802691 136.438849961055 -538.939707658143</t>
  </si>
  <si>
    <t>-726.759165857289 171.071925757815 -252.234704321221</t>
  </si>
  <si>
    <t>-487.07735346466 194.711401075954 -258.919557120884</t>
  </si>
  <si>
    <t>-760.541738992016 92.6798040458739 -99.8112090438375</t>
  </si>
  <si>
    <t>-727.604503129551 145.74660022355 298.878788677568</t>
  </si>
  <si>
    <t>-742.005143511963 243.023110524249 735.978784713929</t>
  </si>
  <si>
    <t>-604.212048604472 199.179235570512 800.616770366958</t>
  </si>
  <si>
    <t>-701.269442804252 -64.8078452186417 310.105947735071</t>
  </si>
  <si>
    <t>-684.193164622167 -35.092321929814 756.584483326236</t>
  </si>
  <si>
    <t>-572.051233313499 -120.268479053318 829.086449389509</t>
  </si>
  <si>
    <t>9763-20170724T105107.439932300.bin</t>
  </si>
  <si>
    <t>-783.781443722905 135.487099759381 -538.647168715707</t>
  </si>
  <si>
    <t>-726.950226173842 170.006372956743 -251.994429915848</t>
  </si>
  <si>
    <t>-487.389923884945 194.487723829781 -259.896874045933</t>
  </si>
  <si>
    <t>-760.986784762765 91.5159419791376 -99.7024284950656</t>
  </si>
  <si>
    <t>-727.872026293687 145.160897826566 298.895531652689</t>
  </si>
  <si>
    <t>-741.993795105866 242.901998436639 735.923797459925</t>
  </si>
  <si>
    <t>-604.12272869847 199.312104751003 800.567149729662</t>
  </si>
  <si>
    <t>-701.744094939916 -65.4616142358636 310.179179527834</t>
  </si>
  <si>
    <t>-684.312835247487 -35.3054235593997 756.622831766608</t>
  </si>
  <si>
    <t>-571.866920949864 -120.118175200724 829.079967062977</t>
  </si>
  <si>
    <t>9763-20170724T105107.511127100.bin</t>
  </si>
  <si>
    <t>-784.840191338445 134.007717477643 -538.064440849003</t>
  </si>
  <si>
    <t>-727.330419067585 168.344703534672 -251.52504189464</t>
  </si>
  <si>
    <t>-488.00566890794 194.198049699494 -261.827583868214</t>
  </si>
  <si>
    <t>-761.888863664553 89.5891858244656 -99.4839738252231</t>
  </si>
  <si>
    <t>-728.391339809966 144.13738868718 298.959373577595</t>
  </si>
  <si>
    <t>-741.979654263252 242.722123072735 735.835814266844</t>
  </si>
  <si>
    <t>-603.955280045823 199.612029284506 800.473982543216</t>
  </si>
  <si>
    <t>-702.536653221221 -66.5045124501712 310.319264820585</t>
  </si>
  <si>
    <t>-684.473814551304 -35.548097757081 756.679786568474</t>
  </si>
  <si>
    <t>-572.056057641744 -120.434702500287 829.093885009133</t>
  </si>
  <si>
    <t>9763-20170724T105107.544220600.bin</t>
  </si>
  <si>
    <t>-785.324610653211 133.406909030568 -537.742788905761</t>
  </si>
  <si>
    <t>-727.550940601048 167.600029825429 -251.239277871959</t>
  </si>
  <si>
    <t>-488.358744824616 194.155090047492 -262.764034109974</t>
  </si>
  <si>
    <t>-762.311807907826 88.6203995682856 -99.364050061418</t>
  </si>
  <si>
    <t>-728.572264861712 143.63970835074 298.994034026262</t>
  </si>
  <si>
    <t>-741.978750919191 242.639039565089 735.786540684695</t>
  </si>
  <si>
    <t>-603.886606136627 199.749870729477 800.427054296639</t>
  </si>
  <si>
    <t>-702.845961301459 -66.924113927327 310.398230079125</t>
  </si>
  <si>
    <t>-684.464166604709 -35.4485908219399 756.700280499572</t>
  </si>
  <si>
    <t>-572.04537848111 -120.352095666673 829.093039683905</t>
  </si>
  <si>
    <t>9763-20170724T105107.611402300.bin</t>
  </si>
  <si>
    <t>-786.317632413819 131.980592943128 -537.203239821792</t>
  </si>
  <si>
    <t>-728.30575842226 166.085767783352 -250.737428008446</t>
  </si>
  <si>
    <t>-489.346787939921 193.633114909641 -264.543130832681</t>
  </si>
  <si>
    <t>-763.224791170381 86.6285786987635 -99.1194952140195</t>
  </si>
  <si>
    <t>-728.871376069136 142.401306802352 299.081391030674</t>
  </si>
  <si>
    <t>-741.995367354953 242.394974280078 735.688950583615</t>
  </si>
  <si>
    <t>-603.771379770475 199.93917697951 800.33368162101</t>
  </si>
  <si>
    <t>-703.702500246885 -67.9519504871655 310.566207913553</t>
  </si>
  <si>
    <t>-684.615452972005 -35.6753708753711 756.767947806075</t>
  </si>
  <si>
    <t>-571.866957237151 -120.185628674175 829.107971785956</t>
  </si>
  <si>
    <t>9763-20170724T105107.644491600.bin</t>
  </si>
  <si>
    <t>-786.743894919319 131.241079240305 -536.967471267788</t>
  </si>
  <si>
    <t>-728.744380954369 165.251412125466 -250.487915958759</t>
  </si>
  <si>
    <t>-489.859128221853 192.969953771943 -265.19679690988</t>
  </si>
  <si>
    <t>-763.58653682062 85.6561020680369 -99.0390072252463</t>
  </si>
  <si>
    <t>-728.918566046704 141.818852338548 299.07978705848</t>
  </si>
  <si>
    <t>-741.981544580406 242.221442530323 735.594050225003</t>
  </si>
  <si>
    <t>-603.671192169782 200.099467387687 800.272278975658</t>
  </si>
  <si>
    <t>-704.127529057374 -68.4011498143016 310.663257036489</t>
  </si>
  <si>
    <t>-684.673591831331 -35.7122504714739 756.820340094699</t>
  </si>
  <si>
    <t>-571.933055788723 -120.256975166458 829.132471320946</t>
  </si>
  <si>
    <t>9763-20170724T105107.708164400.bin</t>
  </si>
  <si>
    <t>-787.608815593862 129.658060325187 -536.594617086589</t>
  </si>
  <si>
    <t>-729.790124341207 163.668804171981 -250.078452488708</t>
  </si>
  <si>
    <t>-491.014655047492 191.436147492767 -266.392714923693</t>
  </si>
  <si>
    <t>-764.042954023032 83.6239277799261 -98.8606147176399</t>
  </si>
  <si>
    <t>-729.074757802538 140.751721029216 299.094495906354</t>
  </si>
  <si>
    <t>-741.961870221981 241.910450651922 735.401524555441</t>
  </si>
  <si>
    <t>-603.51649517087 200.341521574209 800.148538645101</t>
  </si>
  <si>
    <t>-704.832007273867 -69.3732181090975 310.878991771918</t>
  </si>
  <si>
    <t>-684.753076405424 -35.7252016587463 756.92324038407</t>
  </si>
  <si>
    <t>-571.926298803029 -120.209938898827 829.171038285923</t>
  </si>
  <si>
    <t>9763-20170724T105107.746299600.bin</t>
  </si>
  <si>
    <t>-788.101094909463 128.759439740298 -536.466163888134</t>
  </si>
  <si>
    <t>-730.456864630497 162.730644221193 -249.910315578653</t>
  </si>
  <si>
    <t>-491.724857570268 190.451896117639 -266.923987081355</t>
  </si>
  <si>
    <t>-764.298200391579 82.6101851373055 -98.7891330131088</t>
  </si>
  <si>
    <t>-729.192459709913 140.17677907642 299.090651695968</t>
  </si>
  <si>
    <t>-741.95757815491 241.737286226089 735.303069004396</t>
  </si>
  <si>
    <t>-603.436202201945 200.460878610574 800.074813971614</t>
  </si>
  <si>
    <t>-705.173206410117 -69.8357601429018 310.975636663956</t>
  </si>
  <si>
    <t>-684.7858386016 -35.7563414282779 756.96042517657</t>
  </si>
  <si>
    <t>-571.776127308745 -120.015610081039 829.185479339943</t>
  </si>
  <si>
    <t>9763-20170724T105107.810976600.bin</t>
  </si>
  <si>
    <t>-789.282807571181 127.03150098829 -536.142114417916</t>
  </si>
  <si>
    <t>-731.965319778305 160.720786888761 -249.487327096285</t>
  </si>
  <si>
    <t>-493.251762197241 187.976789263501 -267.48061844698</t>
  </si>
  <si>
    <t>-764.824421109658 80.6662005607727 -98.6880393389783</t>
  </si>
  <si>
    <t>-729.396403585809 139.060774024516 299.042488773707</t>
  </si>
  <si>
    <t>-741.949521513601 241.318172932291 735.086525642301</t>
  </si>
  <si>
    <t>-603.259974428135 200.71260860327 799.922334698892</t>
  </si>
  <si>
    <t>-705.551353845556 -70.6804780992491 311.119984360502</t>
  </si>
  <si>
    <t>-684.785863374682 -35.6911811412795 757.017100475986</t>
  </si>
  <si>
    <t>-572.017930371881 -120.262819404217 829.25512443869</t>
  </si>
  <si>
    <t>9763-20170724T105107.844070500.bin</t>
  </si>
  <si>
    <t>-789.987818694316 126.056745541411 -536.028927635609</t>
  </si>
  <si>
    <t>-732.922181344236 159.655694623386 -249.31352916344</t>
  </si>
  <si>
    <t>-494.233968700598 186.683588497986 -267.976394619782</t>
  </si>
  <si>
    <t>-765.12206761675 79.716205112828 -98.6091181368887</t>
  </si>
  <si>
    <t>-729.427648724195 138.458219122434 299.04649976924</t>
  </si>
  <si>
    <t>-741.950821446545 241.080445762151 734.99851647094</t>
  </si>
  <si>
    <t>-603.170444795159 200.823425033043 799.857285175635</t>
  </si>
  <si>
    <t>-705.691749189277 -71.1145371935049 311.183442567095</t>
  </si>
  <si>
    <t>-684.784912089602 -35.6586244966077 757.039273059361</t>
  </si>
  <si>
    <t>-572.15547908177 -120.410126450567 829.282254902483</t>
  </si>
  <si>
    <t>9763-20170724T105107.908743000.bin</t>
  </si>
  <si>
    <t>-791.383520679664 123.598972243857 -535.941051656263</t>
  </si>
  <si>
    <t>-735.208374487988 157.094180421331 -249.037567685767</t>
  </si>
  <si>
    <t>-496.569306261407 183.855884530029 -268.685428275819</t>
  </si>
  <si>
    <t>-765.671587370529 77.7000901845713 -98.5202333958645</t>
  </si>
  <si>
    <t>-729.714414760728 137.32413799775 298.980412613794</t>
  </si>
  <si>
    <t>-741.938224423172 240.667766248406 734.769393460042</t>
  </si>
  <si>
    <t>-602.986996857055 201.097068514374 799.684840032065</t>
  </si>
  <si>
    <t>-706.137966902677 -72.3600642845654 311.325841519483</t>
  </si>
  <si>
    <t>-684.969533458714 -36.1027699749675 757.087852771958</t>
  </si>
  <si>
    <t>-571.664260158637 -119.996734278834 829.275013481334</t>
  </si>
  <si>
    <t>9763-20170724T105107.942906600.bin</t>
  </si>
  <si>
    <t>-791.983364506088 122.685435971985 -535.929435109619</t>
  </si>
  <si>
    <t>-736.278886930276 156.294681102642 -248.947410508936</t>
  </si>
  <si>
    <t>-497.69271398894 183.147914970863 -269.107474124787</t>
  </si>
  <si>
    <t>-765.942946451052 76.9457680171761 -98.5299685651146</t>
  </si>
  <si>
    <t>-729.903503422557 136.914830456587 298.911179676584</t>
  </si>
  <si>
    <t>-741.936587442384 240.401302305168 734.664954194647</t>
  </si>
  <si>
    <t>-602.901464583307 201.187357558464 799.617479866611</t>
  </si>
  <si>
    <t>-706.256716248648 -72.6904789917714 311.376971767291</t>
  </si>
  <si>
    <t>-684.925473786767 -35.9684399198563 757.099123656084</t>
  </si>
  <si>
    <t>-571.821999248476 -120.134607802486 829.286034970712</t>
  </si>
  <si>
    <t>9763-20170724T105108.010588000.bin</t>
  </si>
  <si>
    <t>-793.03312856159 120.892718997897 -536.061584790048</t>
  </si>
  <si>
    <t>-738.370721861187 154.761621494258 -248.909833393774</t>
  </si>
  <si>
    <t>-499.844200348521 181.927596742756 -269.354142571546</t>
  </si>
  <si>
    <t>-766.420009546097 75.6123529769695 -98.6132526611203</t>
  </si>
  <si>
    <t>-730.234210870191 136.211086767659 298.71913399691</t>
  </si>
  <si>
    <t>-741.912188414647 239.868929794067 734.450879604071</t>
  </si>
  <si>
    <t>-602.717259768631 201.372839534578 799.490286623724</t>
  </si>
  <si>
    <t>-706.649973249852 -73.4497832630057 311.462276057718</t>
  </si>
  <si>
    <t>-684.997005519344 -36.0909463084788 757.131142387588</t>
  </si>
  <si>
    <t>-571.639360560313 -119.951108557124 829.275597316504</t>
  </si>
  <si>
    <t>9763-20170724T105108.047714000.bin</t>
  </si>
  <si>
    <t>-793.525096055622 120.190815331671 -536.121827425686</t>
  </si>
  <si>
    <t>-739.433511844357 154.159766706357 -248.87376564267</t>
  </si>
  <si>
    <t>-500.921530976964 181.301326339149 -269.519547056717</t>
  </si>
  <si>
    <t>-766.625913748535 75.1320568178585 -98.687618083535</t>
  </si>
  <si>
    <t>-730.339925505805 136.024331460677 298.590849592415</t>
  </si>
  <si>
    <t>-741.883642168894 239.638567132249 734.325230127637</t>
  </si>
  <si>
    <t>-602.610069335224 201.504270736632 799.409512269575</t>
  </si>
  <si>
    <t>-706.700471203529 -73.7526017445914 311.498984900108</t>
  </si>
  <si>
    <t>-685.014050344594 -36.1364593705678 757.14527334692</t>
  </si>
  <si>
    <t>-571.662127675039 -120.009848519437 829.283334525594</t>
  </si>
  <si>
    <t>9763-20170724T105108.106859200.bin</t>
  </si>
  <si>
    <t>-794.358496935391 119.003353648424 -536.198483590908</t>
  </si>
  <si>
    <t>-741.562532207188 153.147524526621 -248.730309566405</t>
  </si>
  <si>
    <t>-503.098445235821 180.31582542126 -269.887375861636</t>
  </si>
  <si>
    <t>-766.938613314724 74.2483669476194 -98.8331978048287</t>
  </si>
  <si>
    <t>-730.54115391399 135.654938420134 298.355816429535</t>
  </si>
  <si>
    <t>-741.846158196423 239.072667538158 734.131103953769</t>
  </si>
  <si>
    <t>-602.408998334481 201.662614590359 799.285351256721</t>
  </si>
  <si>
    <t>-706.712326196021 -74.1779351071596 311.550652066533</t>
  </si>
  <si>
    <t>-684.977167228463 -36.0754756178501 757.145611430973</t>
  </si>
  <si>
    <t>-571.708980755993 -120.058154855913 829.287972215581</t>
  </si>
  <si>
    <t>9763-20170724T105108.145984200.bin</t>
  </si>
  <si>
    <t>-794.897679999584 118.457476247665 -536.234005487916</t>
  </si>
  <si>
    <t>-742.525349783756 152.594846185612 -248.687572756868</t>
  </si>
  <si>
    <t>-504.062025671997 179.791720314527 -269.817452627352</t>
  </si>
  <si>
    <t>-767.124536929976 73.9123355252036 -98.9392128892433</t>
  </si>
  <si>
    <t>-730.638644729374 135.494118949926 298.214576669208</t>
  </si>
  <si>
    <t>-741.839671680994 238.66405702364 734.05648629289</t>
  </si>
  <si>
    <t>-602.295802247677 201.707197613682 799.241026292204</t>
  </si>
  <si>
    <t>-706.678319931533 -74.2726567654865 311.555319421637</t>
  </si>
  <si>
    <t>-684.923459053208 -35.9507895336992 757.136315258959</t>
  </si>
  <si>
    <t>-571.840312335689 -120.170760639212 829.292374056281</t>
  </si>
  <si>
    <t>9763-20170724T105108.208647500.bin</t>
  </si>
  <si>
    <t>-796.28402737062 117.357658319861 -536.260246633949</t>
  </si>
  <si>
    <t>-744.503597618472 151.678873799187 -248.628464972474</t>
  </si>
  <si>
    <t>-506.048963603005 179.15052879183 -269.500104806392</t>
  </si>
  <si>
    <t>-767.669681612373 73.3166576107344 -99.1314131517731</t>
  </si>
  <si>
    <t>-730.758243881836 135.132788065246 297.946621069359</t>
  </si>
  <si>
    <t>-741.814522373538 237.802191084712 733.930144717207</t>
  </si>
  <si>
    <t>-602.00302208398 201.920599231511 799.141800493211</t>
  </si>
  <si>
    <t>-706.538351306807 -74.6456370430394 311.571141052538</t>
  </si>
  <si>
    <t>-684.939573959609 -35.9725395912214 757.138921312485</t>
  </si>
  <si>
    <t>-571.731224644045 -120.046263117175 829.268998000877</t>
  </si>
  <si>
    <t>9763-20170724T105108.241327300.bin</t>
  </si>
  <si>
    <t>-796.972067588888 116.77147471719 -536.296913999114</t>
  </si>
  <si>
    <t>-745.45364632848 151.268003682543 -248.63899737868</t>
  </si>
  <si>
    <t>-506.995393377338 178.82964278029 -269.34740490738</t>
  </si>
  <si>
    <t>-767.835977697298 73.0163086803254 -99.2207190758684</t>
  </si>
  <si>
    <t>-730.850245606423 134.970112879493 297.828999044116</t>
  </si>
  <si>
    <t>-741.806422523155 237.349875806726 733.882875288195</t>
  </si>
  <si>
    <t>-601.862703360753 202.000127692263 799.101569942208</t>
  </si>
  <si>
    <t>-706.309553293158 -74.7293667132694 311.567084116614</t>
  </si>
  <si>
    <t>-684.849199433831 -35.7516926874671 757.123102263271</t>
  </si>
  <si>
    <t>-571.85886598879 -120.112229644322 829.260341846622</t>
  </si>
  <si>
    <t>9763-20170724T105108.312017200.bin</t>
  </si>
  <si>
    <t>-798.627280540867 115.398737892206 -536.269465965641</t>
  </si>
  <si>
    <t>-747.452397092064 150.330257541156 -248.602711314023</t>
  </si>
  <si>
    <t>-508.981510060791 177.988004302225 -269.036799640457</t>
  </si>
  <si>
    <t>-768.162535429336 72.3308669635273 -99.326974469046</t>
  </si>
  <si>
    <t>-731.019382824507 134.488960007818 297.676029132737</t>
  </si>
  <si>
    <t>-741.809908378322 236.473783337606 733.860460316345</t>
  </si>
  <si>
    <t>-601.571569771532 202.259121475456 799.051260767257</t>
  </si>
  <si>
    <t>-705.925455255727 -75.2324489909263 311.564416862843</t>
  </si>
  <si>
    <t>-684.911509905063 -35.9609468063363 757.10124769401</t>
  </si>
  <si>
    <t>-571.496534153043 -119.785904701369 829.196338541452</t>
  </si>
  <si>
    <t>9763-20170724T105108.378198900.bin</t>
  </si>
  <si>
    <t>-800.286442701329 114.325009135232 -536.11001504373</t>
  </si>
  <si>
    <t>-749.119627917724 149.339572243464 -248.451970053089</t>
  </si>
  <si>
    <t>-510.702307586927 177.385792650647 -268.981151834908</t>
  </si>
  <si>
    <t>-768.408770741817 71.655298304443 -99.353255452343</t>
  </si>
  <si>
    <t>-731.073629046224 133.986392579274 297.604666598868</t>
  </si>
  <si>
    <t>-741.801867969307 235.848965773407 733.854654106647</t>
  </si>
  <si>
    <t>-601.348166814211 202.473330280704 799.017022955156</t>
  </si>
  <si>
    <t>-705.497908089982 -75.7048723643727 311.541400125769</t>
  </si>
  <si>
    <t>-684.963894207261 -36.0624844182532 757.082823556689</t>
  </si>
  <si>
    <t>-571.229754276043 -119.508777826636 829.11442430409</t>
  </si>
  <si>
    <t>9763-20170724T105108.419947700.bin</t>
  </si>
  <si>
    <t>-800.972607180573 113.988965015448 -535.954920931116</t>
  </si>
  <si>
    <t>-749.892956030752 148.942846704205 -248.27389950464</t>
  </si>
  <si>
    <t>-511.487836407178 177.074379061029 -268.828929485908</t>
  </si>
  <si>
    <t>-768.441488959174 71.3185874725305 -99.3323462227869</t>
  </si>
  <si>
    <t>-731.043673004053 133.732696151267 297.606636439964</t>
  </si>
  <si>
    <t>-741.807419730192 235.593512262203 733.872523493839</t>
  </si>
  <si>
    <t>-601.269092682626 202.551694268333 799.022407725885</t>
  </si>
  <si>
    <t>-705.333204740809 -75.9177113911503 311.535464881674</t>
  </si>
  <si>
    <t>-684.960169960978 -36.0312921885525 757.06610949105</t>
  </si>
  <si>
    <t>-571.054200183722 -119.266847109699 829.070097574923</t>
  </si>
  <si>
    <t>9763-20170724T105108.442009600.bin</t>
  </si>
  <si>
    <t>-801.525812406128 113.796474087706 -535.771322846995</t>
  </si>
  <si>
    <t>-750.593852562746 148.623124255613 -248.048801442667</t>
  </si>
  <si>
    <t>-512.197586639284 176.69813060343 -268.783214606646</t>
  </si>
  <si>
    <t>-768.359577551549 70.9310106238947 -99.3009440290941</t>
  </si>
  <si>
    <t>-730.969634062375 133.557690012554 297.605267092807</t>
  </si>
  <si>
    <t>-741.815086433555 235.451636732612 733.871413453783</t>
  </si>
  <si>
    <t>-601.215471222376 202.657139390469 799.013801933438</t>
  </si>
  <si>
    <t>-705.09894908616 -76.0583289636736 311.544396483304</t>
  </si>
  <si>
    <t>-684.901791106992 -35.873463526319 757.051816688554</t>
  </si>
  <si>
    <t>-571.237191049391 -119.436833168568 829.057743951463</t>
  </si>
  <si>
    <t>9763-20170724T105108.508184600.bin</t>
  </si>
  <si>
    <t>-802.485831172418 113.554664309381 -535.406872417896</t>
  </si>
  <si>
    <t>-752.089120592773 147.970633294536 -247.540649972703</t>
  </si>
  <si>
    <t>-513.695160350203 175.655080242236 -268.820517158788</t>
  </si>
  <si>
    <t>-768.086034232687 70.2705053550144 -99.2339593367093</t>
  </si>
  <si>
    <t>-730.927215278101 133.184843533393 297.648502688424</t>
  </si>
  <si>
    <t>-741.819308978581 235.282313493238 733.857909558931</t>
  </si>
  <si>
    <t>-601.162890713917 202.749793806183 799.009290379949</t>
  </si>
  <si>
    <t>-704.852038173285 -76.4937852604473 311.56680350643</t>
  </si>
  <si>
    <t>-684.899045740659 -35.853099506093 757.034981170161</t>
  </si>
  <si>
    <t>-570.911808636829 -119.004669856507 829.007392285623</t>
  </si>
  <si>
    <t>9763-20170724T105108.545815900.bin</t>
  </si>
  <si>
    <t>-802.949530306525 113.420467361226 -535.257392823677</t>
  </si>
  <si>
    <t>-752.922229989802 147.622126239409 -247.301310145043</t>
  </si>
  <si>
    <t>-514.496602505249 174.862273366856 -268.7972283058</t>
  </si>
  <si>
    <t>-767.90458108602 69.8931228481074 -99.1781825780093</t>
  </si>
  <si>
    <t>-730.835664938148 132.961115850615 297.688274994762</t>
  </si>
  <si>
    <t>-741.834665075707 235.198323077849 733.862703427597</t>
  </si>
  <si>
    <t>-601.159100352855 202.753416653578 799.016415635818</t>
  </si>
  <si>
    <t>-704.757878094705 -76.6629967282768 311.577235366107</t>
  </si>
  <si>
    <t>-684.943420633344 -35.967563862303 757.035156634402</t>
  </si>
  <si>
    <t>-570.966599688998 -119.135208315209 829.005389863719</t>
  </si>
  <si>
    <t>9763-20170724T105108.613008500.bin</t>
  </si>
  <si>
    <t>-803.784929117973 113.093239869473 -535.037797102411</t>
  </si>
  <si>
    <t>-754.794511833493 147.095301118813 -246.879820135978</t>
  </si>
  <si>
    <t>-516.281603894265 173.209392445569 -268.799703438693</t>
  </si>
  <si>
    <t>-767.744987956192 69.2645703227954 -99.0757403944993</t>
  </si>
  <si>
    <t>-730.810359212552 132.614302761436 297.758352885553</t>
  </si>
  <si>
    <t>-741.876506611315 234.94172905378 733.889367580563</t>
  </si>
  <si>
    <t>-601.144879705058 202.726390644219 799.035921300374</t>
  </si>
  <si>
    <t>-704.627075738229 -76.8285769653103 311.612200613081</t>
  </si>
  <si>
    <t>-684.773550341662 -35.5565412633744 757.017545167291</t>
  </si>
  <si>
    <t>-571.150465028947 -119.177649655244 829.021588523294</t>
  </si>
  <si>
    <t>9763-20170724T105108.644092100.bin</t>
  </si>
  <si>
    <t>-804.218420890683 112.721355820741 -534.962621771527</t>
  </si>
  <si>
    <t>-755.879679205201 146.65594810549 -246.686757990955</t>
  </si>
  <si>
    <t>-517.335810786744 172.217026801738 -268.920935290001</t>
  </si>
  <si>
    <t>-767.685439410048 68.8904031843474 -99.0225635353581</t>
  </si>
  <si>
    <t>-730.796685254647 132.403688868452 297.789774307239</t>
  </si>
  <si>
    <t>-741.89996244561 234.810238886202 733.891304798363</t>
  </si>
  <si>
    <t>-601.129359038257 202.753566688774 799.032100102144</t>
  </si>
  <si>
    <t>-704.62026705484 -77.0001725520769 311.631729825485</t>
  </si>
  <si>
    <t>-684.789851878703 -35.6278007760504 757.017746760369</t>
  </si>
  <si>
    <t>-570.98015489197 -118.994567610022 829.022177695982</t>
  </si>
  <si>
    <t>9763-20170724T105108.711773100.bin</t>
  </si>
  <si>
    <t>-805.223404987945 111.813788969501 -534.929052570682</t>
  </si>
  <si>
    <t>-758.426927524921 145.796748439661 -246.404378243786</t>
  </si>
  <si>
    <t>-519.83682934075 170.402800091963 -269.21236757665</t>
  </si>
  <si>
    <t>-767.669824641356 68.3001851009328 -99.0278830702483</t>
  </si>
  <si>
    <t>-730.838135687929 132.268959148945 297.716437977338</t>
  </si>
  <si>
    <t>-741.899850255204 234.564155118501 733.812384784145</t>
  </si>
  <si>
    <t>-601.052117788915 202.843939617944 798.9510989457</t>
  </si>
  <si>
    <t>-704.111833045392 -77.4159999274839 311.684961361502</t>
  </si>
  <si>
    <t>-684.699479621642 -35.5015840023798 757.006185182938</t>
  </si>
  <si>
    <t>-571.035498085807 -119.025421493925 829.058680280604</t>
  </si>
  <si>
    <t>9763-20170724T105108.746952300.bin</t>
  </si>
  <si>
    <t>-806.111990187625 111.263310676599 -534.962394209004</t>
  </si>
  <si>
    <t>-759.989591119382 145.361191501096 -246.34292961316</t>
  </si>
  <si>
    <t>-521.405091484572 169.715952132454 -269.476432778196</t>
  </si>
  <si>
    <t>-767.883941956376 68.1050126581822 -99.0960318929505</t>
  </si>
  <si>
    <t>-730.98915072506 132.312042308826 297.603980055381</t>
  </si>
  <si>
    <t>-741.905466978782 234.15591481397 733.76461795107</t>
  </si>
  <si>
    <t>-600.971997797573 202.812620568945 798.900126549324</t>
  </si>
  <si>
    <t>-703.810217450165 -77.802152104276 311.718365168881</t>
  </si>
  <si>
    <t>-684.786306774166 -35.7397702215881 757.037942757431</t>
  </si>
  <si>
    <t>-570.744489299292 -118.773317443571 829.060067836694</t>
  </si>
  <si>
    <t>9763-20170724T105108.810133500.bin</t>
  </si>
  <si>
    <t>-808.23092836828 110.197784180203 -535.007492618959</t>
  </si>
  <si>
    <t>-762.793329814337 144.615221849756 -246.317163323716</t>
  </si>
  <si>
    <t>-524.228269160755 168.864666930913 -269.758367307092</t>
  </si>
  <si>
    <t>-767.995040589483 67.7406986428791 -99.3083749075845</t>
  </si>
  <si>
    <t>-730.744394894233 132.313791682535 297.298973482115</t>
  </si>
  <si>
    <t>-741.891121017421 233.176462552045 733.638645519141</t>
  </si>
  <si>
    <t>-600.702247897176 203.00476359149 798.774248786817</t>
  </si>
  <si>
    <t>-703.045832755346 -78.0533198907706 311.767797036343</t>
  </si>
  <si>
    <t>-684.659187988459 -35.5209624508259 757.063721684937</t>
  </si>
  <si>
    <t>-570.913025161004 -118.95230609635 829.093783278992</t>
  </si>
  <si>
    <t>9763-20170724T105108.841020300.bin</t>
  </si>
  <si>
    <t>-809.21889143556 109.384347521477 -535.027154738298</t>
  </si>
  <si>
    <t>-763.922950785375 144.090350115687 -246.349061107415</t>
  </si>
  <si>
    <t>-525.359053380145 168.24768604577 -269.897694537114</t>
  </si>
  <si>
    <t>-767.739818174481 67.4404550917702 -99.4332441933537</t>
  </si>
  <si>
    <t>-730.399636528593 132.22000017452 297.132030366689</t>
  </si>
  <si>
    <t>-741.881600560953 232.699853624373 733.548400110674</t>
  </si>
  <si>
    <t>-600.58207268021 203.068461249723 798.692368068026</t>
  </si>
  <si>
    <t>-702.590425421181 -78.0918766712557 311.766204067911</t>
  </si>
  <si>
    <t>-684.589382457434 -35.4363221892313 757.06273659569</t>
  </si>
  <si>
    <t>-571.037842633438 -119.119806545776 829.107241284976</t>
  </si>
  <si>
    <t>9763-20170724T105108.911711600.bin</t>
  </si>
  <si>
    <t>-810.966906562226 107.298501109848 -535.049187373408</t>
  </si>
  <si>
    <t>-766.030282759855 142.658644736588 -246.394422875892</t>
  </si>
  <si>
    <t>-527.471806793595 166.443911821687 -270.373758198912</t>
  </si>
  <si>
    <t>-767.285569284967 66.7349468154334 -99.6113167939541</t>
  </si>
  <si>
    <t>-729.428978682505 131.577914217713 296.894533820138</t>
  </si>
  <si>
    <t>-741.888505639878 231.742713495094 733.424183364168</t>
  </si>
  <si>
    <t>-600.357736106222 203.170144622979 798.539133102024</t>
  </si>
  <si>
    <t>-701.486283077724 -78.3743497173616 311.69279352132</t>
  </si>
  <si>
    <t>-684.450554025553 -35.3238270919021 757.002227254354</t>
  </si>
  <si>
    <t>-570.726648126316 -118.76009294783 829.061630114671</t>
  </si>
  <si>
    <t>9763-20170724T105108.943895700.bin</t>
  </si>
  <si>
    <t>-811.637888506077 106.209028143674 -535.023214849769</t>
  </si>
  <si>
    <t>-766.882031661482 141.835243416714 -246.373150005425</t>
  </si>
  <si>
    <t>-528.333350871927 165.552006171856 -270.515904008037</t>
  </si>
  <si>
    <t>-767.127504079498 66.2663759843026 -99.6660029910464</t>
  </si>
  <si>
    <t>-728.939907895676 131.129480462921 296.804819818963</t>
  </si>
  <si>
    <t>-741.888378363473 231.318999922112 733.374783749701</t>
  </si>
  <si>
    <t>-600.257916229766 203.202898871334 798.471387705135</t>
  </si>
  <si>
    <t>-701.025955607728 -78.6053429734186 311.634452578934</t>
  </si>
  <si>
    <t>-684.386392911434 -35.2625109246756 756.945591637498</t>
  </si>
  <si>
    <t>-570.774854122738 -118.824426835831 829.036831144335</t>
  </si>
  <si>
    <t>9763-20170724T105109.009073100.bin</t>
  </si>
  <si>
    <t>-812.368502993913 104.503485808981 -534.985983700104</t>
  </si>
  <si>
    <t>-767.807634821485 140.418040829062 -246.341520448556</t>
  </si>
  <si>
    <t>-529.327512254247 164.424542964728 -270.872723054757</t>
  </si>
  <si>
    <t>-766.646377683432 65.5182952213429 -99.7907655753081</t>
  </si>
  <si>
    <t>-728.212929015737 130.424815387769 296.649269326091</t>
  </si>
  <si>
    <t>-741.876560179631 230.44936068163 733.304491642912</t>
  </si>
  <si>
    <t>-600.061527080155 203.22835218201 798.379747918442</t>
  </si>
  <si>
    <t>-700.441275060955 -78.9133146400743 311.547926510621</t>
  </si>
  <si>
    <t>-684.292142221309 -35.1224229550614 756.851373809463</t>
  </si>
  <si>
    <t>-570.478490752947 -118.395670734133 828.957838904687</t>
  </si>
  <si>
    <t>9763-20170724T105109.045174800.bin</t>
  </si>
  <si>
    <t>-812.614295921899 103.92444492198 -534.903024108632</t>
  </si>
  <si>
    <t>-768.28005817194 139.992428343682 -246.24278014394</t>
  </si>
  <si>
    <t>-529.843598519471 164.087803888683 -271.110747023924</t>
  </si>
  <si>
    <t>-766.38197505229 65.1222064154547 -99.8251566873533</t>
  </si>
  <si>
    <t>-727.944109024982 130.15154535731 296.594314768077</t>
  </si>
  <si>
    <t>-741.877440839591 230.095137448455 733.283090312042</t>
  </si>
  <si>
    <t>-599.974425796051 203.303185052717 798.344694983688</t>
  </si>
  <si>
    <t>-700.125350254095 -79.0189986357409 311.528226627456</t>
  </si>
  <si>
    <t>-684.251470241903 -35.0494817420747 756.810081997394</t>
  </si>
  <si>
    <t>-570.506138576411 -118.398768159644 828.936435542468</t>
  </si>
  <si>
    <t>9763-20170724T105109.110849800.bin</t>
  </si>
  <si>
    <t>-813.155723905687 102.950279660762 -534.672409126333</t>
  </si>
  <si>
    <t>-769.537325478418 139.225056905263 -245.928910413994</t>
  </si>
  <si>
    <t>-531.135169887558 163.214826080656 -271.221223321435</t>
  </si>
  <si>
    <t>-766.182436663381 64.4842445564173 -99.8544311559718</t>
  </si>
  <si>
    <t>-727.706539675129 129.721645526378 296.527170501739</t>
  </si>
  <si>
    <t>-741.901436547343 229.640777299421 733.240505009546</t>
  </si>
  <si>
    <t>-599.893833751586 203.332073642328 798.271515130367</t>
  </si>
  <si>
    <t>-699.692384577758 -79.2547722056997 311.507918272574</t>
  </si>
  <si>
    <t>-684.185430600055 -34.9589668901442 756.746604695785</t>
  </si>
  <si>
    <t>-570.481223257822 -118.341052218284 828.899754333409</t>
  </si>
  <si>
    <t>9763-20170724T105109.146010300.bin</t>
  </si>
  <si>
    <t>-813.463023286959 102.538195809537 -534.532362636762</t>
  </si>
  <si>
    <t>-770.289139828615 138.709996200496 -245.709360454071</t>
  </si>
  <si>
    <t>-531.90494699632 162.811842769753 -271.065483239952</t>
  </si>
  <si>
    <t>-766.289682854125 64.1408506945813 -99.7827984818425</t>
  </si>
  <si>
    <t>-727.607545453828 129.438797851771 296.568675765077</t>
  </si>
  <si>
    <t>-741.939298976309 229.456463448729 733.254788569754</t>
  </si>
  <si>
    <t>-599.876588777767 203.338476012828 798.241986407462</t>
  </si>
  <si>
    <t>-699.600167363726 -79.2643744343079 311.504624933157</t>
  </si>
  <si>
    <t>-684.116624185096 -34.8087230050448 756.717967311484</t>
  </si>
  <si>
    <t>-570.526403057175 -118.333976823459 828.88509729738</t>
  </si>
  <si>
    <t>9763-20170724T105109.212208200.bin</t>
  </si>
  <si>
    <t>-813.952016137568 101.460409645472 -534.083567790218</t>
  </si>
  <si>
    <t>-771.710705219021 137.031651155832 -245.048007135166</t>
  </si>
  <si>
    <t>-533.36443038964 161.630480024874 -270.284203566523</t>
  </si>
  <si>
    <t>-766.520518611221 62.7985355564631 -99.4043770914844</t>
  </si>
  <si>
    <t>-727.163946478826 128.406524431339 296.829518761226</t>
  </si>
  <si>
    <t>-742.075598981035 229.304817649103 733.31123988864</t>
  </si>
  <si>
    <t>-599.932543330292 203.266291203392 798.154285554729</t>
  </si>
  <si>
    <t>-699.489515998871 -79.6929118213732 311.513113851309</t>
  </si>
  <si>
    <t>-684.095374279271 -34.7708036357956 756.675574584069</t>
  </si>
  <si>
    <t>-570.450823013414 -118.213734299816 828.852499830989</t>
  </si>
  <si>
    <t>9763-20170724T105109.244298800.bin</t>
  </si>
  <si>
    <t>-814.158392613521 100.840603444489 -533.767135597826</t>
  </si>
  <si>
    <t>-772.477147893483 136.084405749379 -244.610176197521</t>
  </si>
  <si>
    <t>-534.138195274076 160.984324064051 -269.616802125587</t>
  </si>
  <si>
    <t>-766.808944416728 61.9255395395219 -99.0928256220986</t>
  </si>
  <si>
    <t>-726.610036030502 127.596227670847 297.04608335886</t>
  </si>
  <si>
    <t>-742.174421555283 229.272175075313 733.360200539519</t>
  </si>
  <si>
    <t>-599.99607956491 203.153035502253 798.09364011672</t>
  </si>
  <si>
    <t>-699.697208515741 -79.8833953438268 311.526120896354</t>
  </si>
  <si>
    <t>-684.093961732795 -34.7328471073556 756.668627019434</t>
  </si>
  <si>
    <t>-570.397840660155 -118.104587887751 828.84668199846</t>
  </si>
  <si>
    <t>9763-20170724T105109.310477700.bin</t>
  </si>
  <si>
    <t>-814.54701510293 99.5145273126095 -532.952908592509</t>
  </si>
  <si>
    <t>-773.958096797858 134.116947904546 -243.563127658121</t>
  </si>
  <si>
    <t>-535.672104644254 159.740606103245 -268.343163684434</t>
  </si>
  <si>
    <t>-767.762554107773 59.722586924745 -98.3362946307963</t>
  </si>
  <si>
    <t>-724.299568098915 126.083206261076 297.342743871241</t>
  </si>
  <si>
    <t>-742.33072841711 228.999832935128 733.294504272146</t>
  </si>
  <si>
    <t>-600.066621935374 203.016468174622 797.893773697917</t>
  </si>
  <si>
    <t>-699.978534613002 -80.9312164375092 311.725009143433</t>
  </si>
  <si>
    <t>-684.171529987357 -34.8570994331601 756.739470368777</t>
  </si>
  <si>
    <t>-570.079928620221 -117.724866940943 828.873662099976</t>
  </si>
  <si>
    <t>9763-20170724T105109.343570100.bin</t>
  </si>
  <si>
    <t>-814.678555329427 98.868631329286 -532.488415991888</t>
  </si>
  <si>
    <t>-774.447774651129 133.053617412319 -242.999078394371</t>
  </si>
  <si>
    <t>-536.18354741863 159.147105899171 -267.496588712976</t>
  </si>
  <si>
    <t>-768.148402460169 58.5119774841719 -97.8689844104379</t>
  </si>
  <si>
    <t>-722.310709124858 125.103245595311 297.503229734161</t>
  </si>
  <si>
    <t>-742.369058325221 228.739007513219 733.17786870007</t>
  </si>
  <si>
    <t>-600.07836016707 202.941325995598 797.793321164983</t>
  </si>
  <si>
    <t>-700.202641640593 -81.3278242468555 311.857127997521</t>
  </si>
  <si>
    <t>-684.154890774158 -34.7159423710023 756.799878286743</t>
  </si>
  <si>
    <t>-570.24471213185 -117.848008216162 828.916635010126</t>
  </si>
  <si>
    <t>9763-20170724T105109.407246100.bin</t>
  </si>
  <si>
    <t>-815.144921539455 97.2793328200989 -531.447075401593</t>
  </si>
  <si>
    <t>-775.625794598217 130.514615132606 -241.749262631614</t>
  </si>
  <si>
    <t>-537.363451583198 157.385855743136 -265.409692556962</t>
  </si>
  <si>
    <t>-769.059518723098 55.559129272878 -96.770629755844</t>
  </si>
  <si>
    <t>-718.20466962141 122.838043442128 297.871094291822</t>
  </si>
  <si>
    <t>-742.429523635734 228.136188435105 732.891466924294</t>
  </si>
  <si>
    <t>-600.10438506879 202.752955514156 797.59503090557</t>
  </si>
  <si>
    <t>-701.042087858854 -82.5611877813112 312.202656638873</t>
  </si>
  <si>
    <t>-684.213651421059 -34.6973988865129 756.936084297611</t>
  </si>
  <si>
    <t>-570.134669678456 -117.671443502275 828.968050470989</t>
  </si>
  <si>
    <t>9763-20170724T105109.446361600.bin</t>
  </si>
  <si>
    <t>-815.310718855045 96.6573444485682 -530.970484381956</t>
  </si>
  <si>
    <t>-776.10934901303 129.397618594526 -241.173120925083</t>
  </si>
  <si>
    <t>-537.806612387351 156.616747957666 -264.017754763305</t>
  </si>
  <si>
    <t>-769.37047245402 54.2788236772021 -96.2706352836113</t>
  </si>
  <si>
    <t>-716.459264446887 121.85445482888 298.049827911896</t>
  </si>
  <si>
    <t>-742.47298575272 227.962979222724 732.725076037197</t>
  </si>
  <si>
    <t>-600.136686381768 202.708214655233 797.454456405274</t>
  </si>
  <si>
    <t>-701.660034781201 -83.23755697913 312.37943651653</t>
  </si>
  <si>
    <t>-684.325997444403 -34.9277730932251 757.019538217475</t>
  </si>
  <si>
    <t>-570.105405114121 -117.74710384625 829.005361279089</t>
  </si>
  <si>
    <t>9763-20170724T105109.511035800.bin</t>
  </si>
  <si>
    <t>-815.320419181236 95.825421346462 -530.259757164137</t>
  </si>
  <si>
    <t>-776.628037028916 127.638543468648 -240.290629842732</t>
  </si>
  <si>
    <t>-538.159218765921 155.412947269484 -260.589306846264</t>
  </si>
  <si>
    <t>-770.315891982614 52.1247862454036 -95.5393488398603</t>
  </si>
  <si>
    <t>-714.202166774416 120.107730162927 298.26798189916</t>
  </si>
  <si>
    <t>-742.520613857165 227.428114422749 732.364777716532</t>
  </si>
  <si>
    <t>-600.208038366053 202.360738454577 797.218939429476</t>
  </si>
  <si>
    <t>-702.862922244713 -84.0614556040393 312.631512182074</t>
  </si>
  <si>
    <t>-684.334787764886 -34.8396536636285 757.150459285184</t>
  </si>
  <si>
    <t>-570.071327015232 -117.670226187349 829.054948104788</t>
  </si>
  <si>
    <t>9763-20170724T105109.546022100.bin</t>
  </si>
  <si>
    <t>-815.277053239486 95.427552270954 -530.041163659889</t>
  </si>
  <si>
    <t>-776.807756346065 126.702330225526 -239.983899379935</t>
  </si>
  <si>
    <t>-538.239782111087 154.667936999405 -258.801076135619</t>
  </si>
  <si>
    <t>-770.796521234055 51.2599005746151 -95.3124264415279</t>
  </si>
  <si>
    <t>-713.659089766244 119.344162385417 298.330141479094</t>
  </si>
  <si>
    <t>-742.544169887356 227.202527803186 732.249079457303</t>
  </si>
  <si>
    <t>-600.256420235293 202.173210935696 797.172586074592</t>
  </si>
  <si>
    <t>-703.506419838261 -84.4714245813814 312.705730696689</t>
  </si>
  <si>
    <t>-684.415846464237 -35.014120104923 757.194961131539</t>
  </si>
  <si>
    <t>-569.981713218577 -117.641987676288 829.061274175606</t>
  </si>
  <si>
    <t>9763-20170724T105109.606687800.bin</t>
  </si>
  <si>
    <t>-814.865465208699 95.1713019930864 -529.706938324118</t>
  </si>
  <si>
    <t>-777.017057565619 125.533058719519 -239.471168315417</t>
  </si>
  <si>
    <t>-538.317257228694 153.714842920568 -256.177286031868</t>
  </si>
  <si>
    <t>-771.323296789397 49.9799322584213 -95.0406473995439</t>
  </si>
  <si>
    <t>-713.294663823695 118.563235580855 298.384916509099</t>
  </si>
  <si>
    <t>-742.60480245751 227.0178311895 732.035864874983</t>
  </si>
  <si>
    <t>-600.339882917418 202.057371325345 797.035615138182</t>
  </si>
  <si>
    <t>-704.304323931221 -84.9626787495922 312.807672071079</t>
  </si>
  <si>
    <t>-684.400396430443 -34.9381897215681 757.244693177778</t>
  </si>
  <si>
    <t>-570.277823956949 -118.011836542197 829.092675144687</t>
  </si>
  <si>
    <t>9763-20170724T105109.645838600.bin</t>
  </si>
  <si>
    <t>-814.52727382482 95.0645285565458 -529.593234748517</t>
  </si>
  <si>
    <t>-777.099588312909 124.982035767308 -239.256654960509</t>
  </si>
  <si>
    <t>-538.323910338691 153.195623676088 -254.783731172166</t>
  </si>
  <si>
    <t>-771.43956117818 49.5116438917003 -94.9778076820716</t>
  </si>
  <si>
    <t>-713.271847324054 118.290422912861 298.393039554687</t>
  </si>
  <si>
    <t>-742.632684359207 226.921648389606 731.976508237606</t>
  </si>
  <si>
    <t>-600.367085803607 202.023609188263 796.998887545028</t>
  </si>
  <si>
    <t>-704.648800585414 -85.2253609756219 312.837240077738</t>
  </si>
  <si>
    <t>-684.416631327747 -34.9852527101189 757.254580241748</t>
  </si>
  <si>
    <t>-569.961608379437 -117.631720350648 829.066170437586</t>
  </si>
  <si>
    <t>9763-20170724T105109.710397200.bin</t>
  </si>
  <si>
    <t>-813.920472042769 95.1705207835391 -529.508284180017</t>
  </si>
  <si>
    <t>-777.267282795477 124.553270334513 -239.018325023358</t>
  </si>
  <si>
    <t>-538.387838998085 152.464197997651 -253.455692325016</t>
  </si>
  <si>
    <t>-771.758778435695 49.158363216945 -94.9460553252014</t>
  </si>
  <si>
    <t>-713.31542637025 118.114369223175 298.352920057899</t>
  </si>
  <si>
    <t>-742.697300879422 226.680216677999 731.923599945681</t>
  </si>
  <si>
    <t>-600.381691776546 202.027568283283 796.929887092767</t>
  </si>
  <si>
    <t>-705.049701981324 -85.3238977510821 312.828301476177</t>
  </si>
  <si>
    <t>-684.364445925525 -34.8945519015331 757.240218239592</t>
  </si>
  <si>
    <t>-570.090402547993 -117.795313084976 829.047032452081</t>
  </si>
  <si>
    <t>9763-20170724T105109.743998400.bin</t>
  </si>
  <si>
    <t>-813.679807522332 95.1081161169088 -529.523478478276</t>
  </si>
  <si>
    <t>-777.311740853558 124.223022318877 -238.970833306512</t>
  </si>
  <si>
    <t>-538.398631465068 152.065163756331 -252.977009158564</t>
  </si>
  <si>
    <t>-771.906947281632 49.0062098968826 -94.954879808104</t>
  </si>
  <si>
    <t>-713.383126016221 118.013075916068 298.323303357708</t>
  </si>
  <si>
    <t>-742.711437931353 226.570163991261 731.896074905748</t>
  </si>
  <si>
    <t>-600.381004146254 202.035546775699 796.914811827359</t>
  </si>
  <si>
    <t>-705.168705869914 -85.4343620226259 312.808704222821</t>
  </si>
  <si>
    <t>-684.389538502003 -34.9963544514753 757.231385054387</t>
  </si>
  <si>
    <t>-569.963627600132 -117.702496516818 829.020789687478</t>
  </si>
  <si>
    <t>9763-20170724T105109.814695300.bin</t>
  </si>
  <si>
    <t>-813.583266603811 95.1501538069933 -529.600209336211</t>
  </si>
  <si>
    <t>-777.476783122931 124.105534137635 -238.99885252233</t>
  </si>
  <si>
    <t>-538.49814694096 151.611147838631 -252.54495529059</t>
  </si>
  <si>
    <t>-772.164667774719 49.059252520098 -95.0198670921125</t>
  </si>
  <si>
    <t>-713.720503284808 117.910872385836 298.297328477816</t>
  </si>
  <si>
    <t>-742.746337459128 226.490832153935 731.90068958457</t>
  </si>
  <si>
    <t>-600.420202778533 201.976260383363 796.93616219097</t>
  </si>
  <si>
    <t>-705.368184210583 -85.5308923124421 312.77001381256</t>
  </si>
  <si>
    <t>-684.401271049852 -35.0973942511755 757.196843643239</t>
  </si>
  <si>
    <t>-569.737824489468 -117.491813510588 828.965617193568</t>
  </si>
  <si>
    <t>9763-20170724T105109.846784600.bin</t>
  </si>
  <si>
    <t>-813.527508053048 95.2126728068224 -529.639605165697</t>
  </si>
  <si>
    <t>-777.559773666496 124.222088628547 -239.0264109212</t>
  </si>
  <si>
    <t>-538.558392801175 151.657284044589 -252.313787133997</t>
  </si>
  <si>
    <t>-772.056466212352 49.0850999292049 -95.0498758680752</t>
  </si>
  <si>
    <t>-713.804989744837 117.980105350484 298.288266206843</t>
  </si>
  <si>
    <t>-742.773500104787 226.533517389038 731.898741047628</t>
  </si>
  <si>
    <t>-600.44312341673 202.025446489264 796.927358580681</t>
  </si>
  <si>
    <t>-705.406887967579 -85.4908199130969 312.76482871937</t>
  </si>
  <si>
    <t>-684.388253039384 -35.100530272786 757.184117385507</t>
  </si>
  <si>
    <t>-569.831690708736 -117.635530601432 828.962016346653</t>
  </si>
  <si>
    <t>9763-20170724T105109.911455300.bin</t>
  </si>
  <si>
    <t>-813.372481932352 95.1927983796659 -529.767206867696</t>
  </si>
  <si>
    <t>-777.860027554266 124.506890736321 -239.128680837433</t>
  </si>
  <si>
    <t>-538.810052671587 151.673516218991 -252.088518220209</t>
  </si>
  <si>
    <t>-771.726321951524 49.1509662885817 -95.1029731092823</t>
  </si>
  <si>
    <t>-713.842028323173 118.117287924845 298.276925729178</t>
  </si>
  <si>
    <t>-742.846349717989 226.739304293123 731.859539806736</t>
  </si>
  <si>
    <t>-600.521908232227 202.100835705773 796.851606241274</t>
  </si>
  <si>
    <t>-705.07162490204 -85.327049834583 312.737630778649</t>
  </si>
  <si>
    <t>-684.290194077411 -34.9491862672851 757.168268004567</t>
  </si>
  <si>
    <t>-569.961650771622 -117.784559347752 828.963582538801</t>
  </si>
  <si>
    <t>9763-20170724T105109.944048400.bin</t>
  </si>
  <si>
    <t>-813.433479024524 95.1273332776298 -529.834586764964</t>
  </si>
  <si>
    <t>-778.208411335781 124.66761803414 -239.18408753611</t>
  </si>
  <si>
    <t>-539.108499998943 151.534680588576 -251.844633324212</t>
  </si>
  <si>
    <t>-771.616484470526 49.2711127404227 -95.1388232590426</t>
  </si>
  <si>
    <t>-713.880180531515 118.213995238724 298.266917707825</t>
  </si>
  <si>
    <t>-742.889302392921 226.83963998051 731.856712728849</t>
  </si>
  <si>
    <t>-600.558666463196 202.14819588407 796.815530693887</t>
  </si>
  <si>
    <t>-704.871143365655 -85.3071143391967 312.713644330788</t>
  </si>
  <si>
    <t>-684.256194870655 -34.9196998405619 757.15544021816</t>
  </si>
  <si>
    <t>-569.770958551063 -117.544188769169 828.944222522233</t>
  </si>
  <si>
    <t>9763-20170724T105110.013742200.bin</t>
  </si>
  <si>
    <t>-813.50607715084 95.1045867743635 -529.96540526429</t>
  </si>
  <si>
    <t>-779.018053282067 125.011223581782 -239.26376245318</t>
  </si>
  <si>
    <t>-539.808302864855 150.559360315103 -252.563668435072</t>
  </si>
  <si>
    <t>-771.329179984819 49.3888339632342 -95.2251671014773</t>
  </si>
  <si>
    <t>-713.930121779197 118.389153624885 298.21979065312</t>
  </si>
  <si>
    <t>-742.960281213889 227.03516206695 731.812656731881</t>
  </si>
  <si>
    <t>-600.621569127154 202.250349708467 796.718127574432</t>
  </si>
  <si>
    <t>-704.386556765014 -85.2600639214081 312.674242456685</t>
  </si>
  <si>
    <t>-684.188109829752 -34.8645544949347 757.129279423134</t>
  </si>
  <si>
    <t>-569.781612978121 -117.578948154716 828.940113214575</t>
  </si>
  <si>
    <t>9763-20170724T105110.043865900.bin</t>
  </si>
  <si>
    <t>-813.579419085216 95.0354848265326 -530.000864460882</t>
  </si>
  <si>
    <t>-779.429652836134 125.21269468984 -239.287409592599</t>
  </si>
  <si>
    <t>-540.154114314543 149.513171401532 -253.694341387499</t>
  </si>
  <si>
    <t>-771.134527052624 49.3511377064835 -95.263854149934</t>
  </si>
  <si>
    <t>-714.009135132832 118.379924434957 298.215934735598</t>
  </si>
  <si>
    <t>-742.98940043737 227.100745640625 731.788599134837</t>
  </si>
  <si>
    <t>-600.649410263937 202.274039678147 796.675189776697</t>
  </si>
  <si>
    <t>-704.120609635939 -85.2592035663201 312.646601427577</t>
  </si>
  <si>
    <t>-684.136322563329 -34.7791803312016 757.111724295081</t>
  </si>
  <si>
    <t>-569.65700133631 -117.394540257738 828.920459411235</t>
  </si>
  <si>
    <t>9763-20170724T105110.107564400.bin</t>
  </si>
  <si>
    <t>-814.133062448988 94.7924044179533 -530.013094275644</t>
  </si>
  <si>
    <t>-780.160969921457 125.593863289505 -239.344347241171</t>
  </si>
  <si>
    <t>-540.870834855245 146.995299204151 -257.596923236778</t>
  </si>
  <si>
    <t>-771.026521016824 49.3810655135951 -95.4033689330672</t>
  </si>
  <si>
    <t>-714.259251194422 118.447097405729 298.121746389741</t>
  </si>
  <si>
    <t>-743.02417421217 227.11564223325 731.748642050964</t>
  </si>
  <si>
    <t>-600.669966850332 202.358067083519 796.630413742087</t>
  </si>
  <si>
    <t>-703.693490163147 -85.2482975978887 312.587242086452</t>
  </si>
  <si>
    <t>-684.095086534061 -34.7823589937034 757.075928826285</t>
  </si>
  <si>
    <t>-569.623602200487 -117.399591343248 828.894899257586</t>
  </si>
  <si>
    <t>9763-20170724T105110.147179600.bin</t>
  </si>
  <si>
    <t>-814.574367534965 94.6733649532632 -529.969843009303</t>
  </si>
  <si>
    <t>-780.435321361141 125.595346803051 -239.333330763552</t>
  </si>
  <si>
    <t>-541.164303906696 145.701075973388 -259.233476435975</t>
  </si>
  <si>
    <t>-770.980135242914 49.306213747866 -95.4688959337618</t>
  </si>
  <si>
    <t>-714.41672632038 118.546230940391 298.055002360431</t>
  </si>
  <si>
    <t>-743.030756408606 227.082182628087 731.722221020228</t>
  </si>
  <si>
    <t>-600.666734901626 202.413808229637 796.616412658457</t>
  </si>
  <si>
    <t>-703.449785802672 -85.2707579151925 312.567423185327</t>
  </si>
  <si>
    <t>-684.078637160825 -34.7970450969822 757.057492299258</t>
  </si>
  <si>
    <t>-569.651272518346 -117.46650434313 828.886785860703</t>
  </si>
  <si>
    <t>9763-20170724T105110.208846000.bin</t>
  </si>
  <si>
    <t>-815.439357937277 94.2962189084994 -529.692890959767</t>
  </si>
  <si>
    <t>-781.017571791386 125.223215120108 -239.090206087318</t>
  </si>
  <si>
    <t>-541.859785527613 143.349404529309 -262.021556155814</t>
  </si>
  <si>
    <t>-770.861404456904 49.0273468247349 -95.5654480259332</t>
  </si>
  <si>
    <t>-714.69366213287 118.523935414058 297.969922163395</t>
  </si>
  <si>
    <t>-743.033872160175 227.05247159586 731.662308259208</t>
  </si>
  <si>
    <t>-600.648778594737 202.592396298833 796.589173248155</t>
  </si>
  <si>
    <t>-702.951045641829 -85.4094369855909 312.538108784743</t>
  </si>
  <si>
    <t>-683.972511920007 -34.6287802783506 757.021735000905</t>
  </si>
  <si>
    <t>-569.45568094929 -117.176588615545 828.848506418786</t>
  </si>
  <si>
    <t>9763-20170724T105110.245218100.bin</t>
  </si>
  <si>
    <t>-815.82188991774 94.0519587035826 -529.505317957435</t>
  </si>
  <si>
    <t>-781.171924489369 124.844720786029 -238.915515421235</t>
  </si>
  <si>
    <t>-542.136789712087 142.56576627037 -263.391598692448</t>
  </si>
  <si>
    <t>-770.851122769634 48.7839093514071 -95.5965187953668</t>
  </si>
  <si>
    <t>-714.847350875004 118.537400291613 297.916744399503</t>
  </si>
  <si>
    <t>-743.028894896914 227.013635806899 731.634385108885</t>
  </si>
  <si>
    <t>-600.626625425504 202.714478056423 796.584051974688</t>
  </si>
  <si>
    <t>-702.735481996543 -85.4811821468656 312.520048707719</t>
  </si>
  <si>
    <t>-683.959440969674 -34.647318540646 756.998233865251</t>
  </si>
  <si>
    <t>-569.596229225661 -117.395175874146 828.839445280094</t>
  </si>
  <si>
    <t>9763-20170724T105110.309391300.bin</t>
  </si>
  <si>
    <t>-816.746150683453 93.5649439076863 -529.130388491515</t>
  </si>
  <si>
    <t>-781.269070499222 124.224957744268 -238.626482029451</t>
  </si>
  <si>
    <t>-542.548824131216 142.235399056985 -265.813736823698</t>
  </si>
  <si>
    <t>-771.123064545405 48.2964660363668 -95.6370016655346</t>
  </si>
  <si>
    <t>-715.369524834952 118.376389968493 297.853760801872</t>
  </si>
  <si>
    <t>-743.032228212342 226.705024234597 731.659698286447</t>
  </si>
  <si>
    <t>-600.574641642812 202.803850831218 796.635684354717</t>
  </si>
  <si>
    <t>-702.437051257793 -85.8204825828616 312.505685754207</t>
  </si>
  <si>
    <t>-683.955622559942 -34.7197566856912 756.971476968701</t>
  </si>
  <si>
    <t>-569.210450508948 -116.961595889572 828.784621464272</t>
  </si>
  <si>
    <t>9763-20170724T105110.342481900.bin</t>
  </si>
  <si>
    <t>-817.301734627806 93.2957180278167 -528.969514613663</t>
  </si>
  <si>
    <t>-781.310427855729 124.104373940329 -238.544508148204</t>
  </si>
  <si>
    <t>-542.749901715845 142.355579568946 -266.945074055881</t>
  </si>
  <si>
    <t>-771.255145186249 48.0643459930864 -95.6870773705158</t>
  </si>
  <si>
    <t>-715.565112952674 118.192147793362 297.804185585974</t>
  </si>
  <si>
    <t>-742.989137960383 226.281682491667 731.677102902392</t>
  </si>
  <si>
    <t>-600.493621381083 202.771960216478 796.712530309548</t>
  </si>
  <si>
    <t>-702.405748548143 -85.9854036642764 312.513932927846</t>
  </si>
  <si>
    <t>-683.990058063705 -34.833756599829 756.962512017194</t>
  </si>
  <si>
    <t>-569.121023618004 -116.912228215355 828.764591214183</t>
  </si>
  <si>
    <t>9763-20170724T105110.409660800.bin</t>
  </si>
  <si>
    <t>-818.491664227135 92.7941761147526 -528.602663649038</t>
  </si>
  <si>
    <t>-781.689691620699 124.169054907393 -238.33991068704</t>
  </si>
  <si>
    <t>-543.506940931223 143.166645343083 -269.306658537704</t>
  </si>
  <si>
    <t>-771.642969390005 47.4128818610513 -95.6804089403867</t>
  </si>
  <si>
    <t>-715.718077950025 117.80522399073 297.730333795254</t>
  </si>
  <si>
    <t>-742.903713548139 225.45347998575 731.755694063069</t>
  </si>
  <si>
    <t>-600.311827284845 202.738365732482 796.862381977443</t>
  </si>
  <si>
    <t>-702.429824426192 -86.2015308427035 312.541737495768</t>
  </si>
  <si>
    <t>-683.908791873685 -34.6454964309703 756.938047529851</t>
  </si>
  <si>
    <t>-569.287219257 -117.063572263074 828.746260657859</t>
  </si>
  <si>
    <t>9763-20170724T105110.439387900.bin</t>
  </si>
  <si>
    <t>-818.976306839327 92.4434682234669 -528.414666539609</t>
  </si>
  <si>
    <t>-781.749972388005 123.916396615698 -238.21666391058</t>
  </si>
  <si>
    <t>-543.777012422037 143.599083999083 -270.346806927657</t>
  </si>
  <si>
    <t>-771.793983650899 47.0989514540859 -95.6385114590482</t>
  </si>
  <si>
    <t>-715.715928319031 117.603605103307 297.730354487975</t>
  </si>
  <si>
    <t>-742.874069769221 225.16999913286 731.784327233614</t>
  </si>
  <si>
    <t>-600.242905406112 202.767467027309 796.913064958997</t>
  </si>
  <si>
    <t>-702.436256109331 -86.3786149341267 312.567605860387</t>
  </si>
  <si>
    <t>-683.928111194737 -34.7159849950256 756.937419392536</t>
  </si>
  <si>
    <t>-569.144739371654 -116.922091634634 828.730399970409</t>
  </si>
  <si>
    <t>9763-20170724T105110.521276900.bin</t>
  </si>
  <si>
    <t>-819.153909957199 91.4665769132234 -528.093454872041</t>
  </si>
  <si>
    <t>-781.354939864438 122.824412381923 -237.957003640627</t>
  </si>
  <si>
    <t>-543.829347235878 144.595940382191 -271.993467829331</t>
  </si>
  <si>
    <t>-771.827936231338 46.290739733201 -95.589981898265</t>
  </si>
  <si>
    <t>-715.601856722584 117.243082764201 297.677194729469</t>
  </si>
  <si>
    <t>-742.813846428124 224.718057303321 731.779739487365</t>
  </si>
  <si>
    <t>-600.128559663852 202.859577568048 796.975051354641</t>
  </si>
  <si>
    <t>-702.534895592707 -86.7780634393359 312.614281625501</t>
  </si>
  <si>
    <t>-683.898069306689 -34.6960609999712 756.919526263142</t>
  </si>
  <si>
    <t>-568.984891833851 -116.724612764442 828.707861398852</t>
  </si>
  <si>
    <t>9763-20170724T105110.543335900.bin</t>
  </si>
  <si>
    <t>-818.931872809205 90.9028762242042 -528.001925411579</t>
  </si>
  <si>
    <t>-781.079856242146 122.271966559339 -237.873711569577</t>
  </si>
  <si>
    <t>-543.621254858287 144.629805553208 -271.996678570158</t>
  </si>
  <si>
    <t>-771.780071578617 45.841782761293 -95.5497214537598</t>
  </si>
  <si>
    <t>-715.488065061907 117.024909741978 297.666265445123</t>
  </si>
  <si>
    <t>-742.803148704988 224.600239049614 731.770046679019</t>
  </si>
  <si>
    <t>-600.107232150932 202.895749765033 796.993437876411</t>
  </si>
  <si>
    <t>-702.700060687719 -86.9437200919756 312.649693900674</t>
  </si>
  <si>
    <t>-683.849415385416 -34.5712789886647 756.913061797707</t>
  </si>
  <si>
    <t>-569.118428049741 -116.847254685975 828.709725476536</t>
  </si>
  <si>
    <t>9763-20170724T105110.608521100.bin</t>
  </si>
  <si>
    <t>-818.991208038896 91.0644808420191 -527.675985167405</t>
  </si>
  <si>
    <t>-780.902872861129 122.263301565949 -237.560424907806</t>
  </si>
  <si>
    <t>-543.622802442218 145.694729076297 -272.20088393771</t>
  </si>
  <si>
    <t>-772.08037947414 45.432272255309 -95.4330132335332</t>
  </si>
  <si>
    <t>-715.385335023787 116.754840670157 297.699752984012</t>
  </si>
  <si>
    <t>-742.824098951358 224.369735941373 731.795328629068</t>
  </si>
  <si>
    <t>-600.122620044398 202.781784857605 797.045469803236</t>
  </si>
  <si>
    <t>-703.47580493695 -87.1776856518886 312.766939124601</t>
  </si>
  <si>
    <t>-683.807744564295 -34.4208322493821 756.947893854309</t>
  </si>
  <si>
    <t>-569.142812956984 -116.805715679579 828.725070948633</t>
  </si>
  <si>
    <t>9763-20170724T105110.645623100.bin</t>
  </si>
  <si>
    <t>-819.496333230603 91.718205549721 -527.311415661329</t>
  </si>
  <si>
    <t>-781.067956012487 122.559406539649 -237.202305918202</t>
  </si>
  <si>
    <t>-543.801784064679 146.287286564961 -271.736987513723</t>
  </si>
  <si>
    <t>-772.416121391831 45.3320718738435 -95.3505972887795</t>
  </si>
  <si>
    <t>-715.290462574025 116.642103351442 297.722160129982</t>
  </si>
  <si>
    <t>-742.829232012162 224.155547961871 731.806899304353</t>
  </si>
  <si>
    <t>-600.111586598049 202.713469755669 797.069260050021</t>
  </si>
  <si>
    <t>-703.988790053536 -87.2631960709668 312.834418974777</t>
  </si>
  <si>
    <t>-683.811106179922 -34.3996329347924 756.978558355108</t>
  </si>
  <si>
    <t>-569.034970823104 -116.648269909579 828.73438307801</t>
  </si>
  <si>
    <t>9763-20170724T105110.708793800.bin</t>
  </si>
  <si>
    <t>-820.630204732674 92.9587013586774 -526.528305340035</t>
  </si>
  <si>
    <t>-781.743784051122 122.379857205209 -236.332723792575</t>
  </si>
  <si>
    <t>-544.485997846028 146.569955796753 -270.602755450014</t>
  </si>
  <si>
    <t>-773.027187282097 44.9364581913874 -95.1730310283416</t>
  </si>
  <si>
    <t>-715.27983958771 116.415301286642 297.778214128067</t>
  </si>
  <si>
    <t>-742.840924741688 223.807017918977 731.858182581596</t>
  </si>
  <si>
    <t>-600.084676133219 202.620008108861 797.119893798</t>
  </si>
  <si>
    <t>-704.846897101376 -87.5438578916958 312.938943299096</t>
  </si>
  <si>
    <t>-683.881326283932 -34.5316452642846 757.035283547385</t>
  </si>
  <si>
    <t>-569.080062925943 -116.769344756892 828.763356371107</t>
  </si>
  <si>
    <t>9763-20170724T105110.744810500.bin</t>
  </si>
  <si>
    <t>-821.242439386892 93.1894795755559 -526.149545925483</t>
  </si>
  <si>
    <t>-782.262482262672 122.072930360121 -235.912461286016</t>
  </si>
  <si>
    <t>-544.920410844438 146.194898329867 -269.642390143688</t>
  </si>
  <si>
    <t>-773.365203015587 44.6849904037099 -95.0702262220353</t>
  </si>
  <si>
    <t>-715.484329591012 116.300014902446 297.836557649783</t>
  </si>
  <si>
    <t>-742.849371123179 223.568461491044 731.934532665341</t>
  </si>
  <si>
    <t>-600.030736256445 202.671605006187 797.153109760114</t>
  </si>
  <si>
    <t>-705.101469344708 -87.6884553952113 312.97171179158</t>
  </si>
  <si>
    <t>-683.857282602944 -34.4357502519661 757.052941916624</t>
  </si>
  <si>
    <t>-569.139375641326 -116.797640594019 828.771698001807</t>
  </si>
  <si>
    <t>9763-20170724T105110.813500300.bin</t>
  </si>
  <si>
    <t>-821.890351347588 92.1685683303931 -525.642215877737</t>
  </si>
  <si>
    <t>-782.749307361125 121.033194986426 -235.424962213206</t>
  </si>
  <si>
    <t>-545.006348325106 144.490896792689 -266.71174768202</t>
  </si>
  <si>
    <t>-773.731628110671 43.6343243596912 -94.8178952253917</t>
  </si>
  <si>
    <t>-715.920821441579 115.73750366447 298.009960027748</t>
  </si>
  <si>
    <t>-742.855130401502 222.843543947939 732.148966776129</t>
  </si>
  <si>
    <t>-599.84471605542 202.935513772747 797.256647801968</t>
  </si>
  <si>
    <t>-705.003716777832 -88.2846355658439 313.057197383239</t>
  </si>
  <si>
    <t>-683.893075200303 -34.5225741116972 757.076128417442</t>
  </si>
  <si>
    <t>-568.996069034651 -116.672184498599 828.751932825714</t>
  </si>
  <si>
    <t>9763-20170724T105110.840855000.bin</t>
  </si>
  <si>
    <t>-821.981390250126 91.234558249575 -525.4429806223</t>
  </si>
  <si>
    <t>-782.554197135378 121.153287647547 -235.371299553629</t>
  </si>
  <si>
    <t>-544.279786808667 143.064071172464 -263.585584397549</t>
  </si>
  <si>
    <t>-773.840642235719 42.8046299614059 -94.6132475775692</t>
  </si>
  <si>
    <t>-716.058795229644 115.323413624306 298.142367209947</t>
  </si>
  <si>
    <t>-742.871996574437 222.606663862853 732.259452507675</t>
  </si>
  <si>
    <t>-599.770647101539 203.115527662497 797.293363967927</t>
  </si>
  <si>
    <t>-704.74313280396 -88.7486269138694 313.113423057988</t>
  </si>
  <si>
    <t>-683.985364663226 -34.7425751199553 757.102165310614</t>
  </si>
  <si>
    <t>-568.653818113868 -116.33240933553 828.719365498532</t>
  </si>
  <si>
    <t>9763-20170724T105110.911044500.bin</t>
  </si>
  <si>
    <t>-821.885320577166 89.8133005709133 -525.098002463765</t>
  </si>
  <si>
    <t>-779.618661754119 123.321354250677 -235.819547785138</t>
  </si>
  <si>
    <t>-540.099352603192 141.475030509987 -254.575709064596</t>
  </si>
  <si>
    <t>-774.218275230077 41.5957203828104 -94.3368074369456</t>
  </si>
  <si>
    <t>-716.06509080477 114.542413217736 298.284750653878</t>
  </si>
  <si>
    <t>-742.866413591995 222.05508232235 732.410573639535</t>
  </si>
  <si>
    <t>-599.648050522516 203.126236929399 797.353200537085</t>
  </si>
  <si>
    <t>-703.804697374686 -89.3454228854021 313.186409138974</t>
  </si>
  <si>
    <t>-683.958628144522 -34.7534718066565 757.093822578478</t>
  </si>
  <si>
    <t>-568.458245686074 -116.131764145096 828.679432582394</t>
  </si>
  <si>
    <t>9763-20170724T105110.947143700.bin</t>
  </si>
  <si>
    <t>-821.911879343997 89.8843412718484 -524.803130290225</t>
  </si>
  <si>
    <t>-776.084864348653 126.196809754769 -236.406646974124</t>
  </si>
  <si>
    <t>-536.061210801647 142.70708606029 -249.326932735509</t>
  </si>
  <si>
    <t>-774.559669920747 41.2730824065284 -94.236851114768</t>
  </si>
  <si>
    <t>-715.95091168299 114.204348561607 298.319803508546</t>
  </si>
  <si>
    <t>-742.899600542705 221.733957856301 732.504496172481</t>
  </si>
  <si>
    <t>-599.631151668179 203.013820467655 797.396643978506</t>
  </si>
  <si>
    <t>-703.34978391867 -89.4523330616128 313.205317983566</t>
  </si>
  <si>
    <t>-683.936799609926 -34.7798353829551 757.080912588351</t>
  </si>
  <si>
    <t>-568.344941777876 -116.029270902511 828.665569871173</t>
  </si>
  <si>
    <t>9763-20170724T105111.012321100.bin</t>
  </si>
  <si>
    <t>-822.102982791102 90.9763233168717 -523.973096030472</t>
  </si>
  <si>
    <t>-763.882262028186 133.636062298482 -238.69830109566</t>
  </si>
  <si>
    <t>-523.508041575107 149.727235906684 -242.189563834585</t>
  </si>
  <si>
    <t>-775.280036254402 41.0906016785548 -94.2610457722193</t>
  </si>
  <si>
    <t>-715.797208819088 114.109359060466 298.147775109886</t>
  </si>
  <si>
    <t>-742.893246733994 221.493362440188 732.411631423938</t>
  </si>
  <si>
    <t>-599.601802254444 203.041291647911 797.330077246013</t>
  </si>
  <si>
    <t>-702.679047954745 -89.4652828501485 313.176943148991</t>
  </si>
  <si>
    <t>-683.84251498962 -34.6155373305182 757.040702258571</t>
  </si>
  <si>
    <t>-568.120063402419 -115.675221491109 828.629592495404</t>
  </si>
  <si>
    <t>9763-20170724T105111.044411000.bin</t>
  </si>
  <si>
    <t>-822.323357832259 91.4344009180447 -523.577778962369</t>
  </si>
  <si>
    <t>-754.577001780144 137.342430078467 -240.922333910464</t>
  </si>
  <si>
    <t>-514.23736679785 154.303348489311 -240.847970065572</t>
  </si>
  <si>
    <t>-775.50058776775 41.1471506869286 -94.3831931301964</t>
  </si>
  <si>
    <t>-715.9404019391 114.20485949081 298.006701122809</t>
  </si>
  <si>
    <t>-742.872453781824 221.435557144008 732.332661542158</t>
  </si>
  <si>
    <t>-599.588005454539 203.019013163534 797.276333490709</t>
  </si>
  <si>
    <t>-702.558821663124 -89.3425335258796 313.161803787066</t>
  </si>
  <si>
    <t>-683.825335769784 -34.5790113471285 757.043646997515</t>
  </si>
  <si>
    <t>-568.03791977284 -115.556845091618 828.619710659157</t>
  </si>
  <si>
    <t>9763-20170724T105111.111116700.bin</t>
  </si>
  <si>
    <t>-821.282647063675 92.0215997254218 -522.890748957945</t>
  </si>
  <si>
    <t>-730.734687180545 144.180195265171 -247.805757782185</t>
  </si>
  <si>
    <t>-490.550222240089 162.485716943578 -242.590655801891</t>
  </si>
  <si>
    <t>-776.037116973369 41.373730490481 -94.6428073103411</t>
  </si>
  <si>
    <t>-716.407430238202 114.51504251649 297.721052494979</t>
  </si>
  <si>
    <t>-742.881702192515 221.450774345214 732.21581566747</t>
  </si>
  <si>
    <t>-599.604801398981 203.039916159533 797.17772208142</t>
  </si>
  <si>
    <t>-702.48212495174 -89.0769752017427 313.106884105102</t>
  </si>
  <si>
    <t>-683.806347817265 -34.5213057175417 757.024828334524</t>
  </si>
  <si>
    <t>-567.865797555498 -115.292910792544 828.586249358615</t>
  </si>
  <si>
    <t>9763-20170724T105111.144710900.bin</t>
  </si>
  <si>
    <t>-819.65149064797 92.0241530175197 -522.749874461529</t>
  </si>
  <si>
    <t>-717.916332839797 147.203572518024 -252.20159036363</t>
  </si>
  <si>
    <t>-477.879733419654 166.764017172689 -245.083938346267</t>
  </si>
  <si>
    <t>-775.991797874893 41.4097004068674 -94.7431360853545</t>
  </si>
  <si>
    <t>-716.4959883406 114.638701310385 297.624605035062</t>
  </si>
  <si>
    <t>-742.903350941954 221.419667771851 732.175499734256</t>
  </si>
  <si>
    <t>-599.632776778062 203.025185569494 797.156085340694</t>
  </si>
  <si>
    <t>-702.418977712497 -88.9017293773027 313.082988631567</t>
  </si>
  <si>
    <t>-683.770214376587 -34.4013672430074 757.010832741688</t>
  </si>
  <si>
    <t>-568.063419392485 -115.488742417378 828.59340328032</t>
  </si>
  <si>
    <t>9763-20170724T105111.209386200.bin</t>
  </si>
  <si>
    <t>-815.373447533565 92.0138631451343 -523.149335710282</t>
  </si>
  <si>
    <t>-694.068119178003 150.255551877334 -261.454506967811</t>
  </si>
  <si>
    <t>-454.718029078109 177.026557690297 -254.691102139453</t>
  </si>
  <si>
    <t>-775.539756815042 41.6765761557444 -94.9475575641387</t>
  </si>
  <si>
    <t>-716.308651197263 114.699696921506 297.498604064354</t>
  </si>
  <si>
    <t>-742.948824187738 221.339082380688 732.092780778573</t>
  </si>
  <si>
    <t>-599.714139217712 202.843209137259 797.123936823285</t>
  </si>
  <si>
    <t>-702.774346573939 -88.651631135707 313.104328933317</t>
  </si>
  <si>
    <t>-683.730992836232 -34.2412067174687 757.015517772755</t>
  </si>
  <si>
    <t>-568.093925101372 -115.40213094858 828.62735020499</t>
  </si>
  <si>
    <t>9763-20170724T105111.243987800.bin</t>
  </si>
  <si>
    <t>-812.914842439095 92.2190671930782 -523.832589210515</t>
  </si>
  <si>
    <t>-684.9821323819 151.146718539283 -265.468591937203</t>
  </si>
  <si>
    <t>-445.889274774721 179.551782841695 -256.602195800248</t>
  </si>
  <si>
    <t>-774.860260676118 41.9533093605689 -95.0926013487106</t>
  </si>
  <si>
    <t>-716.099399065118 114.929670880454 297.433018024715</t>
  </si>
  <si>
    <t>-743.005231071059 221.383443360569 732.028042270531</t>
  </si>
  <si>
    <t>-599.780380513866 202.753573069566 797.042343955339</t>
  </si>
  <si>
    <t>-703.121321782722 -88.4973680724729 313.13895615483</t>
  </si>
  <si>
    <t>-683.736542729816 -34.2270314231785 757.046086574737</t>
  </si>
  <si>
    <t>-568.197166526805 -115.509264269102 828.678268472341</t>
  </si>
  <si>
    <t>9763-20170724T105111.311674800.bin</t>
  </si>
  <si>
    <t>-808.172301293959 92.9308180434746 -525.848275968968</t>
  </si>
  <si>
    <t>-678.568443272949 151.754957298512 -268.294858809325</t>
  </si>
  <si>
    <t>-439.303987874861 177.589208391556 -256.633253186013</t>
  </si>
  <si>
    <t>-773.633970236176 43.2606656778339 -95.4225417802288</t>
  </si>
  <si>
    <t>-715.270112714146 115.480658497094 297.302008539643</t>
  </si>
  <si>
    <t>-743.114251367896 221.562750867073 731.842217235871</t>
  </si>
  <si>
    <t>-599.966536525359 202.279024683197 796.836105055223</t>
  </si>
  <si>
    <t>-704.076952069381 -87.9892508628132 313.19513215798</t>
  </si>
  <si>
    <t>-683.642327028545 -33.8479445360022 757.11578328973</t>
  </si>
  <si>
    <t>-568.619347457336 -115.818924129791 828.79410395127</t>
  </si>
  <si>
    <t>9763-20170724T105111.343260500.bin</t>
  </si>
  <si>
    <t>-807.157059761042 93.259065768837 -526.808367331087</t>
  </si>
  <si>
    <t>-678.545199172869 151.273509462453 -268.574953332373</t>
  </si>
  <si>
    <t>-439.084262085516 174.088170643849 -254.835396537428</t>
  </si>
  <si>
    <t>-773.380202403672 43.9359810635169 -95.5188822495783</t>
  </si>
  <si>
    <t>-714.718223005537 115.587668420393 297.265388966817</t>
  </si>
  <si>
    <t>-743.156278520617 221.60196898075 731.737339482187</t>
  </si>
  <si>
    <t>-600.056294952754 201.95088322583 796.725720022748</t>
  </si>
  <si>
    <t>-704.750452192722 -87.7135986001153 313.233135073304</t>
  </si>
  <si>
    <t>-683.649152975476 -33.7870830674647 757.165455040485</t>
  </si>
  <si>
    <t>-568.843438925614 -116.051193244634 828.855963385317</t>
  </si>
  <si>
    <t>9763-20170724T105111.409439700.bin</t>
  </si>
  <si>
    <t>-806.469987834894 92.8219193375262 -528.34395867805</t>
  </si>
  <si>
    <t>-678.620109527252 151.308705045632 -269.838869606204</t>
  </si>
  <si>
    <t>-439.341436998105 169.313187818012 -248.102651808784</t>
  </si>
  <si>
    <t>-773.435866113047 44.7777070131674 -95.5511088085717</t>
  </si>
  <si>
    <t>-713.63412513907 115.421448311221 297.243844905489</t>
  </si>
  <si>
    <t>-743.244283042836 221.355004516112 731.529602514099</t>
  </si>
  <si>
    <t>-600.169556081036 201.412080539226 796.484925674182</t>
  </si>
  <si>
    <t>-705.951520456394 -87.2942114157415 313.338234995808</t>
  </si>
  <si>
    <t>-683.724598845056 -33.8734449690453 757.277887009784</t>
  </si>
  <si>
    <t>-568.929158626625 -116.157176280929 828.962771105094</t>
  </si>
  <si>
    <t>9763-20170724T105111.446542100.bin</t>
  </si>
  <si>
    <t>-806.479777652431 92.23048308288 -528.950225164418</t>
  </si>
  <si>
    <t>-678.017712249171 151.049214113056 -270.824191241123</t>
  </si>
  <si>
    <t>-439.178948523639 168.835637333468 -244.546697924748</t>
  </si>
  <si>
    <t>-773.667010300955 44.9224284426734 -95.5337360052788</t>
  </si>
  <si>
    <t>-713.404050697806 115.129025828433 297.269029889549</t>
  </si>
  <si>
    <t>-743.309289692642 221.204977867082 731.474201547389</t>
  </si>
  <si>
    <t>-600.235362372381 201.122050561036 796.388309407373</t>
  </si>
  <si>
    <t>-706.373306730645 -87.079033233061 313.351263533395</t>
  </si>
  <si>
    <t>-683.787502926182 -33.9835241815865 757.328880425685</t>
  </si>
  <si>
    <t>-569.070815991892 -116.382128280026 829.007480536275</t>
  </si>
  <si>
    <t>9763-20170724T105111.512721000.bin</t>
  </si>
  <si>
    <t>-807.102188296043 90.9857356891355 -529.809438827286</t>
  </si>
  <si>
    <t>-676.912046169556 149.561789543787 -272.495264908373</t>
  </si>
  <si>
    <t>-438.797295803719 168.501435201275 -240.975877045602</t>
  </si>
  <si>
    <t>-773.986363871714 44.9773891293769 -95.756185094479</t>
  </si>
  <si>
    <t>-713.650556545189 115.165161168705 297.038874555205</t>
  </si>
  <si>
    <t>-743.335967514241 221.169804264885 731.234974793204</t>
  </si>
  <si>
    <t>-600.253958807411 201.036779573712 796.115812532716</t>
  </si>
  <si>
    <t>-706.484506204106 -86.9714366689977 313.288194068978</t>
  </si>
  <si>
    <t>-683.826491441403 -34.0599432316048 757.330794891257</t>
  </si>
  <si>
    <t>-568.854126252131 -116.11132126311 828.998106836694</t>
  </si>
  <si>
    <t>9763-20170724T105111.545814100.bin</t>
  </si>
  <si>
    <t>-807.559258699231 90.5330847180592 -529.977662937067</t>
  </si>
  <si>
    <t>-676.774652527157 149.237526796795 -272.994436558146</t>
  </si>
  <si>
    <t>-438.85283629674 168.942225398079 -240.50110395732</t>
  </si>
  <si>
    <t>-773.855092748399 44.9418009246906 -95.912263151609</t>
  </si>
  <si>
    <t>-713.799062039264 115.332024439626 296.889463016919</t>
  </si>
  <si>
    <t>-743.33376683515 221.212591537855 731.131351008241</t>
  </si>
  <si>
    <t>-600.231571259932 201.154754692994 795.990835786963</t>
  </si>
  <si>
    <t>-706.248607152435 -87.0178677135043 313.238932155622</t>
  </si>
  <si>
    <t>-683.826748261247 -34.0615271039208 757.312706265217</t>
  </si>
  <si>
    <t>-568.743741044753 -115.961142129273 828.97609930523</t>
  </si>
  <si>
    <t>9763-20170724T105111.609982000.bin</t>
  </si>
  <si>
    <t>-809.214561907847 90.036039517094 -530.025349024593</t>
  </si>
  <si>
    <t>-677.98313060008 148.565525186049 -273.230016526457</t>
  </si>
  <si>
    <t>-439.670324491409 167.886899444713 -243.489086915349</t>
  </si>
  <si>
    <t>-774.001845196725 45.0412833865037 -96.1564919658333</t>
  </si>
  <si>
    <t>-714.102007136253 115.672238665007 296.625815997349</t>
  </si>
  <si>
    <t>-743.320275738782 221.268780194036 730.959309552389</t>
  </si>
  <si>
    <t>-600.181040598306 201.405314610674 795.796917312739</t>
  </si>
  <si>
    <t>-705.721084794372 -86.9171597410088 313.148275270863</t>
  </si>
  <si>
    <t>-683.796050968745 -34.0036608666373 757.249466401878</t>
  </si>
  <si>
    <t>-568.856484420793 -116.086125225854 828.93376885399</t>
  </si>
  <si>
    <t>9763-20170724T105111.642671700.bin</t>
  </si>
  <si>
    <t>-810.244429928175 89.7147203526799 -530.021349830415</t>
  </si>
  <si>
    <t>-679.262211893074 147.602194841622 -272.953486359223</t>
  </si>
  <si>
    <t>-440.555046667884 167.267795763313 -246.818924263498</t>
  </si>
  <si>
    <t>-774.187014098924 44.9820538952642 -96.2187688585042</t>
  </si>
  <si>
    <t>-714.205565372719 115.739078185037 296.528347415348</t>
  </si>
  <si>
    <t>-743.303412589171 221.26733154254 730.893381120552</t>
  </si>
  <si>
    <t>-600.148464201537 201.529790231559 795.734818782426</t>
  </si>
  <si>
    <t>-705.518669092506 -86.9265960307951 313.090299909992</t>
  </si>
  <si>
    <t>-683.83478648375 -34.1189776708384 757.221822135206</t>
  </si>
  <si>
    <t>-568.734493720673 -115.983911559793 828.897194914376</t>
  </si>
  <si>
    <t>9763-20170724T105111.711858800.bin</t>
  </si>
  <si>
    <t>-812.001807660233 89.1927471133693 -529.75109941641</t>
  </si>
  <si>
    <t>-681.77632198141 144.545381612955 -271.74208831341</t>
  </si>
  <si>
    <t>-442.944252375815 167.132359084835 -249.382731246039</t>
  </si>
  <si>
    <t>-774.365598772065 44.7889314362144 -96.2878427809648</t>
  </si>
  <si>
    <t>-714.519075847001 115.785567239548 296.436695895754</t>
  </si>
  <si>
    <t>-743.3017290242 221.339477954668 730.837182787446</t>
  </si>
  <si>
    <t>-600.112739162572 201.764457684745 795.652505571661</t>
  </si>
  <si>
    <t>-705.068431846634 -86.9344814801648 312.977381621809</t>
  </si>
  <si>
    <t>-683.827622455869 -34.0873001712162 757.146955250706</t>
  </si>
  <si>
    <t>-568.7775069671 -116.023180597243 828.821737422677</t>
  </si>
  <si>
    <t>9763-20170724T105111.743944500.bin</t>
  </si>
  <si>
    <t>-812.587579192852 88.9957605742293 -529.494044572043</t>
  </si>
  <si>
    <t>-683.005642134025 143.124686384615 -270.902040081948</t>
  </si>
  <si>
    <t>-444.26757118023 166.892220539515 -248.762364323841</t>
  </si>
  <si>
    <t>-774.333813450059 44.5801905392389 -96.3131810911678</t>
  </si>
  <si>
    <t>-714.774007184882 115.824793936897 296.410007859995</t>
  </si>
  <si>
    <t>-743.316877460474 221.412706342603 730.833893183066</t>
  </si>
  <si>
    <t>-600.101942531908 201.906830212521 795.6123496062</t>
  </si>
  <si>
    <t>-704.7911381409 -87.1080125189449 312.951402133057</t>
  </si>
  <si>
    <t>-683.843221201175 -34.1344722375709 757.120061492581</t>
  </si>
  <si>
    <t>-568.624625588021 -115.843360358891 828.783455258914</t>
  </si>
  <si>
    <t>9763-20170724T105111.814134300.bin</t>
  </si>
  <si>
    <t>-812.902986068247 88.8565898010336 -528.905618923383</t>
  </si>
  <si>
    <t>-683.796170283067 141.037252398936 -269.676421478408</t>
  </si>
  <si>
    <t>-445.094008474897 168.158857014959 -251.330090103643</t>
  </si>
  <si>
    <t>-774.071335602655 44.2420886014788 -96.4139820010402</t>
  </si>
  <si>
    <t>-715.083493462827 115.819672978261 296.334992646494</t>
  </si>
  <si>
    <t>-743.312100396018 221.450097753676 730.792440217028</t>
  </si>
  <si>
    <t>-600.070753613991 202.104902160684 795.56130138549</t>
  </si>
  <si>
    <t>-704.227912632278 -87.2889688821388 312.919094909735</t>
  </si>
  <si>
    <t>-683.772831172105 -33.9268772452949 757.063218668313</t>
  </si>
  <si>
    <t>-568.652376341272 -115.7680832649 828.733470433172</t>
  </si>
  <si>
    <t>9763-20170724T105111.842745300.bin</t>
  </si>
  <si>
    <t>-813.037304223561 88.854015434674 -528.610804596701</t>
  </si>
  <si>
    <t>-683.639543657032 140.314556406126 -269.382746406972</t>
  </si>
  <si>
    <t>-444.90772531177 169.348366474291 -254.717189220934</t>
  </si>
  <si>
    <t>-774.029503322367 44.1182088618398 -96.436428144569</t>
  </si>
  <si>
    <t>-715.129824589498 115.768226858479 296.312575984341</t>
  </si>
  <si>
    <t>-743.300195303204 221.41584348848 730.782100867457</t>
  </si>
  <si>
    <t>-600.057929435732 202.141527022368 795.569699312479</t>
  </si>
  <si>
    <t>-704.094571351924 -87.3057925033495 312.91942812996</t>
  </si>
  <si>
    <t>-683.73805589559 -33.8078038850874 757.044121862162</t>
  </si>
  <si>
    <t>-568.827065345966 -115.932758476458 828.725809590473</t>
  </si>
  <si>
    <t>9763-20170724T105111.910931700.bin</t>
  </si>
  <si>
    <t>-813.428970597354 88.5623835137155 -528.14831453418</t>
  </si>
  <si>
    <t>-683.421014155537 139.320231450646 -269.086924755153</t>
  </si>
  <si>
    <t>-444.707153467847 170.976316659771 -261.057857595448</t>
  </si>
  <si>
    <t>-773.86803482471 43.4901326277472 -96.4024845673893</t>
  </si>
  <si>
    <t>-715.074913420181 115.422816286432 296.310842257956</t>
  </si>
  <si>
    <t>-743.26696715077 221.270374925882 730.751105000346</t>
  </si>
  <si>
    <t>-600.05284957783 202.046082399277 795.615817949921</t>
  </si>
  <si>
    <t>-704.172399675309 -87.7957583464927 312.959583563588</t>
  </si>
  <si>
    <t>-683.894022945117 -34.1822270443893 757.046730843216</t>
  </si>
  <si>
    <t>-568.425842968967 -115.557068506648 828.688411086746</t>
  </si>
  <si>
    <t>9763-20170724T105111.943521600.bin</t>
  </si>
  <si>
    <t>-813.640474766214 88.4062964812947 -528.016032096702</t>
  </si>
  <si>
    <t>-683.65062199608 139.567543497204 -269.024948171634</t>
  </si>
  <si>
    <t>-444.953264628903 171.928666702734 -263.813274584706</t>
  </si>
  <si>
    <t>-773.851900123618 43.2396931723567 -96.3599747735416</t>
  </si>
  <si>
    <t>-714.910155540761 115.202693283265 296.325548270499</t>
  </si>
  <si>
    <t>-743.254245241844 221.213103379613 730.728141628262</t>
  </si>
  <si>
    <t>-600.059953835329 201.969901232686 795.631087142387</t>
  </si>
  <si>
    <t>-704.287294989443 -87.9722891572187 312.993016025532</t>
  </si>
  <si>
    <t>-683.879385221414 -34.1113190773467 757.045534521087</t>
  </si>
  <si>
    <t>-568.446844332173 -115.533663038377 828.690662081507</t>
  </si>
  <si>
    <t>9763-20170724T105112.009195200.bin</t>
  </si>
  <si>
    <t>-813.811345609761 88.1343411814951 -527.843365098573</t>
  </si>
  <si>
    <t>-683.94104242123 139.96853326274 -268.926233373944</t>
  </si>
  <si>
    <t>-445.345103069248 173.472237442746 -268.331820858792</t>
  </si>
  <si>
    <t>-773.696785039968 42.6806319377363 -96.2683583198207</t>
  </si>
  <si>
    <t>-714.521475420465 114.752892926485 296.361923232319</t>
  </si>
  <si>
    <t>-743.208955230401 221.022564026222 730.638444524101</t>
  </si>
  <si>
    <t>-600.063100301149 201.789618355274 795.650916653359</t>
  </si>
  <si>
    <t>-704.396743001151 -88.1184401830392 313.061559949525</t>
  </si>
  <si>
    <t>-683.781654214908 -33.7468420551277 757.057383193208</t>
  </si>
  <si>
    <t>-568.723698886615 -115.687833827772 828.713578300479</t>
  </si>
  <si>
    <t>9763-20170724T105112.043790400.bin</t>
  </si>
  <si>
    <t>-813.883634980104 87.9459955543036 -527.750103479312</t>
  </si>
  <si>
    <t>-683.898079527928 139.830781062117 -268.900790805102</t>
  </si>
  <si>
    <t>-445.358408326282 173.724266618827 -269.876380225342</t>
  </si>
  <si>
    <t>-773.687041791723 42.4206276680216 -96.2529435458815</t>
  </si>
  <si>
    <t>-714.380319251828 114.571026346491 296.343164567058</t>
  </si>
  <si>
    <t>-743.169603582291 220.91947580666 730.595669600542</t>
  </si>
  <si>
    <t>-600.037028821389 201.723104804308 795.648284684535</t>
  </si>
  <si>
    <t>-704.500716974059 -88.3151482360934 313.097363715177</t>
  </si>
  <si>
    <t>-683.850170926631 -33.8854160978001 757.069849653614</t>
  </si>
  <si>
    <t>-568.669998707865 -115.667267065418 828.711524346737</t>
  </si>
  <si>
    <t>9763-20170724T105112.108974200.bin</t>
  </si>
  <si>
    <t>-813.675589551416 87.8953169926856 -527.71764886185</t>
  </si>
  <si>
    <t>-683.871475826027 139.657101262078 -268.752818005057</t>
  </si>
  <si>
    <t>-445.47031855935 174.415856712185 -271.501166893361</t>
  </si>
  <si>
    <t>-773.645081607546 42.4560959898126 -96.3833214533292</t>
  </si>
  <si>
    <t>-714.451308844218 114.662338569912 296.219585381979</t>
  </si>
  <si>
    <t>-743.106980044044 220.673317237278 730.563172303201</t>
  </si>
  <si>
    <t>-599.95434797202 201.78031446931 795.660661452042</t>
  </si>
  <si>
    <t>-704.603427126733 -88.4477901171317 313.115736863104</t>
  </si>
  <si>
    <t>-683.894813754078 -33.9221334722079 757.07991171397</t>
  </si>
  <si>
    <t>-568.583854228516 -115.536378460832 828.702619525396</t>
  </si>
  <si>
    <t>9763-20170724T105112.140059500.bin</t>
  </si>
  <si>
    <t>-813.635692290339 87.7574805200304 -527.684277520779</t>
  </si>
  <si>
    <t>-683.993089441052 139.388502294163 -268.612377220669</t>
  </si>
  <si>
    <t>-445.63048716503 174.363671248353 -271.915699060018</t>
  </si>
  <si>
    <t>-773.558791227929 42.3456548290192 -96.4282366637268</t>
  </si>
  <si>
    <t>-714.588827075093 114.701094369416 296.180925452041</t>
  </si>
  <si>
    <t>-743.095301834415 220.62303188107 730.558088936864</t>
  </si>
  <si>
    <t>-599.930894945441 201.836128729572 795.660499203172</t>
  </si>
  <si>
    <t>-704.644200630797 -88.504722103213 313.119040150476</t>
  </si>
  <si>
    <t>-683.932381535343 -34.0018388319659 757.079130594539</t>
  </si>
  <si>
    <t>-568.517267499175 -115.475176327991 828.694581581797</t>
  </si>
  <si>
    <t>9763-20170724T105112.210753700.bin</t>
  </si>
  <si>
    <t>-813.692599922384 87.6316819866306 -527.660402108747</t>
  </si>
  <si>
    <t>-685.040033856905 138.900389493889 -268.023715572683</t>
  </si>
  <si>
    <t>-446.73797025253 174.09822387544 -272.928365172988</t>
  </si>
  <si>
    <t>-773.493888470541 42.3662308807579 -96.5654671992393</t>
  </si>
  <si>
    <t>-714.949197354516 114.969976599566 296.061412533762</t>
  </si>
  <si>
    <t>-743.078205523829 220.715747096778 730.511594219993</t>
  </si>
  <si>
    <t>-599.919685551709 201.937346853184 795.629217987477</t>
  </si>
  <si>
    <t>-704.576189733344 -88.4628706808526 313.113198372339</t>
  </si>
  <si>
    <t>-683.923485026427 -33.9463656653245 757.062727403756</t>
  </si>
  <si>
    <t>-568.627057631261 -115.571740594257 828.696069384353</t>
  </si>
  <si>
    <t>9763-20170724T105112.241335800.bin</t>
  </si>
  <si>
    <t>-813.847490944885 87.6127632331193 -527.638155708555</t>
  </si>
  <si>
    <t>-685.787310398996 138.648882954205 -267.663041092594</t>
  </si>
  <si>
    <t>-447.485495502845 173.719702631265 -273.42082685509</t>
  </si>
  <si>
    <t>-773.433427884257 42.3994352014317 -96.6180570738823</t>
  </si>
  <si>
    <t>-715.103506914103 115.090738815865 296.024636268185</t>
  </si>
  <si>
    <t>-743.087034873358 220.753867837092 730.517631001131</t>
  </si>
  <si>
    <t>-599.912593806606 202.030780526491 795.616410772186</t>
  </si>
  <si>
    <t>-704.506377011374 -88.4070378411718 313.100293443575</t>
  </si>
  <si>
    <t>-683.899439741901 -33.8534726468065 757.051998428545</t>
  </si>
  <si>
    <t>-568.690493025894 -115.596664060717 828.69167617736</t>
  </si>
  <si>
    <t>9763-20170724T105112.311553900.bin</t>
  </si>
  <si>
    <t>-814.329252678972 87.6287562467455 -527.572473176747</t>
  </si>
  <si>
    <t>-687.249875303659 138.098148701341 -267.006034370339</t>
  </si>
  <si>
    <t>-449.027708024846 173.255635220542 -275.071643593549</t>
  </si>
  <si>
    <t>-773.506523806119 42.4832368368293 -96.6885359573171</t>
  </si>
  <si>
    <t>-715.431365805093 115.281028845579 295.972189209145</t>
  </si>
  <si>
    <t>-743.089177647358 220.682527079226 730.530703399556</t>
  </si>
  <si>
    <t>-599.890148706136 202.093361983812 795.613228192499</t>
  </si>
  <si>
    <t>-704.427218679589 -88.2957409645128 313.081065072462</t>
  </si>
  <si>
    <t>-683.871386898436 -33.7012485782707 757.039948288721</t>
  </si>
  <si>
    <t>-568.687320259779 -115.483680465193 828.674830755033</t>
  </si>
  <si>
    <t>9763-20170724T105112.343649100.bin</t>
  </si>
  <si>
    <t>-814.526646619833 87.5899633438148 -527.579779186367</t>
  </si>
  <si>
    <t>-688.030145179108 137.74814707565 -266.669659843226</t>
  </si>
  <si>
    <t>-449.869755608224 172.969894722254 -276.150514425909</t>
  </si>
  <si>
    <t>-773.55228349844 42.500620720014 -96.6965249660761</t>
  </si>
  <si>
    <t>-715.53785264609 115.311203911875 295.970836052306</t>
  </si>
  <si>
    <t>-743.086204945384 220.645204102816 730.549746200162</t>
  </si>
  <si>
    <t>-599.875732523913 202.125691291159 795.627356778773</t>
  </si>
  <si>
    <t>-704.429404164234 -88.2407536346568 313.06892495351</t>
  </si>
  <si>
    <t>-683.870332196761 -33.6736074755893 757.031501059894</t>
  </si>
  <si>
    <t>-568.63653779978 -115.390229586406 828.661605633643</t>
  </si>
  <si>
    <t>9763-20170724T105112.410830500.bin</t>
  </si>
  <si>
    <t>-814.908709100683 87.5861786042008 -527.621929009445</t>
  </si>
  <si>
    <t>-689.832797792957 137.233743554986 -265.930791454326</t>
  </si>
  <si>
    <t>-451.555103228872 171.352616298497 -276.444588748761</t>
  </si>
  <si>
    <t>-773.545136582748 42.5914806854491 -96.6958160791474</t>
  </si>
  <si>
    <t>-715.715486292356 115.453033865415 295.98928090914</t>
  </si>
  <si>
    <t>-743.11399914162 220.733413765013 730.597940466653</t>
  </si>
  <si>
    <t>-599.885827855929 202.207793455412 795.634784827081</t>
  </si>
  <si>
    <t>-704.305420896814 -88.0680603953392 313.036246068803</t>
  </si>
  <si>
    <t>-683.856375753055 -33.5746859214908 757.02016035744</t>
  </si>
  <si>
    <t>-568.727517192127 -115.436179653414 828.653396216495</t>
  </si>
  <si>
    <t>9763-20170724T105112.443772000.bin</t>
  </si>
  <si>
    <t>-814.972606087882 87.8220776161611 -527.59662035219</t>
  </si>
  <si>
    <t>-690.723467407939 137.177041692119 -265.45647796125</t>
  </si>
  <si>
    <t>-452.438986829963 171.066335873361 -276.541725107916</t>
  </si>
  <si>
    <t>-773.519396560595 42.7968757842016 -96.7371621830249</t>
  </si>
  <si>
    <t>-715.833522593103 115.652263215756 295.970214588251</t>
  </si>
  <si>
    <t>-743.142074984681 220.827716939575 730.625996290045</t>
  </si>
  <si>
    <t>-599.905320318213 202.260979369825 795.63211720394</t>
  </si>
  <si>
    <t>-704.159977753598 -87.9852054951518 313.014907148797</t>
  </si>
  <si>
    <t>-683.850876570971 -33.5602444314313 757.012109148791</t>
  </si>
  <si>
    <t>-568.709394065931 -115.401191322359 828.648623279436</t>
  </si>
  <si>
    <t>9763-20170724T105112.507942000.bin</t>
  </si>
  <si>
    <t>-814.951422369533 88.5036799734576 -527.386009938818</t>
  </si>
  <si>
    <t>-691.957029459011 137.059593277968 -264.505877768822</t>
  </si>
  <si>
    <t>-453.637863784396 170.453518831952 -276.324204934299</t>
  </si>
  <si>
    <t>-773.298787959983 43.1972629548302 -96.8300309039271</t>
  </si>
  <si>
    <t>-716.183092403802 115.989974607109 295.972230245383</t>
  </si>
  <si>
    <t>-743.201159272296 221.055207399488 730.670768855226</t>
  </si>
  <si>
    <t>-599.943375661675 202.408083887747 795.60763410783</t>
  </si>
  <si>
    <t>-703.825276086483 -87.8448644790008 312.964170000948</t>
  </si>
  <si>
    <t>-683.912946950287 -33.7098207760737 756.996586009173</t>
  </si>
  <si>
    <t>-568.615979447871 -115.328430973251 828.636784664339</t>
  </si>
  <si>
    <t>9763-20170724T105112.543588000.bin</t>
  </si>
  <si>
    <t>-814.920805115144 88.8078539339342 -527.283076122213</t>
  </si>
  <si>
    <t>-692.550613297645 137.025683795584 -264.049588108909</t>
  </si>
  <si>
    <t>-454.28413149558 170.602606345071 -276.400197053738</t>
  </si>
  <si>
    <t>-773.172112543418 43.3566005354144 -96.874207209159</t>
  </si>
  <si>
    <t>-716.425162358599 116.150659268414 295.981347896119</t>
  </si>
  <si>
    <t>-743.22905081056 221.177320457192 730.693290273193</t>
  </si>
  <si>
    <t>-599.966321684168 202.441781471049 795.593474615397</t>
  </si>
  <si>
    <t>-703.631803800477 -87.724983890387 312.934017705744</t>
  </si>
  <si>
    <t>-683.897424998142 -33.6654481329062 756.984483365166</t>
  </si>
  <si>
    <t>-568.534341435604 -115.189402992201 828.626250254926</t>
  </si>
  <si>
    <t>9763-20170724T105112.610774000.bin</t>
  </si>
  <si>
    <t>-815.085014319569 89.457155398921 -527.142539757996</t>
  </si>
  <si>
    <t>-693.943821185767 137.383652799939 -263.28828722176</t>
  </si>
  <si>
    <t>-455.787959063558 171.347663081376 -276.670191335721</t>
  </si>
  <si>
    <t>-773.087289546252 43.7177464640824 -96.9621674566262</t>
  </si>
  <si>
    <t>-716.782021500879 116.393733167123 295.978719882217</t>
  </si>
  <si>
    <t>-743.263562930803 221.308523618927 730.740623896477</t>
  </si>
  <si>
    <t>-600.000615491343 202.452064430786 795.605391473489</t>
  </si>
  <si>
    <t>-703.275911899467 -87.3911092748267 312.844704442293</t>
  </si>
  <si>
    <t>-683.799424204748 -33.3936753279847 756.938678775276</t>
  </si>
  <si>
    <t>-568.664620541172 -115.217135199338 828.606021944355</t>
  </si>
  <si>
    <t>9763-20170724T105112.642964700.bin</t>
  </si>
  <si>
    <t>-815.311394178388 89.7791944056548 -527.078346058749</t>
  </si>
  <si>
    <t>-694.78466791575 137.58381768183 -262.920829905451</t>
  </si>
  <si>
    <t>-456.682770778318 171.659877425456 -276.962995438483</t>
  </si>
  <si>
    <t>-773.18461476073 43.9080165432674 -96.9770347840242</t>
  </si>
  <si>
    <t>-716.890776919801 116.497035866104 295.981647665025</t>
  </si>
  <si>
    <t>-743.271094736564 221.342484178165 730.769366229759</t>
  </si>
  <si>
    <t>-600.006458681623 202.471277526262 795.626321227905</t>
  </si>
  <si>
    <t>-703.157980914276 -87.3006089419684 312.817970074895</t>
  </si>
  <si>
    <t>-683.809549479178 -33.3904313748956 756.930515249127</t>
  </si>
  <si>
    <t>-568.637130292129 -115.164771218702 828.593519829226</t>
  </si>
  <si>
    <t>9763-20170724T105112.709647500.bin</t>
  </si>
  <si>
    <t>-815.648735299158 90.4222007322519 -526.995018379372</t>
  </si>
  <si>
    <t>-696.349803573007 137.984142351036 -262.237027713286</t>
  </si>
  <si>
    <t>-458.318440117868 172.09031395442 -277.36218805062</t>
  </si>
  <si>
    <t>-773.145905039472 44.1986007613157 -96.9756456163391</t>
  </si>
  <si>
    <t>-717.153213890976 116.712318957944 296.039932943916</t>
  </si>
  <si>
    <t>-743.303193971033 221.400358267121 730.862864334518</t>
  </si>
  <si>
    <t>-600.03014397667 202.470977617644 795.684199500854</t>
  </si>
  <si>
    <t>-703.103961080621 -87.0832894594389 312.782370120404</t>
  </si>
  <si>
    <t>-683.792547501713 -33.3206222678778 756.907262894776</t>
  </si>
  <si>
    <t>-568.682407464499 -115.176379781684 828.577485776745</t>
  </si>
  <si>
    <t>9763-20170724T105112.745853500.bin</t>
  </si>
  <si>
    <t>-815.768320740712 90.8351714194089 -526.916249750126</t>
  </si>
  <si>
    <t>-696.991466490087 138.210970118445 -261.89025465715</t>
  </si>
  <si>
    <t>-458.995766580876 172.363532120187 -277.464683616348</t>
  </si>
  <si>
    <t>-773.246926639219 44.4153703095094 -96.9602410413293</t>
  </si>
  <si>
    <t>-717.245041104035 116.804564527152 296.076994228997</t>
  </si>
  <si>
    <t>-743.323479387501 221.436946447008 730.917844752323</t>
  </si>
  <si>
    <t>-600.046838403714 202.455876484247 795.716254238791</t>
  </si>
  <si>
    <t>-703.081037350344 -86.8830629243273 312.761164129699</t>
  </si>
  <si>
    <t>-683.735814410515 -33.1452097324564 756.897027405178</t>
  </si>
  <si>
    <t>-568.834762554928 -115.279969018874 828.583011113965</t>
  </si>
  <si>
    <t>9763-20170724T105112.810015100.bin</t>
  </si>
  <si>
    <t>-815.849136746466 91.5014924596242 -526.604568141457</t>
  </si>
  <si>
    <t>-697.807319992952 138.257907800782 -261.140435372432</t>
  </si>
  <si>
    <t>-459.895538352673 172.879354138953 -276.957966345711</t>
  </si>
  <si>
    <t>-773.365776378904 44.5306881629874 -96.8973850864762</t>
  </si>
  <si>
    <t>-717.333160140275 116.862597423415 296.146039524716</t>
  </si>
  <si>
    <t>-743.340822544354 221.451613828054 731.007116949024</t>
  </si>
  <si>
    <t>-600.064332557007 202.421558208172 795.791241097769</t>
  </si>
  <si>
    <t>-703.145836721246 -86.8918200974367 312.7550283906</t>
  </si>
  <si>
    <t>-683.814561119565 -33.3102630041731 756.900165799213</t>
  </si>
  <si>
    <t>-568.630622400914 -115.066179849602 828.565531094937</t>
  </si>
  <si>
    <t>9763-20170724T105112.840108100.bin</t>
  </si>
  <si>
    <t>-815.83348331493 91.8014246274347 -526.382125632607</t>
  </si>
  <si>
    <t>-698.060838319349 138.141793233069 -260.725544376181</t>
  </si>
  <si>
    <t>-460.220669966392 173.215037592298 -276.624177998688</t>
  </si>
  <si>
    <t>-773.355221978625 44.5175499223167 -96.8640166029744</t>
  </si>
  <si>
    <t>-717.35412628807 116.862381279537 296.181537950174</t>
  </si>
  <si>
    <t>-743.346465665252 221.430251030463 731.043688180517</t>
  </si>
  <si>
    <t>-600.066961838501 202.421489884918 795.827683534091</t>
  </si>
  <si>
    <t>-703.118486464342 -86.904837131372 312.760866080756</t>
  </si>
  <si>
    <t>-683.828397447402 -33.3357184823085 756.901339426108</t>
  </si>
  <si>
    <t>-568.553890976006 -114.967185323321 828.562899766014</t>
  </si>
  <si>
    <t>9763-20170724T105112.911294800.bin</t>
  </si>
  <si>
    <t>-815.823224463569 92.393723881233 -525.730078668553</t>
  </si>
  <si>
    <t>-698.31842856804 137.564946991006 -259.753724745356</t>
  </si>
  <si>
    <t>-460.628508011392 173.655615641154 -275.622462539954</t>
  </si>
  <si>
    <t>-773.239109284357 44.2879845476234 -96.7603262221755</t>
  </si>
  <si>
    <t>-717.313825937301 116.760965789919 296.272408683705</t>
  </si>
  <si>
    <t>-743.361553343243 221.368683828582 731.122852865554</t>
  </si>
  <si>
    <t>-600.070459162616 202.433258499063 795.902518582213</t>
  </si>
  <si>
    <t>-702.945113128518 -86.9537270619428 312.763393457729</t>
  </si>
  <si>
    <t>-683.802522985467 -33.2467635254093 756.88362489136</t>
  </si>
  <si>
    <t>-568.60841296198 -114.977709717536 828.561220752891</t>
  </si>
  <si>
    <t>9763-20170724T105112.944402100.bin</t>
  </si>
  <si>
    <t>-815.941297115954 92.6589903036606 -525.366618266153</t>
  </si>
  <si>
    <t>-698.427860812608 137.202209824256 -259.288242321689</t>
  </si>
  <si>
    <t>-460.881126123621 174.135230383847 -275.363020942691</t>
  </si>
  <si>
    <t>-773.23680942846 44.1531946824355 -96.722355527085</t>
  </si>
  <si>
    <t>-717.271833141144 116.654285852961 296.299509140225</t>
  </si>
  <si>
    <t>-743.362534569093 221.319414317397 731.148159617817</t>
  </si>
  <si>
    <t>-600.067032702505 202.441050453392 795.934571368877</t>
  </si>
  <si>
    <t>-702.856532567909 -87.0329995211382 312.774879198911</t>
  </si>
  <si>
    <t>-683.786626562411 -33.1953218719066 756.879889273396</t>
  </si>
  <si>
    <t>-568.614214942366 -114.951920207477 828.562886261971</t>
  </si>
  <si>
    <t>9763-20170724T105113.008095700.bin</t>
  </si>
  <si>
    <t>-816.3182062714 92.9827431211706 -524.609082250777</t>
  </si>
  <si>
    <t>-698.633341964042 136.159912404912 -258.381289147415</t>
  </si>
  <si>
    <t>-461.374985814645 174.77476594653 -274.758412715476</t>
  </si>
  <si>
    <t>-773.143944374829 43.7009614208664 -96.6243296646171</t>
  </si>
  <si>
    <t>-717.187399829597 116.406716276772 296.36088296343</t>
  </si>
  <si>
    <t>-743.340596024647 221.123021750822 731.177990540095</t>
  </si>
  <si>
    <t>-600.051707614348 202.401152133043 796.024503759104</t>
  </si>
  <si>
    <t>-702.694920456793 -87.2604246236065 312.802458052127</t>
  </si>
  <si>
    <t>-683.801351768192 -33.2090071606908 756.87743136908</t>
  </si>
  <si>
    <t>-568.504927398865 -114.794453915191 828.556156924981</t>
  </si>
  <si>
    <t>9763-20170724T105113.042237900.bin</t>
  </si>
  <si>
    <t>-816.492274671159 93.1039566128597 -524.208503648049</t>
  </si>
  <si>
    <t>-698.760455788177 135.696338195011 -257.907351259791</t>
  </si>
  <si>
    <t>-461.649825591817 175.109454579279 -274.521047802335</t>
  </si>
  <si>
    <t>-773.150770229091 43.3489780710404 -96.5825095491697</t>
  </si>
  <si>
    <t>-717.113855855563 116.074954595068 296.387549529844</t>
  </si>
  <si>
    <t>-743.287336233175 220.788528190608 731.174490198821</t>
  </si>
  <si>
    <t>-600.008365093915 202.264507577151 796.099771208274</t>
  </si>
  <si>
    <t>-702.645142081214 -87.3981286949002 312.814587912168</t>
  </si>
  <si>
    <t>-683.791780489363 -33.1559345915227 756.874182405986</t>
  </si>
  <si>
    <t>-568.587353194704 -114.867003520076 828.55794074353</t>
  </si>
  <si>
    <t>9763-20170724T105113.110943200.bin</t>
  </si>
  <si>
    <t>-816.942156136083 93.4225514533205 -523.326843809655</t>
  </si>
  <si>
    <t>-699.080000035815 134.542126723231 -256.851950224773</t>
  </si>
  <si>
    <t>-462.249773641164 175.507222036022 -273.708652652074</t>
  </si>
  <si>
    <t>-773.156979313577 42.4961028727446 -96.4777168383511</t>
  </si>
  <si>
    <t>-716.879243124405 115.332584051134 296.437427721376</t>
  </si>
  <si>
    <t>-743.164853472041 220.208423876811 731.177461102016</t>
  </si>
  <si>
    <t>-599.929242262027 201.971439126725 796.279540507089</t>
  </si>
  <si>
    <t>-702.642834019293 -87.8009101000753 312.850181360761</t>
  </si>
  <si>
    <t>-683.825865009237 -33.1575397345632 756.891853590907</t>
  </si>
  <si>
    <t>-568.516980147516 -114.744978896398 828.548453684478</t>
  </si>
  <si>
    <t>9763-20170724T105113.142526100.bin</t>
  </si>
  <si>
    <t>-817.059358540327 93.7680036213928 -522.941179457402</t>
  </si>
  <si>
    <t>-699.248978700428 134.204008171467 -256.338803618179</t>
  </si>
  <si>
    <t>-462.556561817723 175.891083499788 -273.359209496043</t>
  </si>
  <si>
    <t>-773.137801093337 42.2442149024937 -96.4541550202215</t>
  </si>
  <si>
    <t>-716.789063991438 115.094929387326 296.448203360698</t>
  </si>
  <si>
    <t>-743.090024760117 220.013219594076 731.150051564425</t>
  </si>
  <si>
    <t>-599.908425927683 201.807051617029 796.379051493595</t>
  </si>
  <si>
    <t>-702.597208716161 -87.8825106212082 312.865485249716</t>
  </si>
  <si>
    <t>-683.768561777709 -32.9714534559209 756.892318641227</t>
  </si>
  <si>
    <t>-568.73643810306 -114.941264229572 828.557490866163</t>
  </si>
  <si>
    <t>9763-20170724T105113.208204900.bin</t>
  </si>
  <si>
    <t>-816.807772676573 94.6734606259979 -522.420548943284</t>
  </si>
  <si>
    <t>-699.414896554339 133.944889103215 -255.460049408352</t>
  </si>
  <si>
    <t>-462.990310851445 177.042897793443 -272.687957067762</t>
  </si>
  <si>
    <t>-772.939817960194 42.2777106203507 -96.5860878942399</t>
  </si>
  <si>
    <t>-716.6363191227 114.937641124444 296.358002308435</t>
  </si>
  <si>
    <t>-742.907050392524 219.854886888075 731.056490637337</t>
  </si>
  <si>
    <t>-599.907704756753 201.447337931835 796.628302219475</t>
  </si>
  <si>
    <t>-702.477924853111 -88.0089744175991 312.862144084665</t>
  </si>
  <si>
    <t>-683.820665434715 -33.0395616342037 756.902934268267</t>
  </si>
  <si>
    <t>-568.593866614323 -114.770345131921 828.528155661405</t>
  </si>
  <si>
    <t>9763-20170724T105113.245805900.bin</t>
  </si>
  <si>
    <t>-816.333592999413 95.6887411938933 -522.264580624219</t>
  </si>
  <si>
    <t>-699.428012350364 134.285620525082 -254.992013501701</t>
  </si>
  <si>
    <t>-463.152304168464 177.992211620142 -272.7220881025</t>
  </si>
  <si>
    <t>-772.876071439132 42.8279600177771 -96.7112835667155</t>
  </si>
  <si>
    <t>-716.727301291029 115.282846985461 296.292946536879</t>
  </si>
  <si>
    <t>-742.843090505228 219.692392116032 731.132875264352</t>
  </si>
  <si>
    <t>-599.875810356833 201.304151862081 796.77974043373</t>
  </si>
  <si>
    <t>-702.326980926475 -87.7504893761161 312.821052789483</t>
  </si>
  <si>
    <t>-683.7485609563 -32.8141218283254 756.884770239697</t>
  </si>
  <si>
    <t>-568.765949544039 -114.878068024324 828.521245139434</t>
  </si>
  <si>
    <t>9763-20170724T105113.312001700.bin</t>
  </si>
  <si>
    <t>-814.98047044661 98.579142278141 -521.736573543532</t>
  </si>
  <si>
    <t>-699.072234775162 134.878746555433 -253.708898381321</t>
  </si>
  <si>
    <t>-463.020337249623 179.143380965681 -272.970207320981</t>
  </si>
  <si>
    <t>-772.226182018076 44.1819175991498 -97.0330337897152</t>
  </si>
  <si>
    <t>-716.890555777904 116.187315727206 296.169051555767</t>
  </si>
  <si>
    <t>-742.797090665957 219.135202365847 731.378014707449</t>
  </si>
  <si>
    <t>-599.759677074743 201.286213810309 797.021089761852</t>
  </si>
  <si>
    <t>-701.820929550716 -87.1271353309223 312.720953014508</t>
  </si>
  <si>
    <t>-683.748894991757 -32.7662494834676 756.883811786534</t>
  </si>
  <si>
    <t>-568.674675003929 -114.713991446204 828.50622689703</t>
  </si>
  <si>
    <t>9763-20170724T105113.347101200.bin</t>
  </si>
  <si>
    <t>-814.133798193347 100.225782681322 -521.369070129242</t>
  </si>
  <si>
    <t>-698.765449443776 135.208187688922 -252.933727435665</t>
  </si>
  <si>
    <t>-462.769376650291 179.469814322703 -272.872828262676</t>
  </si>
  <si>
    <t>-771.617822377235 44.8707642299764 -97.18864592516</t>
  </si>
  <si>
    <t>-717.083292219389 116.736862681821 296.150763381019</t>
  </si>
  <si>
    <t>-742.807172467999 219.007061765319 731.486494618893</t>
  </si>
  <si>
    <t>-599.73442668585 201.300858978178 797.091398452837</t>
  </si>
  <si>
    <t>-701.256204485225 -86.7013344380828 312.666572421075</t>
  </si>
  <si>
    <t>-683.658385552445 -32.5331611144704 756.871736432818</t>
  </si>
  <si>
    <t>-568.968121887237 -114.985244616252 828.531126412957</t>
  </si>
  <si>
    <t>9763-20170724T105113.410270100.bin</t>
  </si>
  <si>
    <t>-812.687213927738 103.707409247321 -520.613788727469</t>
  </si>
  <si>
    <t>-699.029940626893 135.76355322369 -251.085410243036</t>
  </si>
  <si>
    <t>-463.224044691118 180.534742221055 -272.109531537755</t>
  </si>
  <si>
    <t>-770.38375490113 46.3953975038419 -97.4583677614698</t>
  </si>
  <si>
    <t>-717.44986512396 117.679510278883 296.205499525291</t>
  </si>
  <si>
    <t>-742.940976557129 219.027059176472 731.787162103099</t>
  </si>
  <si>
    <t>-599.794969501552 201.318823777595 797.231235572175</t>
  </si>
  <si>
    <t>-700.127965358754 -86.1172819990197 312.558092689952</t>
  </si>
  <si>
    <t>-683.681146967443 -32.673170626028 756.861165793986</t>
  </si>
  <si>
    <t>-568.872099142494 -114.937767864801 828.546226022075</t>
  </si>
  <si>
    <t>9763-20170724T105113.441873100.bin</t>
  </si>
  <si>
    <t>-812.440396898729 105.645746002831 -520.190659879579</t>
  </si>
  <si>
    <t>-699.712440269565 136.237466149584 -250.102279784572</t>
  </si>
  <si>
    <t>-464.020229722525 181.388644739808 -271.583408758996</t>
  </si>
  <si>
    <t>-769.92634399308 47.3676836879031 -97.6014517444152</t>
  </si>
  <si>
    <t>-717.72926016441 118.281602893922 296.227626998146</t>
  </si>
  <si>
    <t>-743.032024580426 219.102886472194 731.933513834518</t>
  </si>
  <si>
    <t>-599.847007200681 201.364929904955 797.284275336387</t>
  </si>
  <si>
    <t>-699.446201322726 -85.640705192641 312.475229582981</t>
  </si>
  <si>
    <t>-683.609466821295 -32.5078262152222 756.847423637977</t>
  </si>
  <si>
    <t>-568.942931862081 -114.954062562256 828.551723868283</t>
  </si>
  <si>
    <t>9763-20170724T105113.520087500.bin</t>
  </si>
  <si>
    <t>-811.898759949043 109.860046939056 -519.479679623395</t>
  </si>
  <si>
    <t>-701.319377013822 137.701460384879 -248.208098506548</t>
  </si>
  <si>
    <t>-465.866174021201 183.320668198681 -271.263795656854</t>
  </si>
  <si>
    <t>-769.221078584219 49.8570377003916 -98.0272017092129</t>
  </si>
  <si>
    <t>-718.678539241256 119.806368134851 296.19003555058</t>
  </si>
  <si>
    <t>-743.133426563546 219.243659241938 732.197172893457</t>
  </si>
  <si>
    <t>-599.901382873761 201.466007854306 797.433956283494</t>
  </si>
  <si>
    <t>-698.056153266803 -84.4507088281714 312.228019971583</t>
  </si>
  <si>
    <t>-683.521155811838 -32.3521237156788 756.789961427272</t>
  </si>
  <si>
    <t>-569.061460369365 -115.056098190435 828.528013535862</t>
  </si>
  <si>
    <t>9763-20170724T105113.541642300.bin</t>
  </si>
  <si>
    <t>-811.573271793121 112.300274702499 -519.119324839872</t>
  </si>
  <si>
    <t>-702.186170890761 139.004309610601 -247.250616087223</t>
  </si>
  <si>
    <t>-466.822242226027 184.410091332662 -271.603122709152</t>
  </si>
  <si>
    <t>-769.06586209102 51.3225247695525 -98.226809004032</t>
  </si>
  <si>
    <t>-719.23873906154 120.709855165937 296.180712064328</t>
  </si>
  <si>
    <t>-743.153649702966 219.271784107974 732.371240010967</t>
  </si>
  <si>
    <t>-599.880499400271 201.575117233017 797.539880736258</t>
  </si>
  <si>
    <t>-697.320275848525 -83.6585899085787 312.062865140029</t>
  </si>
  <si>
    <t>-683.419921378139 -32.1181555695575 756.742492572644</t>
  </si>
  <si>
    <t>-569.124725503233 -115.036414322032 828.495454653032</t>
  </si>
  <si>
    <t>9763-20170724T105113.610825100.bin</t>
  </si>
  <si>
    <t>-810.932877603366 117.148265804153 -518.37741526892</t>
  </si>
  <si>
    <t>-703.292378333439 141.622595324375 -245.603220522228</t>
  </si>
  <si>
    <t>-467.912805207957 185.452936578814 -272.551673065565</t>
  </si>
  <si>
    <t>-768.532247439911 54.0862081706921 -98.5572847511147</t>
  </si>
  <si>
    <t>-720.291130788971 122.382381969903 296.237745750234</t>
  </si>
  <si>
    <t>-743.200950345331 219.396735267143 732.807968842507</t>
  </si>
  <si>
    <t>-599.817952399689 201.954070683148 797.802927890782</t>
  </si>
  <si>
    <t>-695.677348303986 -82.1794959082538 311.69926777784</t>
  </si>
  <si>
    <t>-683.332430897832 -31.9653363172715 756.627169732416</t>
  </si>
  <si>
    <t>-569.197393090173 -115.083338690085 828.403958334167</t>
  </si>
  <si>
    <t>9763-20170724T105113.643921400.bin</t>
  </si>
  <si>
    <t>-810.723397497728 119.679600202199 -518.033069439675</t>
  </si>
  <si>
    <t>-703.96907591432 143.290615695164 -244.834914599128</t>
  </si>
  <si>
    <t>-468.548719604854 186.07739777472 -273.072764084495</t>
  </si>
  <si>
    <t>-768.418249351931 55.6355297484417 -98.7114971516578</t>
  </si>
  <si>
    <t>-721.016874222757 123.201950963618 296.310785899722</t>
  </si>
  <si>
    <t>-743.227799738827 219.473217427923 733.076899927072</t>
  </si>
  <si>
    <t>-599.798447430158 202.100395647861 797.988398654387</t>
  </si>
  <si>
    <t>-694.814657102774 -81.4581570603561 311.516992279257</t>
  </si>
  <si>
    <t>-683.326092785038 -31.9820138113373 756.575756766784</t>
  </si>
  <si>
    <t>-568.975227331252 -114.815404024917 828.337792351481</t>
  </si>
  <si>
    <t>9763-20170724T105113.711103800.bin</t>
  </si>
  <si>
    <t>-810.266439683544 125.387540474717 -517.235977962012</t>
  </si>
  <si>
    <t>-705.223601757215 146.999772760028 -243.210310991037</t>
  </si>
  <si>
    <t>-469.777778458153 187.339843024712 -274.654734375762</t>
  </si>
  <si>
    <t>-768.229137408409 59.2101793839711 -99.0041590229342</t>
  </si>
  <si>
    <t>-722.814516309061 125.322510875505 296.497223478392</t>
  </si>
  <si>
    <t>-743.273062749513 219.736675832791 733.703512702594</t>
  </si>
  <si>
    <t>-599.775026547629 202.401467068268 798.472987066981</t>
  </si>
  <si>
    <t>-692.718371052454 -79.6949306259723 311.105814371834</t>
  </si>
  <si>
    <t>-683.165931628834 -31.7037184112271 756.420193124748</t>
  </si>
  <si>
    <t>-568.919414701079 -114.651983032288 828.215656461523</t>
  </si>
  <si>
    <t>9763-20170724T105113.741712400.bin</t>
  </si>
  <si>
    <t>-810.042307616496 128.360947250112 -516.773301861201</t>
  </si>
  <si>
    <t>-705.842165937511 149.003958556085 -242.351443476782</t>
  </si>
  <si>
    <t>-470.400262085907 188.010115843605 -275.464783147709</t>
  </si>
  <si>
    <t>-768.128505844159 61.1197814556324 -99.1031654032009</t>
  </si>
  <si>
    <t>-723.855423194474 126.391599338011 296.667187312179</t>
  </si>
  <si>
    <t>-743.321139425027 219.960228971948 734.099611219677</t>
  </si>
  <si>
    <t>-599.787508565858 202.515455586303 798.761065123204</t>
  </si>
  <si>
    <t>-691.655721553868 -78.7215472917947 310.880892122589</t>
  </si>
  <si>
    <t>-683.082681928275 -31.5662859255242 756.331945585907</t>
  </si>
  <si>
    <t>-568.835741394889 -114.494572892132 828.149918479877</t>
  </si>
  <si>
    <t>9763-20170724T105113.811400100.bin</t>
  </si>
  <si>
    <t>-750.270061332635 0.713808452080002 -686.83785361139</t>
  </si>
  <si>
    <t>-776.834387968161 4.91983344908112 -550.177038524682</t>
  </si>
  <si>
    <t>-809.69571049019 133.940069015217 -515.940741153414</t>
  </si>
  <si>
    <t>-707.030784669813 152.976838636814 -240.824773133331</t>
  </si>
  <si>
    <t>-471.563260349784 189.58916187324 -276.397623330908</t>
  </si>
  <si>
    <t>-768.067748702893 65.2770254639729 -99.2736090019743</t>
  </si>
  <si>
    <t>-726.146572531355 128.735783551708 297.047337840832</t>
  </si>
  <si>
    <t>-743.448835538205 220.451095993071 735.004920802469</t>
  </si>
  <si>
    <t>-599.843355128244 202.61510284714 799.399247757812</t>
  </si>
  <si>
    <t>-689.468498651537 -76.7845883689567 310.478423375658</t>
  </si>
  <si>
    <t>-682.982895889439 -31.4976404963602 756.147314178049</t>
  </si>
  <si>
    <t>-568.636576021538 -114.244363000402 828.016739256769</t>
  </si>
  <si>
    <t>9763-20170724T105113.842485800.bin</t>
  </si>
  <si>
    <t>-748.860115301766 4.38726546309226 -686.917662132242</t>
  </si>
  <si>
    <t>-775.825680538303 8.11246549190855 -550.318937028766</t>
  </si>
  <si>
    <t>-809.16868172165 136.90252922209 -515.703298443069</t>
  </si>
  <si>
    <t>-707.34218378527 155.445156298759 -240.242350383977</t>
  </si>
  <si>
    <t>-471.877359619758 191.557193410433 -276.340245880255</t>
  </si>
  <si>
    <t>-767.960256144393 67.5239755081059 -99.3714382192393</t>
  </si>
  <si>
    <t>-727.131454679304 130.079889125329 297.206980811196</t>
  </si>
  <si>
    <t>-743.514565627794 220.674385211343 735.455516871274</t>
  </si>
  <si>
    <t>-599.856104225216 202.715904210534 799.697588111297</t>
  </si>
  <si>
    <t>-688.442554112699 -75.6294381748519 310.306060967055</t>
  </si>
  <si>
    <t>-682.865762943516 -31.2932296460242 756.065502807716</t>
  </si>
  <si>
    <t>-568.564768756599 -114.073867931917 827.968144561886</t>
  </si>
  <si>
    <t>9763-20170724T105113.910172100.bin</t>
  </si>
  <si>
    <t>-745.881888121101 10.6178764758497 -687.173220831949</t>
  </si>
  <si>
    <t>-773.574335281824 13.7753421414361 -550.696760515303</t>
  </si>
  <si>
    <t>-807.781529794284 142.236559451529 -515.684661847165</t>
  </si>
  <si>
    <t>-707.877962906882 159.858788958918 -239.460345963313</t>
  </si>
  <si>
    <t>-472.342220564909 195.237497280009 -275.821879109595</t>
  </si>
  <si>
    <t>-767.028531754862 71.8846435369999 -99.6103316059242</t>
  </si>
  <si>
    <t>-728.639810392897 132.985981099326 297.438175218044</t>
  </si>
  <si>
    <t>-743.632633096197 221.19072140289 736.252700097654</t>
  </si>
  <si>
    <t>-599.911779997193 202.869300846769 800.252610351522</t>
  </si>
  <si>
    <t>-686.036536694523 -73.3465780356369 309.936314158281</t>
  </si>
  <si>
    <t>-682.712671417301 -31.1817054900973 755.90286405708</t>
  </si>
  <si>
    <t>-568.173625919814 -113.563576967381 827.884392225633</t>
  </si>
  <si>
    <t>9763-20170724T105113.943324500.bin</t>
  </si>
  <si>
    <t>-744.229225964472 13.3369068279453 -687.357703968698</t>
  </si>
  <si>
    <t>-772.315534003452 16.3786123112916 -550.967409569583</t>
  </si>
  <si>
    <t>-806.812869736451 144.751779445578 -515.924207250239</t>
  </si>
  <si>
    <t>-708.125288901554 162.142920230107 -239.248318226221</t>
  </si>
  <si>
    <t>-472.400794527643 196.742279668234 -275.132888444246</t>
  </si>
  <si>
    <t>-766.394767416496 74.250807297341 -99.777905163449</t>
  </si>
  <si>
    <t>-729.131673923775 134.507038364218 297.50705548771</t>
  </si>
  <si>
    <t>-743.675752060115 221.491523380863 736.598111464127</t>
  </si>
  <si>
    <t>-599.953640247864 202.887536013573 800.513304854342</t>
  </si>
  <si>
    <t>-684.606759770154 -72.0668997351102 309.725296954997</t>
  </si>
  <si>
    <t>-682.541849076183 -30.9305400670285 755.789834325119</t>
  </si>
  <si>
    <t>-568.269895167163 -113.605531665175 827.859582839757</t>
  </si>
  <si>
    <t>9763-20170724T105114.007494800.bin</t>
  </si>
  <si>
    <t>-761.238664644941 1.03950367574157 -608.964613591124</t>
  </si>
  <si>
    <t>-741.149227838834 18.0473896400458 -687.78216329422</t>
  </si>
  <si>
    <t>-769.934020238544 21.0967966664484 -551.558985826232</t>
  </si>
  <si>
    <t>-804.883941753384 149.39849161186 -516.756759575978</t>
  </si>
  <si>
    <t>-709.241564573432 167.073331235929 -239.031430789641</t>
  </si>
  <si>
    <t>-472.941829980071 198.430621773171 -274.102486614888</t>
  </si>
  <si>
    <t>-765.312237453657 79.2484786555265 -100.211787969746</t>
  </si>
  <si>
    <t>-729.234141623852 137.738337761271 297.446292372624</t>
  </si>
  <si>
    <t>-743.693174221407 221.911846471769 737.180312393749</t>
  </si>
  <si>
    <t>-600.013076996633 202.834004476258 801.050337665321</t>
  </si>
  <si>
    <t>-681.867363701672 -69.4600999104555 309.352487443503</t>
  </si>
  <si>
    <t>-682.218045010252 -30.4749847315229 755.591366192468</t>
  </si>
  <si>
    <t>-568.276079094237 -113.471429427579 827.813778966065</t>
  </si>
  <si>
    <t>9763-20170724T105114.043181100.bin</t>
  </si>
  <si>
    <t>-760.111742776677 3.22057348106796 -609.226334486079</t>
  </si>
  <si>
    <t>-739.759895409353 20.1749377894387 -687.987968318134</t>
  </si>
  <si>
    <t>-768.891504201818 23.3212784625646 -551.848751538582</t>
  </si>
  <si>
    <t>-803.979212240475 151.641816375728 -517.227886045564</t>
  </si>
  <si>
    <t>-709.841508715362 169.387290695882 -238.993525233677</t>
  </si>
  <si>
    <t>-473.34450750022 199.122882955076 -274.147346005583</t>
  </si>
  <si>
    <t>-764.779275844906 81.7109255060586 -100.423396741461</t>
  </si>
  <si>
    <t>-728.992111350252 139.395524987197 297.378563739324</t>
  </si>
  <si>
    <t>-743.680243534576 222.005770034867 737.421433638992</t>
  </si>
  <si>
    <t>-600.009736469686 202.882844117582 801.299431304546</t>
  </si>
  <si>
    <t>-680.612239588214 -68.1773448856175 309.185862816759</t>
  </si>
  <si>
    <t>-682.007948668036 -30.0960628403632 755.487506693069</t>
  </si>
  <si>
    <t>-568.350120222471 -113.411107724659 827.791280142748</t>
  </si>
  <si>
    <t>9763-20170724T105114.109357100.bin</t>
  </si>
  <si>
    <t>-758.386755999275 7.17717155107266 -609.640756973768</t>
  </si>
  <si>
    <t>-737.504577894458 24.0230687451372 -688.286562665786</t>
  </si>
  <si>
    <t>-767.281751367512 27.3296908101477 -552.299021613654</t>
  </si>
  <si>
    <t>-802.280439862738 155.745621022087 -517.941397666086</t>
  </si>
  <si>
    <t>-710.215086399862 172.545356931922 -238.955912144311</t>
  </si>
  <si>
    <t>-473.582741288933 199.965848202316 -275.068994534114</t>
  </si>
  <si>
    <t>-763.92989440327 85.8975457117203 -100.730488654447</t>
  </si>
  <si>
    <t>-728.633583005502 142.00456012265 297.340952811437</t>
  </si>
  <si>
    <t>-743.701487631407 222.259665677754 737.853531446664</t>
  </si>
  <si>
    <t>-600.080879568682 202.771146814626 801.7331409592</t>
  </si>
  <si>
    <t>-678.657213409909 -65.8222130884828 308.893827923872</t>
  </si>
  <si>
    <t>-681.754480705126 -29.7610205415931 755.317629778639</t>
  </si>
  <si>
    <t>-568.337634912538 -113.290983127288 827.75160829172</t>
  </si>
  <si>
    <t>9763-20170724T105114.140441800.bin</t>
  </si>
  <si>
    <t>-757.953715002593 8.88865421315563 -609.806288618568</t>
  </si>
  <si>
    <t>-736.816322631488 25.6959763598475 -688.392259884609</t>
  </si>
  <si>
    <t>-766.865132398151 29.0438261557929 -552.468198349365</t>
  </si>
  <si>
    <t>-801.740265119265 157.52695080041 -518.208901067433</t>
  </si>
  <si>
    <t>-710.487421146586 174.080633134431 -238.94172307304</t>
  </si>
  <si>
    <t>-473.867874381995 200.453026722539 -275.908354042958</t>
  </si>
  <si>
    <t>-763.869005590202 87.6882237037819 -100.884460987331</t>
  </si>
  <si>
    <t>-728.703726485062 142.974409175877 297.313435313377</t>
  </si>
  <si>
    <t>-743.715321326934 222.33147223338 738.050195351304</t>
  </si>
  <si>
    <t>-600.124727899416 202.645130098367 801.93684367321</t>
  </si>
  <si>
    <t>-678.092536287688 -64.7979634735575 308.769186033946</t>
  </si>
  <si>
    <t>-681.654741675742 -29.5762793389231 755.264374226176</t>
  </si>
  <si>
    <t>-568.430164604122 -113.325284005311 827.746240374162</t>
  </si>
  <si>
    <t>9763-20170724T105114.217654000.bin</t>
  </si>
  <si>
    <t>-727.359831423867 0.0321027290640359 -96.3683078794558</t>
  </si>
  <si>
    <t>-757.263484594297 12.1559207421733 -610.038702745217</t>
  </si>
  <si>
    <t>-735.643196736479 28.9041774920329 -688.505828566541</t>
  </si>
  <si>
    <t>-766.228713471898 32.3286147018812 -552.715043471171</t>
  </si>
  <si>
    <t>-800.908235141271 160.901354451119 -518.559948149667</t>
  </si>
  <si>
    <t>-711.401119201208 176.60751778795 -238.679470057889</t>
  </si>
  <si>
    <t>-474.906477344341 201.105744256773 -277.679539289165</t>
  </si>
  <si>
    <t>-763.802454358816 90.5227823839507 -100.981336875004</t>
  </si>
  <si>
    <t>-729.149977522302 144.651012201187 297.420543227922</t>
  </si>
  <si>
    <t>-743.776106705524 222.408140292326 738.445428848229</t>
  </si>
  <si>
    <t>-600.208207383425 202.454892663384 802.300097031589</t>
  </si>
  <si>
    <t>-677.263304552732 -63.3213109657065 308.612282043424</t>
  </si>
  <si>
    <t>-681.503141558356 -29.2565706732137 755.207355657865</t>
  </si>
  <si>
    <t>-568.446235386572 -113.18405680489 827.744213345826</t>
  </si>
  <si>
    <t>9763-20170724T105114.243730100.bin</t>
  </si>
  <si>
    <t>-727.502755131381 1.30030478173899 -96.411867468163</t>
  </si>
  <si>
    <t>-756.768463862595 13.6134195505615 -610.114917360381</t>
  </si>
  <si>
    <t>-734.904755352766 30.3402037147507 -688.519159637456</t>
  </si>
  <si>
    <t>-765.792659791369 33.7862549717247 -552.800563932528</t>
  </si>
  <si>
    <t>-800.38554248857 162.382027965689 -518.695609305418</t>
  </si>
  <si>
    <t>-711.835363965307 177.759474989231 -238.492774272622</t>
  </si>
  <si>
    <t>-475.386247830868 201.472430882539 -278.246711082448</t>
  </si>
  <si>
    <t>-763.81848252521 91.7071480315847 -101.021419181282</t>
  </si>
  <si>
    <t>-729.51753448063 145.323268319042 297.480081892744</t>
  </si>
  <si>
    <t>-743.8052133055 222.417402968032 738.624077368458</t>
  </si>
  <si>
    <t>-600.241170922475 202.379729554358 802.460972359368</t>
  </si>
  <si>
    <t>-676.946742251738 -62.6521470836267 308.578714656245</t>
  </si>
  <si>
    <t>-681.39515564413 -29.0001874135694 755.195758035068</t>
  </si>
  <si>
    <t>-568.646510309582 -113.312689713665 827.766098234343</t>
  </si>
  <si>
    <t>9763-20170724T105114.312914300.bin</t>
  </si>
  <si>
    <t>-728.013766032075 2.88460321791035 -96.4458221755988</t>
  </si>
  <si>
    <t>-758.027446810403 1.74534245552923 -486.412928339948</t>
  </si>
  <si>
    <t>-756.183232506995 15.6931070970641 -610.198476854141</t>
  </si>
  <si>
    <t>-733.963430581194 32.3339958156498 -688.520818245727</t>
  </si>
  <si>
    <t>-765.287360780861 35.8417002599563 -552.888313816797</t>
  </si>
  <si>
    <t>-799.642392647786 164.49873241838 -518.753334701006</t>
  </si>
  <si>
    <t>-712.736913642656 179.107716147893 -237.995075398965</t>
  </si>
  <si>
    <t>-476.259677211317 201.474231137754 -278.357965386824</t>
  </si>
  <si>
    <t>-764.199028154502 93.3781729953673 -101.035903086683</t>
  </si>
  <si>
    <t>-730.722765798171 146.16770701588 297.645999181256</t>
  </si>
  <si>
    <t>-743.856960335018 222.397807426182 738.966829344112</t>
  </si>
  <si>
    <t>-600.301530058872 202.270673289212 802.795109802393</t>
  </si>
  <si>
    <t>-676.801799140957 -61.8788152772324 308.537482614743</t>
  </si>
  <si>
    <t>-681.495210382239 -29.2576804123064 755.209335420237</t>
  </si>
  <si>
    <t>-568.123600825689 -112.75326823919 827.753417118511</t>
  </si>
  <si>
    <t>9763-20170724T105114.344001000.bin</t>
  </si>
  <si>
    <t>-728.277384117149 3.64689335861362 -96.4492941042759</t>
  </si>
  <si>
    <t>-757.898768433343 2.67731853652549 -486.448484592953</t>
  </si>
  <si>
    <t>-755.91922082859 16.6576707994225 -610.228316857373</t>
  </si>
  <si>
    <t>-733.521466805317 33.2885441774217 -688.502016861862</t>
  </si>
  <si>
    <t>-765.055191726169 36.8006680045301 -552.92105870953</t>
  </si>
  <si>
    <t>-799.276331234822 165.488836797922 -518.740813057724</t>
  </si>
  <si>
    <t>-713.168155079604 179.648716858908 -237.713907645694</t>
  </si>
  <si>
    <t>-476.708771463437 201.310402219008 -278.562231559068</t>
  </si>
  <si>
    <t>-764.474797762986 94.1848862033014 -101.03056583628</t>
  </si>
  <si>
    <t>-731.453603431283 146.581180290139 297.741165871463</t>
  </si>
  <si>
    <t>-743.880561068035 222.391398902691 739.14469059498</t>
  </si>
  <si>
    <t>-600.333643035697 202.198926668401 802.971515011909</t>
  </si>
  <si>
    <t>-676.850853880659 -61.26581933581 308.504194415337</t>
  </si>
  <si>
    <t>-681.367602485601 -28.8993666578904 755.200260504959</t>
  </si>
  <si>
    <t>-568.447436266205 -112.979000172723 827.77402332595</t>
  </si>
  <si>
    <t>9763-20170724T105114.410680900.bin</t>
  </si>
  <si>
    <t>-728.92096770227 5.25526266845509 -96.4674135347101</t>
  </si>
  <si>
    <t>-758.137246276637 4.32707048566817 -486.520256729065</t>
  </si>
  <si>
    <t>-756.102873520689 18.2014597975055 -610.311025140851</t>
  </si>
  <si>
    <t>-733.426709016283 34.7129829773694 -688.529960592059</t>
  </si>
  <si>
    <t>-765.20145784747 38.412726125006 -553.02201261728</t>
  </si>
  <si>
    <t>-799.10660354448 167.187966047351 -518.894032142004</t>
  </si>
  <si>
    <t>-714.653912629936 181.205962847714 -237.358144521082</t>
  </si>
  <si>
    <t>-478.262383095071 201.304539835328 -279.382129776197</t>
  </si>
  <si>
    <t>-765.036077457165 95.7230512377855 -101.047098251383</t>
  </si>
  <si>
    <t>-733.191177080744 147.733372461476 297.870826380486</t>
  </si>
  <si>
    <t>-743.935915900921 222.418511339743 739.498936687544</t>
  </si>
  <si>
    <t>-600.411600018581 202.005738890434 803.306118124174</t>
  </si>
  <si>
    <t>-677.029201105784 -60.4809613721941 308.481736064424</t>
  </si>
  <si>
    <t>-681.37222192764 -28.8614279868709 755.219319646081</t>
  </si>
  <si>
    <t>-568.442053191422 -112.928985977779 827.791223988881</t>
  </si>
  <si>
    <t>9763-20170724T105114.479897900.bin</t>
  </si>
  <si>
    <t>-729.493956161683 6.44047889501144 -96.4722936623841</t>
  </si>
  <si>
    <t>-758.901578631902 5.22048311344383 -486.539184561081</t>
  </si>
  <si>
    <t>-757.027246351778 18.8528759930257 -610.359628145486</t>
  </si>
  <si>
    <t>-734.115495651914 35.1225299211819 -688.560364565645</t>
  </si>
  <si>
    <t>-765.980983076631 39.1977846659049 -553.094945192641</t>
  </si>
  <si>
    <t>-799.536752802371 168.107326350549 -519.10646525877</t>
  </si>
  <si>
    <t>-716.489909151633 182.031179077035 -237.148091404388</t>
  </si>
  <si>
    <t>-480.274436312083 200.577838461476 -280.841752004217</t>
  </si>
  <si>
    <t>-765.52652937311 97.0352564530756 -101.072868593355</t>
  </si>
  <si>
    <t>-734.949699840578 148.870044986856 297.967081594771</t>
  </si>
  <si>
    <t>-743.982483227735 222.437798737233 739.8155418609</t>
  </si>
  <si>
    <t>-600.491568122749 201.776901538153 803.618248830195</t>
  </si>
  <si>
    <t>-677.125827194449 -59.7134295172364 308.466863997955</t>
  </si>
  <si>
    <t>-681.338176571225 -28.7501028980785 755.23218168991</t>
  </si>
  <si>
    <t>-568.480409712082 -112.903026228884 827.818111657528</t>
  </si>
  <si>
    <t>9763-20170724T105114.508966300.bin</t>
  </si>
  <si>
    <t>-729.7116593395 6.89795906371864 -96.4843462645074</t>
  </si>
  <si>
    <t>-759.348466954287 5.40968630701195 -486.548958839521</t>
  </si>
  <si>
    <t>-757.605522956258 18.8784876163775 -610.389041608079</t>
  </si>
  <si>
    <t>-734.577893118517 35.0231967995228 -688.581735549943</t>
  </si>
  <si>
    <t>-766.45780470102 39.3113186517078 -553.140068977705</t>
  </si>
  <si>
    <t>-799.794823458835 168.30347889545 -519.273656312605</t>
  </si>
  <si>
    <t>-717.525205144117 182.316561156118 -237.092002546728</t>
  </si>
  <si>
    <t>-481.420040187375 199.881716363915 -281.776472354993</t>
  </si>
  <si>
    <t>-765.773573155827 97.5980933933163 -101.096303536563</t>
  </si>
  <si>
    <t>-735.640921281134 149.281032362699 297.9970850277</t>
  </si>
  <si>
    <t>-744.002808247546 222.445766500922 739.966225837459</t>
  </si>
  <si>
    <t>-600.533816013793 201.626231264648 803.766733224033</t>
  </si>
  <si>
    <t>-677.162607493338 -59.3894058799133 308.462377231094</t>
  </si>
  <si>
    <t>-681.2565148446 -28.5219298557643 755.22761436208</t>
  </si>
  <si>
    <t>-568.360058542741 -112.62353351092 827.812728406645</t>
  </si>
  <si>
    <t>9763-20170724T105114.540561200.bin</t>
  </si>
  <si>
    <t>-729.900375988066 7.35493327371023 -96.4981324632189</t>
  </si>
  <si>
    <t>-759.770688172322 5.54948268678345 -486.555945295224</t>
  </si>
  <si>
    <t>-758.138049334441 18.848395326587 -610.415883674924</t>
  </si>
  <si>
    <t>-734.971255951942 34.8724293510688 -688.592411577664</t>
  </si>
  <si>
    <t>-766.903937921579 39.3704574889964 -553.185548091882</t>
  </si>
  <si>
    <t>-800.055617919995 168.444967561875 -519.452368926903</t>
  </si>
  <si>
    <t>-718.58119197303 182.617191154976 -237.047781051204</t>
  </si>
  <si>
    <t>-482.64198123996 199.004362320555 -283.037044681935</t>
  </si>
  <si>
    <t>-766.049728889932 98.0223761899942 -101.092246584587</t>
  </si>
  <si>
    <t>-736.049177321646 149.623552093412 298.021682560901</t>
  </si>
  <si>
    <t>-744.018338489401 222.431774890861 740.094949742559</t>
  </si>
  <si>
    <t>-600.562160089998 201.509191702992 803.890597091829</t>
  </si>
  <si>
    <t>-677.097403335005 -59.1428586491395 308.472040704557</t>
  </si>
  <si>
    <t>-681.217678090385 -28.400414696828 755.231461721431</t>
  </si>
  <si>
    <t>-568.535367204155 -112.769907970761 827.838490453745</t>
  </si>
  <si>
    <t>9763-20170724T105114.614760700.bin</t>
  </si>
  <si>
    <t>-729.956011472059 7.84052669384459 -96.4762146364583</t>
  </si>
  <si>
    <t>-760.279821385605 5.29931544964643 -486.521173660941</t>
  </si>
  <si>
    <t>-758.868512437371 18.2173136895706 -610.424192394683</t>
  </si>
  <si>
    <t>-735.444696990823 34.0326285622002 -688.566485468973</t>
  </si>
  <si>
    <t>-767.484899321443 38.9293936154411 -553.239518604305</t>
  </si>
  <si>
    <t>-800.370408296874 168.15080718078 -519.801587011564</t>
  </si>
  <si>
    <t>-720.388008494287 182.845404341777 -236.997670640155</t>
  </si>
  <si>
    <t>-484.867151535399 197.065708459219 -285.767949486262</t>
  </si>
  <si>
    <t>-766.060772966204 98.3487334567599 -101.052421488534</t>
  </si>
  <si>
    <t>-736.038753688198 149.893420323261 298.067268152664</t>
  </si>
  <si>
    <t>-744.067897749948 222.349416364784 740.254892994746</t>
  </si>
  <si>
    <t>-600.610256505526 201.386084663011 804.033775358001</t>
  </si>
  <si>
    <t>-677.139201163942 -58.764005472488 308.527481332066</t>
  </si>
  <si>
    <t>-681.157944664021 -28.2098920889719 755.258895953031</t>
  </si>
  <si>
    <t>-568.548612660663 -112.66189336625 827.883505062476</t>
  </si>
  <si>
    <t>9763-20170724T105114.643778600.bin</t>
  </si>
  <si>
    <t>-729.868413694158 7.81254801193154 -96.4509795567297</t>
  </si>
  <si>
    <t>-760.471459524708 4.82608744003164 -486.484475454252</t>
  </si>
  <si>
    <t>-759.182092932246 17.5213635290895 -610.411762442753</t>
  </si>
  <si>
    <t>-735.655663016885 33.24879985084 -688.540956253758</t>
  </si>
  <si>
    <t>-767.727143383764 38.3407310482717 -553.255414871299</t>
  </si>
  <si>
    <t>-800.518337272329 167.626417915768 -519.998166622398</t>
  </si>
  <si>
    <t>-720.990720668464 182.739096232403 -237.088010188143</t>
  </si>
  <si>
    <t>-485.527994564678 196.349366762645 -286.311152088208</t>
  </si>
  <si>
    <t>-765.987075404134 98.2687655652576 -101.035878018563</t>
  </si>
  <si>
    <t>-735.866209929996 149.816190792427 298.076014501466</t>
  </si>
  <si>
    <t>-744.093494234628 222.292193201955 740.28039876326</t>
  </si>
  <si>
    <t>-600.636501784041 201.318198354247 804.057467937394</t>
  </si>
  <si>
    <t>-677.147266968938 -58.7899413789182 308.571770635424</t>
  </si>
  <si>
    <t>-681.227666665633 -28.3456568775043 755.29730708176</t>
  </si>
  <si>
    <t>-568.501002790463 -112.649434386772 827.912015776297</t>
  </si>
  <si>
    <t>9763-20170724T105114.709462700.bin</t>
  </si>
  <si>
    <t>-729.706499310944 7.64271741946891 -96.3859636661849</t>
  </si>
  <si>
    <t>-760.948497795437 3.90882541078031 -486.384201403461</t>
  </si>
  <si>
    <t>-759.951816375875 16.2621833122475 -610.348751058512</t>
  </si>
  <si>
    <t>-736.233257328397 31.8470587681566 -688.448433561864</t>
  </si>
  <si>
    <t>-768.328341673502 37.2491750244681 -553.228775380555</t>
  </si>
  <si>
    <t>-800.922235467354 166.674607632062 -520.305001953452</t>
  </si>
  <si>
    <t>-721.930014302005 181.989412924948 -237.255836152662</t>
  </si>
  <si>
    <t>-486.396453446214 195.042948578764 -286.290821568454</t>
  </si>
  <si>
    <t>-765.8796193554 98.0653502285297 -101.015789993055</t>
  </si>
  <si>
    <t>-735.564759415005 149.613000557491 298.081315518175</t>
  </si>
  <si>
    <t>-744.137243837043 222.179195065077 740.265007213797</t>
  </si>
  <si>
    <t>-600.690790831377 201.178927219316 804.056602334833</t>
  </si>
  <si>
    <t>-677.031182902996 -58.7921662471076 308.668018325187</t>
  </si>
  <si>
    <t>-681.135936859799 -28.0653351090727 755.341705520928</t>
  </si>
  <si>
    <t>-568.554442827477 -112.555441179555 827.96517641478</t>
  </si>
  <si>
    <t>9763-20170724T105114.740049100.bin</t>
  </si>
  <si>
    <t>-729.585740303528 7.46891873596746 -96.3737834506376</t>
  </si>
  <si>
    <t>-761.119514637916 3.49100525635572 -486.350431652128</t>
  </si>
  <si>
    <t>-760.259894361898 15.7678073504037 -610.323595799664</t>
  </si>
  <si>
    <t>-736.470209798167 31.303397525435 -688.4116092396</t>
  </si>
  <si>
    <t>-768.559620444217 36.7941209141584 -553.206897066398</t>
  </si>
  <si>
    <t>-801.044102233661 166.268919291251 -520.371968168415</t>
  </si>
  <si>
    <t>-722.366224928346 181.416356632589 -237.226115578559</t>
  </si>
  <si>
    <t>-486.837846842768 194.498159778575 -286.278348786143</t>
  </si>
  <si>
    <t>-765.755985461548 97.8609312099534 -101.034974186865</t>
  </si>
  <si>
    <t>-735.515373189854 149.494071798254 298.056774020501</t>
  </si>
  <si>
    <t>-744.158272824984 222.121370825386 740.232675640273</t>
  </si>
  <si>
    <t>-600.714871834189 201.110461472835 804.027771899298</t>
  </si>
  <si>
    <t>-677.037843178676 -58.9003152818934 308.713593523367</t>
  </si>
  <si>
    <t>-681.131925932922 -28.0198082801021 755.364684009926</t>
  </si>
  <si>
    <t>-568.412775068256 -112.337058679401 827.975327883049</t>
  </si>
  <si>
    <t>9763-20170724T105114.811741800.bin</t>
  </si>
  <si>
    <t>-729.330694445676 6.89580952189499 -96.3553867784211</t>
  </si>
  <si>
    <t>-761.352987965962 2.65892750491912 -486.296546980108</t>
  </si>
  <si>
    <t>-760.746130774593 14.8751274491224 -610.27711579459</t>
  </si>
  <si>
    <t>-736.866060644859 30.3378154032948 -688.351968268319</t>
  </si>
  <si>
    <t>-768.928244412896 35.9296960454656 -553.153853651648</t>
  </si>
  <si>
    <t>-801.341690322705 165.430237807938 -520.332542955942</t>
  </si>
  <si>
    <t>-722.954157063584 179.947867276916 -237.073443953183</t>
  </si>
  <si>
    <t>-487.428192667022 192.785410169864 -286.20112472174</t>
  </si>
  <si>
    <t>-765.594831481557 97.2564259079427 -101.050284229962</t>
  </si>
  <si>
    <t>-735.422009803229 149.108668008216 298.018201925058</t>
  </si>
  <si>
    <t>-744.204225528386 221.974587024469 740.164174146656</t>
  </si>
  <si>
    <t>-600.755162274591 200.998059255102 803.958259948988</t>
  </si>
  <si>
    <t>-677.120490375544 -59.1489459302243 308.781931087351</t>
  </si>
  <si>
    <t>-681.099949511786 -27.8577673809386 755.397456512559</t>
  </si>
  <si>
    <t>-568.527231306169 -112.369920900222 828.008521353928</t>
  </si>
  <si>
    <t>9763-20170724T105114.876417100.bin</t>
  </si>
  <si>
    <t>-729.16437513665 6.08989980021306 -96.338958548489</t>
  </si>
  <si>
    <t>-761.492923495088 1.78525723903499 -486.252857160983</t>
  </si>
  <si>
    <t>-761.070989729052 14.0588276427079 -610.228731375457</t>
  </si>
  <si>
    <t>-737.116563580105 29.5541390840785 -688.274233893574</t>
  </si>
  <si>
    <t>-769.178688611584 35.0836944876705 -553.083885600782</t>
  </si>
  <si>
    <t>-801.48207673516 164.593218546898 -520.213002345921</t>
  </si>
  <si>
    <t>-723.216285326489 178.077686434892 -236.868957380911</t>
  </si>
  <si>
    <t>-487.614289999093 191.143829842923 -285.571010206304</t>
  </si>
  <si>
    <t>-765.530842297361 96.4024880830095 -101.056232077049</t>
  </si>
  <si>
    <t>-735.295639757435 148.466270650819 297.97998520997</t>
  </si>
  <si>
    <t>-744.230833023211 221.766058608457 740.063812909446</t>
  </si>
  <si>
    <t>-600.769627457557 200.916842261073 803.872185834957</t>
  </si>
  <si>
    <t>-677.256054021951 -59.6151484776422 308.841240089881</t>
  </si>
  <si>
    <t>-681.135608324792 -27.8393498224561 755.436457427795</t>
  </si>
  <si>
    <t>-568.307056791481 -112.039048307225 828.013460286805</t>
  </si>
  <si>
    <t>9763-20170724T105114.908003200.bin</t>
  </si>
  <si>
    <t>-729.098223245774 5.68436811770039 -96.3171971219194</t>
  </si>
  <si>
    <t>-761.489281587133 1.38227396178263 -486.228484968178</t>
  </si>
  <si>
    <t>-761.147370997999 13.6830966134621 -610.201983899627</t>
  </si>
  <si>
    <t>-737.158978071348 29.1988406202113 -688.233044192203</t>
  </si>
  <si>
    <t>-769.215543684951 34.6962912194813 -553.047238018816</t>
  </si>
  <si>
    <t>-801.482793660197 164.219241054194 -520.167682055915</t>
  </si>
  <si>
    <t>-723.127768675606 177.152293800335 -236.822701822167</t>
  </si>
  <si>
    <t>-487.405385699852 190.390576290312 -284.891345957392</t>
  </si>
  <si>
    <t>-765.523212380452 95.9335409792757 -101.054702963234</t>
  </si>
  <si>
    <t>-735.29404431488 148.113255364026 297.966799097078</t>
  </si>
  <si>
    <t>-744.245686597714 221.656957120601 740.015030164068</t>
  </si>
  <si>
    <t>-600.776351744582 200.893348806912 803.832957086754</t>
  </si>
  <si>
    <t>-677.371589667595 -59.7736054049165 308.877919137987</t>
  </si>
  <si>
    <t>-681.076564362431 -27.6017518558185 755.450693511824</t>
  </si>
  <si>
    <t>-568.405612349988 -112.019032316271 828.019658955833</t>
  </si>
  <si>
    <t>9763-20170724T105114.944602000.bin</t>
  </si>
  <si>
    <t>-729.065637415147 5.20482071838683 -96.2890348545571</t>
  </si>
  <si>
    <t>-761.511985212288 0.915172596093953 -486.195273512836</t>
  </si>
  <si>
    <t>-761.244555554176 13.2691573792767 -610.163557903733</t>
  </si>
  <si>
    <t>-737.231392037296 28.8222275644148 -688.179656137753</t>
  </si>
  <si>
    <t>-769.281975913298 34.2568139424245 -552.995212312249</t>
  </si>
  <si>
    <t>-801.524019277267 163.767918400325 -520.088757198296</t>
  </si>
  <si>
    <t>-723.025572888075 176.255958839914 -236.763460593882</t>
  </si>
  <si>
    <t>-487.167476240527 189.845266032116 -284.062112778864</t>
  </si>
  <si>
    <t>-765.476376863361 95.3949938604608 -101.05754867497</t>
  </si>
  <si>
    <t>-735.36176826754 147.753579868591 297.94917234948</t>
  </si>
  <si>
    <t>-744.253334832414 221.544093884303 739.954151906867</t>
  </si>
  <si>
    <t>-600.780284133266 200.861118971551 803.789785351669</t>
  </si>
  <si>
    <t>-677.545900248849 -60.1161870438639 308.930738039555</t>
  </si>
  <si>
    <t>-681.143629856572 -27.7020983673033 755.47924322534</t>
  </si>
  <si>
    <t>-568.223946461753 -111.813624996144 828.016723335129</t>
  </si>
  <si>
    <t>9763-20170724T105115.011281600.bin</t>
  </si>
  <si>
    <t>-728.971617575167 4.45619123114511 -96.2395282657657</t>
  </si>
  <si>
    <t>-761.400558288755 0.233006976286106 -486.142316276477</t>
  </si>
  <si>
    <t>-761.208947013513 12.7177047598084 -610.097580269215</t>
  </si>
  <si>
    <t>-737.172377946619 28.3945061152649 -688.081595641352</t>
  </si>
  <si>
    <t>-769.244541880867 33.6350899037955 -552.903146752747</t>
  </si>
  <si>
    <t>-801.584656491177 163.112317796762 -519.932080292061</t>
  </si>
  <si>
    <t>-722.881043220638 174.775733908679 -236.628521276864</t>
  </si>
  <si>
    <t>-486.742322647877 189.45370492899 -282.169203343642</t>
  </si>
  <si>
    <t>-765.436968423788 94.5168496975452 -101.06064159644</t>
  </si>
  <si>
    <t>-735.267162987378 147.101398468039 297.912182242987</t>
  </si>
  <si>
    <t>-744.272928633997 221.300373800736 739.831839367292</t>
  </si>
  <si>
    <t>-600.799495115987 200.762613484509 803.71360779496</t>
  </si>
  <si>
    <t>-677.880093581671 -60.6132307115304 309.025720041024</t>
  </si>
  <si>
    <t>-681.16234904267 -27.6154932986012 755.524601392128</t>
  </si>
  <si>
    <t>-568.116559864356 -111.586468039525 828.028767190717</t>
  </si>
  <si>
    <t>9763-20170724T105115.042507300.bin</t>
  </si>
  <si>
    <t>-728.91046224846 4.16195846625988 -96.2276401685647</t>
  </si>
  <si>
    <t>-761.252517240162 0.0527409913252086 -486.131725659528</t>
  </si>
  <si>
    <t>-761.043660564646 12.6388450694383 -610.076627873242</t>
  </si>
  <si>
    <t>-737.001188791639 28.4209998834169 -688.037641186426</t>
  </si>
  <si>
    <t>-769.117308662516 33.500579652032 -552.867165832492</t>
  </si>
  <si>
    <t>-801.584153319083 162.940515683355 -519.867912856412</t>
  </si>
  <si>
    <t>-722.843548630404 174.256793027045 -236.5605930622</t>
  </si>
  <si>
    <t>-486.575290978438 189.556966430375 -281.215017515268</t>
  </si>
  <si>
    <t>-765.425604758728 94.1269340547794 -101.054757770553</t>
  </si>
  <si>
    <t>-735.168913320795 146.857533633535 297.892221101509</t>
  </si>
  <si>
    <t>-744.28957972781 221.205248146261 739.76723833461</t>
  </si>
  <si>
    <t>-600.812373303859 200.741046596595 803.664092922165</t>
  </si>
  <si>
    <t>-677.998650007054 -60.7403000963016 309.067969642597</t>
  </si>
  <si>
    <t>-681.119246175506 -27.4635835832976 755.54225760541</t>
  </si>
  <si>
    <t>-568.221449953587 -111.634516038351 828.044817298596</t>
  </si>
  <si>
    <t>9763-20170724T105115.110688600.bin</t>
  </si>
  <si>
    <t>-728.670051383776 3.56430579017956 -96.2090493120264</t>
  </si>
  <si>
    <t>-760.308954744847 12.42643053201 -610.060338279855</t>
  </si>
  <si>
    <t>-736.221086154048 28.4031180599579 -687.967818075335</t>
  </si>
  <si>
    <t>-768.530251982002 33.1810125671643 -552.832960145765</t>
  </si>
  <si>
    <t>-801.442961595867 162.489273414377 -519.709959445232</t>
  </si>
  <si>
    <t>-722.556027531143 173.678904926634 -236.438260876746</t>
  </si>
  <si>
    <t>-486.052849120017 190.000398491535 -279.458298265151</t>
  </si>
  <si>
    <t>-765.325287707388 93.3892638378106 -101.06481335226</t>
  </si>
  <si>
    <t>-735.128559656885 146.459204877544 297.841765990874</t>
  </si>
  <si>
    <t>-744.321080374896 221.060226741128 739.646826921651</t>
  </si>
  <si>
    <t>-600.838265792278 200.677330009116 803.557078813995</t>
  </si>
  <si>
    <t>-678.090778678278 -61.1057452810671 309.103141318618</t>
  </si>
  <si>
    <t>-681.147326090515 -27.4552823867787 755.562699667007</t>
  </si>
  <si>
    <t>-568.474283251417 -111.920314865661 828.072927198218</t>
  </si>
  <si>
    <t>9763-20170724T105115.202938600.bin</t>
  </si>
  <si>
    <t>-728.532651790781 3.24678776936503 -96.207320890547</t>
  </si>
  <si>
    <t>-759.872933903705 12.0688758158394 -610.07515354835</t>
  </si>
  <si>
    <t>-735.745924637521 28.0780021083028 -687.963533396242</t>
  </si>
  <si>
    <t>-768.170620765321 32.8133766286435 -552.855123283844</t>
  </si>
  <si>
    <t>-801.31106488814 162.059905437276 -519.725101582804</t>
  </si>
  <si>
    <t>-722.751023991752 173.324476205959 -236.36549186622</t>
  </si>
  <si>
    <t>-486.295366615064 189.935080272181 -279.536199975131</t>
  </si>
  <si>
    <t>-765.264875575913 93.0287904325066 -101.08072786508</t>
  </si>
  <si>
    <t>-735.227976329852 146.252870774713 297.817349104343</t>
  </si>
  <si>
    <t>-744.335900679538 220.973684016762 739.592910511086</t>
  </si>
  <si>
    <t>-600.846065577747 200.659346314128 803.50911264216</t>
  </si>
  <si>
    <t>-678.089792401851 -61.4050426505057 309.130328893803</t>
  </si>
  <si>
    <t>-681.209792961497 -27.5659641167817 755.576106535462</t>
  </si>
  <si>
    <t>-568.245271581453 -111.66450051465 828.058846059862</t>
  </si>
  <si>
    <t>9763-20170724T105115.244736100.bin</t>
  </si>
  <si>
    <t>-727.634677471435 2.19055687448622 -96.2069265361472</t>
  </si>
  <si>
    <t>-758.670075193878 9.79145539515775 -610.142715845818</t>
  </si>
  <si>
    <t>-734.368590676749 25.6732540748685 -688.003049929224</t>
  </si>
  <si>
    <t>-767.152200397006 30.6795421107379 -553.002096198203</t>
  </si>
  <si>
    <t>-801.136838133053 159.76583593565 -520.138497153678</t>
  </si>
  <si>
    <t>-722.636657179018 172.055227961851 -236.804990640699</t>
  </si>
  <si>
    <t>-486.534619783016 186.040193896693 -282.752297012645</t>
  </si>
  <si>
    <t>-764.667293891503 91.8395364183905 -101.145152144529</t>
  </si>
  <si>
    <t>-734.932712723887 145.533471046854 297.712553873893</t>
  </si>
  <si>
    <t>-744.356988686769 220.68209008327 739.434156546831</t>
  </si>
  <si>
    <t>-600.83633445028 200.607853607184 803.35708557917</t>
  </si>
  <si>
    <t>-677.692088557427 -62.0825366001611 309.176284478505</t>
  </si>
  <si>
    <t>-681.164069696507 -27.4156382933586 755.550862446666</t>
  </si>
  <si>
    <t>-567.985364437126 -111.232270763654 828.025829922755</t>
  </si>
  <si>
    <t>9763-20170724T105115.308409600.bin</t>
  </si>
  <si>
    <t>-726.860483209112 1.74059085404542 -96.2706447917983</t>
  </si>
  <si>
    <t>-757.792383978557 7.52797262143713 -610.283316870854</t>
  </si>
  <si>
    <t>-733.315301972679 23.2174383412937 -688.127619588223</t>
  </si>
  <si>
    <t>-766.354146846249 28.6926114696062 -553.256506595469</t>
  </si>
  <si>
    <t>-800.726559820876 157.814132043407 -521.001264516214</t>
  </si>
  <si>
    <t>-723.110373252415 171.742710704023 -237.499966892203</t>
  </si>
  <si>
    <t>-486.602794097493 178.090715569698 -283.050073313612</t>
  </si>
  <si>
    <t>-764.101585330165 91.3360218512917 -101.239498306689</t>
  </si>
  <si>
    <t>-734.149213865406 145.177296319189 297.582075731718</t>
  </si>
  <si>
    <t>-744.374818272136 220.635835770655 739.256287150296</t>
  </si>
  <si>
    <t>-600.842922300488 200.677378543935 803.190429590977</t>
  </si>
  <si>
    <t>-677.280751566331 -62.3159702941566 309.197116725588</t>
  </si>
  <si>
    <t>-681.109800016957 -27.2792866943346 755.526218318145</t>
  </si>
  <si>
    <t>-567.979649884951 -111.142456422002 828.023496857366</t>
  </si>
  <si>
    <t>9763-20170724T105115.377094500.bin</t>
  </si>
  <si>
    <t>-726.208629370519 1.35466020219974 -96.3361110266541</t>
  </si>
  <si>
    <t>-756.932747334964 5.07640863514325 -610.438122351238</t>
  </si>
  <si>
    <t>-732.329274443688 20.4643089626154 -688.302816204219</t>
  </si>
  <si>
    <t>-765.550777090786 26.5628212260954 -553.540115424259</t>
  </si>
  <si>
    <t>-800.288260317511 155.797543827299 -522.065025951386</t>
  </si>
  <si>
    <t>-724.52678858141 170.713362193585 -238.112736360347</t>
  </si>
  <si>
    <t>-487.781550284817 169.028775236171 -282.83030391447</t>
  </si>
  <si>
    <t>-763.463599714337 90.8726439812717 -101.403327659513</t>
  </si>
  <si>
    <t>-733.414623736729 144.966926469139 297.376682829985</t>
  </si>
  <si>
    <t>-744.398913819468 220.584360152854 739.022721195245</t>
  </si>
  <si>
    <t>-600.871042448336 200.673112369088 802.980421646204</t>
  </si>
  <si>
    <t>-677.015376922359 -62.6323934200432 309.250183442312</t>
  </si>
  <si>
    <t>-681.152480556599 -27.3546447533261 755.539659829434</t>
  </si>
  <si>
    <t>-567.768383352313 -110.891910524019 828.016218087281</t>
  </si>
  <si>
    <t>9763-20170724T105115.410184100.bin</t>
  </si>
  <si>
    <t>-725.959953681758 1.22157403295228 -96.379183241699</t>
  </si>
  <si>
    <t>-756.5511184262 3.91239156913025 -610.525184635312</t>
  </si>
  <si>
    <t>-731.914716778797 19.1139956036257 -688.416049037547</t>
  </si>
  <si>
    <t>-765.19823674488 25.5617604171832 -553.693429243973</t>
  </si>
  <si>
    <t>-800.132245627772 154.836990847738 -522.692266974066</t>
  </si>
  <si>
    <t>-726.245915670628 171.190777853155 -238.325299522539</t>
  </si>
  <si>
    <t>-489.561872908019 164.21530610229 -282.855118884801</t>
  </si>
  <si>
    <t>-763.259045504563 90.7134728188653 -101.506411578344</t>
  </si>
  <si>
    <t>-733.150678818411 144.802664694569 297.269815208231</t>
  </si>
  <si>
    <t>-744.410369678335 220.543449776325 738.892141643296</t>
  </si>
  <si>
    <t>-600.887766806215 200.639764065561 802.86435441257</t>
  </si>
  <si>
    <t>-676.95978999043 -62.6592939772197 309.269179871428</t>
  </si>
  <si>
    <t>-681.106450084582 -27.2212186749439 755.538833800185</t>
  </si>
  <si>
    <t>-567.856206775644 -110.932452290742 828.024048912716</t>
  </si>
  <si>
    <t>9763-20170724T105115.444291000.bin</t>
  </si>
  <si>
    <t>-725.797973526924 1.04729565143225 -96.4116838150285</t>
  </si>
  <si>
    <t>-756.401481556702 2.64323756076647 -610.597053214675</t>
  </si>
  <si>
    <t>-731.741746986205 17.6340240387938 -688.521340383464</t>
  </si>
  <si>
    <t>-765.053032879197 24.4693516331461 -553.833602772571</t>
  </si>
  <si>
    <t>-800.078673555552 153.813872738129 -523.216778298807</t>
  </si>
  <si>
    <t>-727.615850048464 171.06538473821 -238.53669244428</t>
  </si>
  <si>
    <t>-491.013045654037 159.153196137491 -282.446734936014</t>
  </si>
  <si>
    <t>-763.213795543163 90.4903361054755 -101.590088265025</t>
  </si>
  <si>
    <t>-732.950283901284 144.637646461086 297.16653064067</t>
  </si>
  <si>
    <t>-744.42080432408 220.486634965713 738.767053914957</t>
  </si>
  <si>
    <t>-600.901265748738 200.605241203384 802.752991122662</t>
  </si>
  <si>
    <t>-676.927803251538 -62.7263834812143 309.280390829701</t>
  </si>
  <si>
    <t>-681.09324794172 -27.1539550509051 755.542610399365</t>
  </si>
  <si>
    <t>-567.84770429211 -110.875138631558 828.023792108749</t>
  </si>
  <si>
    <t>9763-20170724T105115.511973100.bin</t>
  </si>
  <si>
    <t>-725.785904578716 0.5989672296771 -96.47770734402</t>
  </si>
  <si>
    <t>-756.728230927886 0.6134670981196 -610.701151351302</t>
  </si>
  <si>
    <t>-732.000853930869 15.2873331365547 -688.664294966479</t>
  </si>
  <si>
    <t>-765.315185936585 22.6864709125398 -554.023448042731</t>
  </si>
  <si>
    <t>-800.241845505919 152.16424421775 -523.825330062471</t>
  </si>
  <si>
    <t>-728.631190111729 168.805023558439 -238.893460944872</t>
  </si>
  <si>
    <t>-491.769945087902 152.854397266643 -280.042822320852</t>
  </si>
  <si>
    <t>-763.396572679412 89.966393727545 -101.74220897395</t>
  </si>
  <si>
    <t>-732.784548405217 144.24412278859 296.97009129319</t>
  </si>
  <si>
    <t>-744.433272710556 220.348572712306 738.511622121561</t>
  </si>
  <si>
    <t>-600.922743818835 200.544555320573 802.54183752006</t>
  </si>
  <si>
    <t>-677.093766378234 -62.9048237836707 309.312233270094</t>
  </si>
  <si>
    <t>-681.116657103042 -27.1251099934718 755.559585201937</t>
  </si>
  <si>
    <t>-567.815169927706 -110.789822735405 828.018390448969</t>
  </si>
  <si>
    <t>9763-20170724T105115.544081700.bin</t>
  </si>
  <si>
    <t>-725.818514190441 0.305140663031352 -96.5117307000528</t>
  </si>
  <si>
    <t>-732.196485534117 14.432672282875 -688.72041123089</t>
  </si>
  <si>
    <t>-765.47879481607 22.0093990126336 -554.078787359635</t>
  </si>
  <si>
    <t>-800.316011562051 151.52646507181 -523.94059074586</t>
  </si>
  <si>
    <t>-728.311367349231 168.729762196352 -239.141418852684</t>
  </si>
  <si>
    <t>-491.129031282557 152.01667257806 -278.078016614636</t>
  </si>
  <si>
    <t>-763.50600464469 89.5877988040654 -101.809476924261</t>
  </si>
  <si>
    <t>-732.854210002484 144.032391242395 296.877017001405</t>
  </si>
  <si>
    <t>-744.435837827726 220.304655652773 738.384470739588</t>
  </si>
  <si>
    <t>-600.931177311699 200.527964270267 802.435976169954</t>
  </si>
  <si>
    <t>-677.272221282182 -63.0265455119907 309.330481828656</t>
  </si>
  <si>
    <t>-681.118288355281 -27.0694125653804 755.566079190018</t>
  </si>
  <si>
    <t>-567.821996586568 -110.751357681844 828.013195996769</t>
  </si>
  <si>
    <t>9763-20170724T105115.625327200.bin</t>
  </si>
  <si>
    <t>-732.045552678798 12.9178913216615 -688.828603480283</t>
  </si>
  <si>
    <t>-765.362226201142 20.7705548645797 -554.212674954984</t>
  </si>
  <si>
    <t>-800.034705525844 150.377550059056 -524.26093671702</t>
  </si>
  <si>
    <t>-726.786535745128 168.728342338706 -239.850656230229</t>
  </si>
  <si>
    <t>-489.362150892347 152.784431895399 -277.616869417892</t>
  </si>
  <si>
    <t>-763.625387851081 88.817238277858 -101.946246161568</t>
  </si>
  <si>
    <t>-733.191576880153 143.604933340064 296.70992092145</t>
  </si>
  <si>
    <t>-744.451467579181 220.176866966079 738.173517643672</t>
  </si>
  <si>
    <t>-600.950648374354 200.449093540633 802.248891878286</t>
  </si>
  <si>
    <t>-677.815033105991 -63.2457744616318 309.354312157447</t>
  </si>
  <si>
    <t>-681.022581413601 -26.6902124383032 755.579265701182</t>
  </si>
  <si>
    <t>-567.996059518145 -110.748503691786 828.012175462026</t>
  </si>
  <si>
    <t>9763-20170724T105115.643377300.bin</t>
  </si>
  <si>
    <t>-732.04196569766 12.1663211240227 -688.866951207941</t>
  </si>
  <si>
    <t>-765.364417571217 20.1588411707066 -554.260710580013</t>
  </si>
  <si>
    <t>-799.955108122087 149.813849227916 -524.405004757211</t>
  </si>
  <si>
    <t>-726.196469471299 168.338005591969 -240.137997227956</t>
  </si>
  <si>
    <t>-488.732348705446 154.334480474165 -278.420921813176</t>
  </si>
  <si>
    <t>-763.69609160765 88.4151743706409 -101.976235010825</t>
  </si>
  <si>
    <t>-733.272289115184 143.334957588885 296.662517671975</t>
  </si>
  <si>
    <t>-744.46257842061 220.142185655207 738.087049368192</t>
  </si>
  <si>
    <t>-600.968194092115 200.400981240563 802.17252937279</t>
  </si>
  <si>
    <t>-678.139231768811 -63.5376418037474 309.369833240614</t>
  </si>
  <si>
    <t>-681.085504724432 -26.7760786393553 755.591876536251</t>
  </si>
  <si>
    <t>-567.838823321544 -110.560213774815 827.998394414281</t>
  </si>
  <si>
    <t>9763-20170724T105115.710555500.bin</t>
  </si>
  <si>
    <t>-732.328460918259 11.0087562749056 -688.832469258238</t>
  </si>
  <si>
    <t>-765.586047319402 19.1531052641158 -554.203489097912</t>
  </si>
  <si>
    <t>-800.159263005577 148.840977262971 -524.479319105819</t>
  </si>
  <si>
    <t>-725.867681884426 167.91948900636 -240.387907626555</t>
  </si>
  <si>
    <t>-488.393578175733 156.899656626089 -279.572896546404</t>
  </si>
  <si>
    <t>-763.724263413763 87.4878346930136 -101.944853706666</t>
  </si>
  <si>
    <t>-733.187405325524 142.777882754282 296.634114167575</t>
  </si>
  <si>
    <t>-744.4795492364 220.046942246269 737.933567952581</t>
  </si>
  <si>
    <t>-601.009641000228 200.238696684881 802.053001483286</t>
  </si>
  <si>
    <t>-678.745605792132 -64.1051585715772 309.438414517201</t>
  </si>
  <si>
    <t>-681.181603081769 -26.8509142561661 755.629622632528</t>
  </si>
  <si>
    <t>-567.929686640145 -110.657268056671 828.002083086756</t>
  </si>
  <si>
    <t>9763-20170724T105115.741180300.bin</t>
  </si>
  <si>
    <t>-732.416985886974 10.5674199933667 -688.785857433248</t>
  </si>
  <si>
    <t>-765.675935689223 18.746858715554 -554.153409909555</t>
  </si>
  <si>
    <t>-800.218225074124 148.448864574274 -524.462310517984</t>
  </si>
  <si>
    <t>-725.880405440595 167.643555397435 -240.390867921875</t>
  </si>
  <si>
    <t>-488.492367755794 158.29465537655 -280.520835732603</t>
  </si>
  <si>
    <t>-763.717658832994 87.0689098463374 -101.92691583185</t>
  </si>
  <si>
    <t>-733.090145842726 142.483563482598 296.627759626771</t>
  </si>
  <si>
    <t>-744.489258047438 219.975861715054 737.871596598872</t>
  </si>
  <si>
    <t>-601.025767693957 200.181799253531 802.009964588181</t>
  </si>
  <si>
    <t>-678.956321278036 -64.3094873531127 309.480944301434</t>
  </si>
  <si>
    <t>-681.185861627962 -26.7901563675659 755.645263747332</t>
  </si>
  <si>
    <t>-567.975087292247 -110.661152842969 828.007282769878</t>
  </si>
  <si>
    <t>9763-20170724T105115.781275300.bin</t>
  </si>
  <si>
    <t>-732.579039560323 10.0117984446244 -688.745249225232</t>
  </si>
  <si>
    <t>-765.833792851443 18.2307611779775 -554.110736496237</t>
  </si>
  <si>
    <t>-800.378151876987 147.939664036707 -524.448201367313</t>
  </si>
  <si>
    <t>-725.911976482015 167.084166276019 -240.406898480653</t>
  </si>
  <si>
    <t>-488.612228894335 159.207773064345 -281.365616426301</t>
  </si>
  <si>
    <t>-763.726999480639 86.5637136296084 -101.900083477601</t>
  </si>
  <si>
    <t>-732.973038233145 142.209833387712 296.612633684112</t>
  </si>
  <si>
    <t>-744.497390118797 219.90207120693 737.806154143454</t>
  </si>
  <si>
    <t>-601.037275242271 200.142844717572 801.962429920409</t>
  </si>
  <si>
    <t>-679.183890718241 -64.6201916594353 309.525560235478</t>
  </si>
  <si>
    <t>-681.29425008822 -27.0052627702773 755.674385858829</t>
  </si>
  <si>
    <t>-567.80244237466 -110.52306684018 828.00475756179</t>
  </si>
  <si>
    <t>9763-20170724T105115.843958700.bin</t>
  </si>
  <si>
    <t>-732.823526277483 8.86661869141835 -688.665497758125</t>
  </si>
  <si>
    <t>-766.099704267415 17.1584088716975 -554.044843297402</t>
  </si>
  <si>
    <t>-800.663476885826 146.869398999106 -524.381802945402</t>
  </si>
  <si>
    <t>-725.940702050471 166.15509839331 -240.417424865462</t>
  </si>
  <si>
    <t>-488.762448449265 160.743604561515 -282.465723747589</t>
  </si>
  <si>
    <t>-763.846871378237 85.7237205404413 -101.861582300474</t>
  </si>
  <si>
    <t>-732.908086023388 141.636531990582 296.599495779168</t>
  </si>
  <si>
    <t>-744.517682597133 219.78690357641 737.691976071278</t>
  </si>
  <si>
    <t>-601.058001077279 200.074175128374 801.863649236422</t>
  </si>
  <si>
    <t>-679.421381889245 -64.939783264424 309.598597122207</t>
  </si>
  <si>
    <t>-681.275687014585 -26.8685287146357 755.701990704901</t>
  </si>
  <si>
    <t>-567.731979737224 -110.338274680721 828.006224283521</t>
  </si>
  <si>
    <t>9763-20170724T105115.910633000.bin</t>
  </si>
  <si>
    <t>-733.230849626607 7.81205253449571 -688.620877699409</t>
  </si>
  <si>
    <t>-766.48863563339 16.2077385593934 -554.015253799422</t>
  </si>
  <si>
    <t>-801.175047523393 145.889486554093 -524.412214638764</t>
  </si>
  <si>
    <t>-726.197038798261 165.749664796736 -240.554717816317</t>
  </si>
  <si>
    <t>-489.17349402555 162.103034706763 -283.65284372738</t>
  </si>
  <si>
    <t>-763.946970873106 85.1518181969875 -101.873446655905</t>
  </si>
  <si>
    <t>-732.992717852484 141.336403774916 296.548200513023</t>
  </si>
  <si>
    <t>-744.529363006304 219.651727307723 737.595480341757</t>
  </si>
  <si>
    <t>-601.056677831292 200.061021136924 801.775331322165</t>
  </si>
  <si>
    <t>-679.438860998252 -65.0950350833225 309.628167243837</t>
  </si>
  <si>
    <t>-681.268745357077 -26.7403363068772 755.71593022959</t>
  </si>
  <si>
    <t>-567.911632298101 -110.474721042377 828.007092975189</t>
  </si>
  <si>
    <t>9763-20170724T105115.940756400.bin</t>
  </si>
  <si>
    <t>-733.534329202286 7.19156338285052 -688.612353404605</t>
  </si>
  <si>
    <t>-766.759961239195 15.6626383419502 -554.004195302136</t>
  </si>
  <si>
    <t>-801.545956928808 145.32869411968 -524.424784115723</t>
  </si>
  <si>
    <t>-726.495681596156 165.417746592209 -240.60252401</t>
  </si>
  <si>
    <t>-489.605336029249 162.744128144649 -284.496698961525</t>
  </si>
  <si>
    <t>-763.998809911494 84.8438676424437 -101.884705044088</t>
  </si>
  <si>
    <t>-733.00421396437 141.186310323598 296.511518911513</t>
  </si>
  <si>
    <t>-744.535657149085 219.588719395785 737.549198332444</t>
  </si>
  <si>
    <t>-601.056104573451 200.058544769724 801.732661793329</t>
  </si>
  <si>
    <t>-679.518951427517 -65.2403901125726 309.641845108561</t>
  </si>
  <si>
    <t>-681.310444471471 -26.8080592861561 755.72063655879</t>
  </si>
  <si>
    <t>-567.685007909862 -110.201097984676 827.984871455666</t>
  </si>
  <si>
    <t>9763-20170724T105116.012447300.bin</t>
  </si>
  <si>
    <t>-734.101022621542 6.42262187596475 -688.590763353587</t>
  </si>
  <si>
    <t>-767.337335184273 15.0248347749568 -553.983722877322</t>
  </si>
  <si>
    <t>-802.29030789031 144.640827400581 -524.411305781206</t>
  </si>
  <si>
    <t>-726.754369672815 165.185059851627 -240.750427532958</t>
  </si>
  <si>
    <t>-490.169918616682 164.262356794736 -286.333556176538</t>
  </si>
  <si>
    <t>-764.330343545704 84.4509568866497 -101.89682298414</t>
  </si>
  <si>
    <t>-732.962451975798 140.863909892943 296.460199552409</t>
  </si>
  <si>
    <t>-744.553227930455 219.46223783955 737.474772778173</t>
  </si>
  <si>
    <t>-601.055893838753 200.050682884888 801.654050962658</t>
  </si>
  <si>
    <t>-679.540129121313 -65.263003092218 309.634889914194</t>
  </si>
  <si>
    <t>-681.257718440062 -26.6078343268173 755.709904814488</t>
  </si>
  <si>
    <t>-567.839332161463 -110.279054326772 827.97826699808</t>
  </si>
  <si>
    <t>9763-20170724T105116.043031600.bin</t>
  </si>
  <si>
    <t>-734.350300327691 6.03205190773292 -688.583514602</t>
  </si>
  <si>
    <t>-767.588868252582 14.7332292096153 -553.965493510915</t>
  </si>
  <si>
    <t>-802.566107642047 144.341979053267 -524.388141867334</t>
  </si>
  <si>
    <t>-726.749091282072 165.15712501217 -240.822016905723</t>
  </si>
  <si>
    <t>-490.286892585605 164.640582976103 -287.041365996803</t>
  </si>
  <si>
    <t>-764.419757307482 84.2102097397342 -101.891364730122</t>
  </si>
  <si>
    <t>-732.984049273536 140.713047167866 296.447531745304</t>
  </si>
  <si>
    <t>-744.565274309303 219.409407389769 737.442623962701</t>
  </si>
  <si>
    <t>-601.05720410025 200.049444594644 801.613780466261</t>
  </si>
  <si>
    <t>-679.536458598827 -65.3222004748279 309.637856241418</t>
  </si>
  <si>
    <t>-681.277075912448 -26.6262926773536 755.704449311698</t>
  </si>
  <si>
    <t>-567.817916843398 -110.246146789137 827.967960304489</t>
  </si>
  <si>
    <t>9763-20170724T105116.108204100.bin</t>
  </si>
  <si>
    <t>-734.520235224811 5.35910116873424 -688.566768776176</t>
  </si>
  <si>
    <t>-767.843406201037 14.2381746323583 -553.956609883986</t>
  </si>
  <si>
    <t>-802.702160310957 143.869160353995 -524.334580048488</t>
  </si>
  <si>
    <t>-726.384487596867 164.743661682342 -240.907135792563</t>
  </si>
  <si>
    <t>-489.915945054811 164.593792747557 -287.096682063142</t>
  </si>
  <si>
    <t>-764.615767700406 83.9395811531838 -101.911081184673</t>
  </si>
  <si>
    <t>-733.020299997807 140.456031681775 296.413286794283</t>
  </si>
  <si>
    <t>-744.586486619811 219.299025549671 737.391040134576</t>
  </si>
  <si>
    <t>-601.059913023806 200.022661602437 801.545912779475</t>
  </si>
  <si>
    <t>-679.588455750094 -65.378315239489 309.625648210011</t>
  </si>
  <si>
    <t>-681.281870476271 -26.5897703357484 755.680946104877</t>
  </si>
  <si>
    <t>-567.609604037104 -109.927259958296 827.936119606943</t>
  </si>
  <si>
    <t>9763-20170724T105116.140980900.bin</t>
  </si>
  <si>
    <t>-734.680347424791 5.04051154709919 -688.57502264838</t>
  </si>
  <si>
    <t>-768.000770739339 14.0332742658547 -553.966757722616</t>
  </si>
  <si>
    <t>-802.760160290426 143.701767678978 -524.358156982452</t>
  </si>
  <si>
    <t>-726.397871065686 164.707289432185 -240.95245341681</t>
  </si>
  <si>
    <t>-489.909790598786 164.603049959545 -287.041897220225</t>
  </si>
  <si>
    <t>-764.619771359007 83.8304379810488 -101.909132129359</t>
  </si>
  <si>
    <t>-733.002926476765 140.404725380428 296.405318448704</t>
  </si>
  <si>
    <t>-744.605449580336 219.266902726609 737.372342317847</t>
  </si>
  <si>
    <t>-601.069764423559 200.000056934094 801.509681041969</t>
  </si>
  <si>
    <t>-679.639710202603 -65.3849860426135 309.606709038511</t>
  </si>
  <si>
    <t>-681.278915562167 -26.5720032648619 755.659768139907</t>
  </si>
  <si>
    <t>-567.54490922378 -109.818657235966 827.92220455351</t>
  </si>
  <si>
    <t>9763-20170724T105116.211671900.bin</t>
  </si>
  <si>
    <t>-735.226749306989 4.50101451138244 -688.614602220181</t>
  </si>
  <si>
    <t>-768.503585942123 13.8174539226948 -554.010996918164</t>
  </si>
  <si>
    <t>-803.08513046948 143.556580859035 -524.529461474225</t>
  </si>
  <si>
    <t>-726.732176041958 164.859009883077 -241.143508910952</t>
  </si>
  <si>
    <t>-490.213002793988 164.935178891653 -287.073010053139</t>
  </si>
  <si>
    <t>-764.744472956885 83.9695974489375 -101.949713530057</t>
  </si>
  <si>
    <t>-732.930902800063 140.49650278904 296.355842969624</t>
  </si>
  <si>
    <t>-744.64442325461 219.215253379972 737.342747384833</t>
  </si>
  <si>
    <t>-601.10542257653 199.866665803273 801.447984118913</t>
  </si>
  <si>
    <t>-679.761609417291 -65.2521509532323 309.573881520643</t>
  </si>
  <si>
    <t>-681.250909752074 -26.4564321213677 755.635938127084</t>
  </si>
  <si>
    <t>-567.654708618909 -109.870204276386 827.92274643637</t>
  </si>
  <si>
    <t>9763-20170724T105116.244260000.bin</t>
  </si>
  <si>
    <t>-735.587951242613 4.18901849526515 -688.639937990037</t>
  </si>
  <si>
    <t>-768.826343462263 13.7194083760439 -554.042043766171</t>
  </si>
  <si>
    <t>-803.256442924395 143.515669992577 -524.641847660048</t>
  </si>
  <si>
    <t>-726.891463524576 165.043745500771 -241.276241184471</t>
  </si>
  <si>
    <t>-490.35286737084 165.147509245059 -287.105806478769</t>
  </si>
  <si>
    <t>-764.785898070364 84.0661885717445 -101.958077087022</t>
  </si>
  <si>
    <t>-732.872857846435 140.565681008326 296.343389989176</t>
  </si>
  <si>
    <t>-744.667963406974 219.200868369347 737.331863352852</t>
  </si>
  <si>
    <t>-601.127779907859 199.798496312413 801.418383680105</t>
  </si>
  <si>
    <t>-679.823638141184 -65.1362816133992 309.56643927747</t>
  </si>
  <si>
    <t>-681.234337018682 -26.3898240567867 755.628364650182</t>
  </si>
  <si>
    <t>-567.718224720811 -109.901361520136 827.927769179781</t>
  </si>
  <si>
    <t>9763-20170724T105116.311445300.bin</t>
  </si>
  <si>
    <t>-736.349187847874 3.15551466827606 -688.683654052916</t>
  </si>
  <si>
    <t>-769.459549550527 13.1583856104783 -554.105555453982</t>
  </si>
  <si>
    <t>-803.435370392093 143.116308045819 -524.867764879033</t>
  </si>
  <si>
    <t>-727.093163315955 164.970654414188 -241.520812702593</t>
  </si>
  <si>
    <t>-490.505935814006 164.897011765747 -287.098374669859</t>
  </si>
  <si>
    <t>-764.682523433406 84.0959032108428 -101.990027594983</t>
  </si>
  <si>
    <t>-733.029582934854 140.247549557937 296.381313237165</t>
  </si>
  <si>
    <t>-744.706456399617 219.102031786472 737.328290343003</t>
  </si>
  <si>
    <t>-601.186802229787 199.494078930117 801.397927909824</t>
  </si>
  <si>
    <t>-680.223865178286 -65.0800326602925 309.556264255292</t>
  </si>
  <si>
    <t>-681.316637088778 -26.4672056451725 755.637764721734</t>
  </si>
  <si>
    <t>-567.719389439143 -109.881782205406 827.921507298714</t>
  </si>
  <si>
    <t>9763-20170724T105116.344531700.bin</t>
  </si>
  <si>
    <t>-736.508180674535 2.62563407894027 -688.71232482226</t>
  </si>
  <si>
    <t>-769.604562261523 12.8887750974968 -554.164649453785</t>
  </si>
  <si>
    <t>-803.338776459307 142.925803843965 -525.022148279105</t>
  </si>
  <si>
    <t>-727.123232540501 165.111965633711 -241.666896770938</t>
  </si>
  <si>
    <t>-490.528032323575 164.674458641073 -287.201277325103</t>
  </si>
  <si>
    <t>-764.632591295209 83.9714879895337 -101.954157829628</t>
  </si>
  <si>
    <t>-733.508106680493 139.926806950621 296.486503643029</t>
  </si>
  <si>
    <t>-744.776751117343 218.86616312708 737.423413674802</t>
  </si>
  <si>
    <t>-601.251472198534 199.169025120288 801.453226858102</t>
  </si>
  <si>
    <t>-680.416307468985 -65.1134093686928 309.567346718796</t>
  </si>
  <si>
    <t>-681.338869459441 -26.4630139458177 755.650748999022</t>
  </si>
  <si>
    <t>-567.785884996852 -109.944792430896 827.926655757348</t>
  </si>
  <si>
    <t>9763-20170724T105116.411718000.bin</t>
  </si>
  <si>
    <t>-736.208136758508 1.54356520326769 -688.804157193864</t>
  </si>
  <si>
    <t>-769.425314793364 12.4284008794016 -554.363838770827</t>
  </si>
  <si>
    <t>-802.430520266489 142.741761001852 -525.571838746241</t>
  </si>
  <si>
    <t>-727.252970885603 165.508476880513 -241.985559959808</t>
  </si>
  <si>
    <t>-490.642635631661 164.198121169225 -287.425119424113</t>
  </si>
  <si>
    <t>-765.06142946292 83.9449677551427 -101.853609837846</t>
  </si>
  <si>
    <t>-735.596701123335 139.493711358014 296.770067687765</t>
  </si>
  <si>
    <t>-744.913575108723 218.601068199661 737.647803591909</t>
  </si>
  <si>
    <t>-601.419257642215 198.464932641056 801.610723241375</t>
  </si>
  <si>
    <t>-681.085992843759 -65.2278679020415 309.541919831971</t>
  </si>
  <si>
    <t>-681.37847037683 -26.4462956521772 755.645478111076</t>
  </si>
  <si>
    <t>-567.607396224806 -109.644839821018 827.904984728502</t>
  </si>
  <si>
    <t>9763-20170724T105116.445811800.bin</t>
  </si>
  <si>
    <t>-735.571373330969 1.05053314146562 -688.882792735313</t>
  </si>
  <si>
    <t>-768.909682429722 12.2494920674562 -554.507245076028</t>
  </si>
  <si>
    <t>-801.428849172295 142.727914914648 -525.953618276911</t>
  </si>
  <si>
    <t>-727.304664350179 165.656195123904 -242.103065347782</t>
  </si>
  <si>
    <t>-490.682474392335 163.628023905516 -287.454406149859</t>
  </si>
  <si>
    <t>-764.994699500261 84.0576944012867 -101.897119428861</t>
  </si>
  <si>
    <t>-736.980986939608 139.750160869657 296.811139028175</t>
  </si>
  <si>
    <t>-744.923294474842 218.713778593031 737.68467294385</t>
  </si>
  <si>
    <t>-601.456576456521 198.336749259328 801.632857487879</t>
  </si>
  <si>
    <t>-681.634013516842 -65.1781502636704 309.495710207387</t>
  </si>
  <si>
    <t>-681.467189592236 -26.5850269416196 755.641159521097</t>
  </si>
  <si>
    <t>-567.646010787921 -109.720790038534 827.894267113686</t>
  </si>
  <si>
    <t>9763-20170724T105116.511989300.bin</t>
  </si>
  <si>
    <t>-733.891990788542 1.40172185460369 -689.097520475606</t>
  </si>
  <si>
    <t>-767.553346113563 13.1035935495111 -554.830970135119</t>
  </si>
  <si>
    <t>-799.03064032523 143.8899371137 -526.546568026788</t>
  </si>
  <si>
    <t>-727.135793471562 166.920617487155 -242.13152513616</t>
  </si>
  <si>
    <t>-490.444615706622 163.281095181678 -287.019283300576</t>
  </si>
  <si>
    <t>-765.267134364712 85.1245612460286 -102.083354082816</t>
  </si>
  <si>
    <t>-740.235456976458 140.529256224064 296.863258709992</t>
  </si>
  <si>
    <t>-744.875053267204 218.74290444961 737.877201016464</t>
  </si>
  <si>
    <t>-601.474587712414 198.047478414481 801.871654247592</t>
  </si>
  <si>
    <t>-682.623849804483 -64.7685134976095 309.391885006134</t>
  </si>
  <si>
    <t>-681.45088217449 -26.3307200331869 755.598948970601</t>
  </si>
  <si>
    <t>-567.950401616676 -109.887226374596 827.871126475456</t>
  </si>
  <si>
    <t>9763-20170724T105116.544082000.bin</t>
  </si>
  <si>
    <t>-732.9538575297 1.93987738515011 -689.182170169136</t>
  </si>
  <si>
    <t>-766.836326538367 13.8178042398149 -554.970716238366</t>
  </si>
  <si>
    <t>-797.876533075734 144.727283685966 -526.747478662504</t>
  </si>
  <si>
    <t>-727.134064835459 167.548323531569 -242.026682968239</t>
  </si>
  <si>
    <t>-490.444438848226 163.142484168122 -286.85328255719</t>
  </si>
  <si>
    <t>-765.422743358565 85.5156284370153 -102.096688209308</t>
  </si>
  <si>
    <t>-741.432892274069 141.005707443997 296.902082614387</t>
  </si>
  <si>
    <t>-744.850225461433 218.692314693148 738.009623402809</t>
  </si>
  <si>
    <t>-601.441932475781 198.070784372237 802.010654938131</t>
  </si>
  <si>
    <t>-683.235728543708 -64.579144209197 309.370216669739</t>
  </si>
  <si>
    <t>-681.521508076765 -26.386974116708 755.607028260003</t>
  </si>
  <si>
    <t>-567.921690948213 -109.82107474534 827.864506913315</t>
  </si>
  <si>
    <t>9763-20170724T105116.612281800.bin</t>
  </si>
  <si>
    <t>-731.314579985169 2.34613284231295 -689.234950806495</t>
  </si>
  <si>
    <t>-765.593165244904 14.5393001783386 -555.140998640367</t>
  </si>
  <si>
    <t>-796.073647668841 145.598161052932 -527.030646913812</t>
  </si>
  <si>
    <t>-727.130374314022 168.015585121268 -241.836864260738</t>
  </si>
  <si>
    <t>-490.497365939206 162.201868506608 -286.801835156879</t>
  </si>
  <si>
    <t>-765.432966774396 85.8202918030615 -102.092405635068</t>
  </si>
  <si>
    <t>-742.849681417903 141.844633939294 296.913758968463</t>
  </si>
  <si>
    <t>-744.79693391444 218.737020250457 738.180503146608</t>
  </si>
  <si>
    <t>-601.407806090645 198.075535960144 802.211308118446</t>
  </si>
  <si>
    <t>-684.3101426415 -64.0634645493797 309.392910132459</t>
  </si>
  <si>
    <t>-681.538338447968 -26.2021024020116 755.653289139443</t>
  </si>
  <si>
    <t>-568.407243572118 -110.265573299193 827.916533567643</t>
  </si>
  <si>
    <t>9763-20170724T105116.643365700.bin</t>
  </si>
  <si>
    <t>-730.881258955556 2.45157181820923 -689.209413985478</t>
  </si>
  <si>
    <t>-765.346267698975 14.7522942641456 -555.173763588064</t>
  </si>
  <si>
    <t>-795.715702687796 145.857030143229 -527.143920000547</t>
  </si>
  <si>
    <t>-727.466319451079 168.242731866722 -241.780820745113</t>
  </si>
  <si>
    <t>-490.884781278614 161.857453506097 -286.939702930079</t>
  </si>
  <si>
    <t>-765.696536128309 85.9640320667113 -102.042230943487</t>
  </si>
  <si>
    <t>-743.169687277539 142.0523039342 296.958174877152</t>
  </si>
  <si>
    <t>-744.782687944724 218.750572218477 738.255579568654</t>
  </si>
  <si>
    <t>-601.395566147441 198.076415637266 802.286851812325</t>
  </si>
  <si>
    <t>-684.742316287156 -63.9814073123082 309.41847063119</t>
  </si>
  <si>
    <t>-681.615499559374 -26.3311078413303 755.687236313991</t>
  </si>
  <si>
    <t>-568.244059195342 -110.088804876953 827.929098708178</t>
  </si>
  <si>
    <t>9763-20170724T105116.710556900.bin</t>
  </si>
  <si>
    <t>-730.400031612926 2.22310693078657 -689.093216981207</t>
  </si>
  <si>
    <t>-765.147195623463 14.7249868400306 -555.154150619802</t>
  </si>
  <si>
    <t>-795.460048132022 145.887594077104 -527.278835025602</t>
  </si>
  <si>
    <t>-728.367758934005 168.563727781902 -241.664300752287</t>
  </si>
  <si>
    <t>-491.918608784575 161.403636855294 -287.396374867311</t>
  </si>
  <si>
    <t>-765.835580858912 86.032761270267 -101.922794834623</t>
  </si>
  <si>
    <t>-743.597724205671 142.234636495656 297.077849274083</t>
  </si>
  <si>
    <t>-744.774173115675 218.831799251401 738.404116476377</t>
  </si>
  <si>
    <t>-601.391270153599 198.027181684134 802.402746262169</t>
  </si>
  <si>
    <t>-685.358702161291 -63.9104014926843 309.427156787743</t>
  </si>
  <si>
    <t>-681.665495448835 -26.3679040615473 755.710377460676</t>
  </si>
  <si>
    <t>-568.094602220303 -109.852868489583 827.954203933802</t>
  </si>
  <si>
    <t>9763-20170724T105116.746306300.bin</t>
  </si>
  <si>
    <t>-730.313961432239 1.99135664483197 -689.030820364142</t>
  </si>
  <si>
    <t>-765.166107753404 14.5826423883548 -555.133398203309</t>
  </si>
  <si>
    <t>-795.502894557649 145.74549073904 -527.326773251027</t>
  </si>
  <si>
    <t>-728.969129772875 168.686002535962 -241.602775868067</t>
  </si>
  <si>
    <t>-492.573205896768 161.09069830599 -287.539725889808</t>
  </si>
  <si>
    <t>-765.885364060548 86.0683535437329 -101.873357161375</t>
  </si>
  <si>
    <t>-743.761982485789 142.19897442116 297.143656227104</t>
  </si>
  <si>
    <t>-744.764553540481 218.831693081948 738.470089124093</t>
  </si>
  <si>
    <t>-601.382661297577 197.991187754362 802.458897475158</t>
  </si>
  <si>
    <t>-685.557374617504 -63.920238530822 309.441303365834</t>
  </si>
  <si>
    <t>-681.743455463242 -26.5118726568521 755.728628103162</t>
  </si>
  <si>
    <t>-568.078173227618 -109.869501318706 827.971465814079</t>
  </si>
  <si>
    <t>9763-20170724T105116.810468900.bin</t>
  </si>
  <si>
    <t>-730.332091519737 1.75626040731822 -688.900555940838</t>
  </si>
  <si>
    <t>-765.290029709394 14.4147564211298 -555.038220973135</t>
  </si>
  <si>
    <t>-795.877352149711 145.521825344007 -527.264854297041</t>
  </si>
  <si>
    <t>-730.361210851376 168.756049276711 -241.329441411535</t>
  </si>
  <si>
    <t>-494.08668671431 160.408719629042 -287.757562598872</t>
  </si>
  <si>
    <t>-765.929551077854 85.9517747668428 -101.728458879456</t>
  </si>
  <si>
    <t>-744.011067696643 142.174854909098 297.286859242687</t>
  </si>
  <si>
    <t>-744.764338575873 218.714756871008 738.630084163008</t>
  </si>
  <si>
    <t>-601.350038494438 197.978544108286 802.580591006283</t>
  </si>
  <si>
    <t>-685.845875572119 -63.7980437223712 309.509247476763</t>
  </si>
  <si>
    <t>-681.740144541575 -26.3912556182604 755.752699736891</t>
  </si>
  <si>
    <t>-568.45724710289 -110.25131094615 828.014440482403</t>
  </si>
  <si>
    <t>9763-20170724T105116.846083900.bin</t>
  </si>
  <si>
    <t>-730.206077656146 1.69231879999347 -688.842674185957</t>
  </si>
  <si>
    <t>-765.207206437271 14.3227048003885 -554.98645212325</t>
  </si>
  <si>
    <t>-795.974599742512 145.384943369873 -527.163302054651</t>
  </si>
  <si>
    <t>-730.909241454191 168.551740401807 -241.119711052541</t>
  </si>
  <si>
    <t>-494.710280163133 160.074094235003 -287.90672133234</t>
  </si>
  <si>
    <t>-765.834032093083 85.7789630961777 -101.68383698051</t>
  </si>
  <si>
    <t>-744.08267208953 142.136747990954 297.321569928365</t>
  </si>
  <si>
    <t>-744.765882630885 218.643206828652 738.677374383275</t>
  </si>
  <si>
    <t>-601.333786471309 197.972419937327 802.608743925212</t>
  </si>
  <si>
    <t>-686.119556997853 -63.70297847849 309.55118928113</t>
  </si>
  <si>
    <t>-681.727687545967 -26.289326102705 755.76896621246</t>
  </si>
  <si>
    <t>-568.585675481628 -110.33831019513 828.032090236111</t>
  </si>
  <si>
    <t>9763-20170724T105116.910769400.bin</t>
  </si>
  <si>
    <t>-730.440638603661 1.88133255001139 -688.811723707976</t>
  </si>
  <si>
    <t>-765.504963900265 14.4140131710014 -554.963492857787</t>
  </si>
  <si>
    <t>-796.635621327759 145.373558803885 -527.066006797936</t>
  </si>
  <si>
    <t>-732.401450164941 168.412897601944 -240.824216325007</t>
  </si>
  <si>
    <t>-496.278372584476 159.768980446 -287.962262431454</t>
  </si>
  <si>
    <t>-766.185404495852 85.7196943126778 -101.651052014953</t>
  </si>
  <si>
    <t>-744.638029203113 142.031084657599 297.371962077488</t>
  </si>
  <si>
    <t>-744.773969732528 218.483009168073 738.73942816013</t>
  </si>
  <si>
    <t>-601.329184574329 197.855961879883 802.65659878704</t>
  </si>
  <si>
    <t>-686.467546220545 -63.618319538263 309.59042238227</t>
  </si>
  <si>
    <t>-681.827602296052 -26.4304737119323 755.809251026233</t>
  </si>
  <si>
    <t>-568.494174863848 -110.231727273926 828.059869872181</t>
  </si>
  <si>
    <t>9763-20170724T105116.942367800.bin</t>
  </si>
  <si>
    <t>-730.71620889358 1.67272347014659 -688.791015114029</t>
  </si>
  <si>
    <t>-765.820641178186 14.2109447336588 -554.958989991274</t>
  </si>
  <si>
    <t>-797.040953719659 145.154595978962 -527.069834714787</t>
  </si>
  <si>
    <t>-733.212630812859 168.142973045778 -240.733323237034</t>
  </si>
  <si>
    <t>-497.111453486413 159.47302724671 -287.976877191767</t>
  </si>
  <si>
    <t>-766.504341847457 85.6089075980606 -101.619181283979</t>
  </si>
  <si>
    <t>-745.006809364301 141.87878353457 297.412391503179</t>
  </si>
  <si>
    <t>-744.776973654869 218.3518031515 738.776778878421</t>
  </si>
  <si>
    <t>-601.339636012194 197.720283456626 802.709171568439</t>
  </si>
  <si>
    <t>-686.606869110087 -63.633260151144 309.595777583966</t>
  </si>
  <si>
    <t>-681.838119529294 -26.408223683432 755.816635311357</t>
  </si>
  <si>
    <t>-568.483918305362 -110.183145528612 828.06528218473</t>
  </si>
  <si>
    <t>9763-20170724T105117.009546000.bin</t>
  </si>
  <si>
    <t>-731.213498936947 0.438841470410352 -688.749381480212</t>
  </si>
  <si>
    <t>-766.407506069001 13.1944370090075 -554.970971243818</t>
  </si>
  <si>
    <t>-797.649696094488 144.157225462749 -527.217995049822</t>
  </si>
  <si>
    <t>-734.520909213152 167.205965064611 -240.731200863914</t>
  </si>
  <si>
    <t>-498.397201206244 158.205561651097 -287.799231441059</t>
  </si>
  <si>
    <t>-767.049132746715 85.122999569315 -101.579852352003</t>
  </si>
  <si>
    <t>-745.494613031877 141.408115634176 297.446546948163</t>
  </si>
  <si>
    <t>-744.768692383105 218.062652080138 738.841950919923</t>
  </si>
  <si>
    <t>-601.316308562036 197.548042533537 802.778210694457</t>
  </si>
  <si>
    <t>-686.681488681414 -63.8433852218736 309.590746662337</t>
  </si>
  <si>
    <t>-681.896034422959 -26.4208672383666 755.819158566476</t>
  </si>
  <si>
    <t>-568.381262798349 -109.988514221123 828.055849863902</t>
  </si>
  <si>
    <t>9763-20170724T105117.052166200.bin</t>
  </si>
  <si>
    <t>-766.422378797311 12.7153766727176 -554.973051829502</t>
  </si>
  <si>
    <t>-797.655839326238 143.6994434011 -527.327686448314</t>
  </si>
  <si>
    <t>-734.807529938294 166.794060393904 -240.782850463482</t>
  </si>
  <si>
    <t>-498.658179871574 157.653040029898 -287.695862181366</t>
  </si>
  <si>
    <t>-767.076586953937 84.7937294000626 -101.537255003818</t>
  </si>
  <si>
    <t>-745.376676543575 141.267132138953 297.45460362592</t>
  </si>
  <si>
    <t>-744.749060252658 217.963264269165 738.834374887015</t>
  </si>
  <si>
    <t>-601.280271026425 197.576480367916 802.774722322511</t>
  </si>
  <si>
    <t>-686.450867685459 -63.820425059899 309.58573202889</t>
  </si>
  <si>
    <t>-681.843146316354 -26.246115023094 755.802208496178</t>
  </si>
  <si>
    <t>-568.934520369364 -110.588511564446 828.088540684924</t>
  </si>
  <si>
    <t>9763-20170724T105117.110321200.bin</t>
  </si>
  <si>
    <t>-766.253647810446 11.4938836194158 -554.930801193913</t>
  </si>
  <si>
    <t>-797.563157445438 142.5077217389 -527.512594926769</t>
  </si>
  <si>
    <t>-735.034670863887 165.841335532797 -240.917210950566</t>
  </si>
  <si>
    <t>-498.899306513213 156.808173131556 -287.920948363961</t>
  </si>
  <si>
    <t>-767.025873790811 83.8877808105203 -101.422953532104</t>
  </si>
  <si>
    <t>-744.931055855048 140.779369322152 297.487899701399</t>
  </si>
  <si>
    <t>-744.714497516968 217.787348319133 738.803434223085</t>
  </si>
  <si>
    <t>-601.225340543587 197.573171622266 802.752773433895</t>
  </si>
  <si>
    <t>-686.140011000547 -64.2493799064407 309.613932051091</t>
  </si>
  <si>
    <t>-681.825789308857 -26.1165320607392 755.784746667125</t>
  </si>
  <si>
    <t>-568.588895682306 -110.015266762318 828.073691106658</t>
  </si>
  <si>
    <t>9763-20170724T105117.143415700.bin</t>
  </si>
  <si>
    <t>-766.171604008841 11.1834121122149 -554.89786486547</t>
  </si>
  <si>
    <t>-797.528240909447 142.19701101257 -527.565487724752</t>
  </si>
  <si>
    <t>-735.160916195388 165.723232602348 -240.950724979609</t>
  </si>
  <si>
    <t>-499.031646701944 156.877596447782 -288.020651019484</t>
  </si>
  <si>
    <t>-766.988959203506 83.612649828902 -101.411967622212</t>
  </si>
  <si>
    <t>-744.801636314183 140.674170834129 297.469451132516</t>
  </si>
  <si>
    <t>-744.702055605298 217.717088167515 738.767029425968</t>
  </si>
  <si>
    <t>-601.206418887169 197.555220112103 802.718591774415</t>
  </si>
  <si>
    <t>-686.163593526591 -64.3933764929532 309.651015908042</t>
  </si>
  <si>
    <t>-681.882508149233 -26.2016772458576 755.797153646312</t>
  </si>
  <si>
    <t>-568.731937221709 -110.210711565332 828.093286609517</t>
  </si>
  <si>
    <t>9763-20170724T105117.209602000.bin</t>
  </si>
  <si>
    <t>-765.816370598481 10.9675159557241 -554.9167364913</t>
  </si>
  <si>
    <t>-797.217985330403 142.008838509886 -527.729104450661</t>
  </si>
  <si>
    <t>-735.454633926187 165.375160949558 -240.970329440633</t>
  </si>
  <si>
    <t>-499.386687740452 157.289422058778 -288.482831343492</t>
  </si>
  <si>
    <t>-766.901366483661 83.4981101117528 -101.502279675929</t>
  </si>
  <si>
    <t>-744.637652731092 140.693424893415 297.355670595005</t>
  </si>
  <si>
    <t>-744.656203990656 217.763637568953 738.638726833476</t>
  </si>
  <si>
    <t>-601.200469242086 197.451447869154 802.632232757911</t>
  </si>
  <si>
    <t>-686.227052696993 -64.4794046427899 309.677875889595</t>
  </si>
  <si>
    <t>-681.960073888542 -26.3175605935789 755.811696177943</t>
  </si>
  <si>
    <t>-568.497452581458 -109.913063614149 828.098250235855</t>
  </si>
  <si>
    <t>9763-20170724T105117.240214500.bin</t>
  </si>
  <si>
    <t>-765.489504980847 11.0261998081473 -554.931178943833</t>
  </si>
  <si>
    <t>-796.902029385252 142.075539917483 -527.794555323997</t>
  </si>
  <si>
    <t>-735.559186664954 165.299780406776 -240.934168432425</t>
  </si>
  <si>
    <t>-499.561170516328 157.427523627471 -288.828322149697</t>
  </si>
  <si>
    <t>-766.976559232245 83.4703887476244 -101.534896775916</t>
  </si>
  <si>
    <t>-744.469774125314 140.606894654344 297.317828350997</t>
  </si>
  <si>
    <t>-744.630879231156 217.75519104 738.594375993997</t>
  </si>
  <si>
    <t>-601.188363719175 197.40616844748 802.605775641592</t>
  </si>
  <si>
    <t>-686.362172851939 -64.4245077430562 309.658898016291</t>
  </si>
  <si>
    <t>-681.941530444792 -26.1915065345097 755.803984805996</t>
  </si>
  <si>
    <t>-568.731193344461 -110.113434187572 828.107386044856</t>
  </si>
  <si>
    <t>9763-20170724T105117.310401500.bin</t>
  </si>
  <si>
    <t>-764.727718849151 11.1879963570154 -554.958082016117</t>
  </si>
  <si>
    <t>-796.100446754961 142.243213854195 -527.771065472072</t>
  </si>
  <si>
    <t>-735.258492651775 165.18228533021 -240.781138888713</t>
  </si>
  <si>
    <t>-499.398330779712 157.258155085312 -289.341205664188</t>
  </si>
  <si>
    <t>-766.813796050632 83.1521169183598 -101.543627439961</t>
  </si>
  <si>
    <t>-744.43728450065 140.595610987256 297.272372419152</t>
  </si>
  <si>
    <t>-744.596536678049 217.755630281296 738.505110823204</t>
  </si>
  <si>
    <t>-601.163975028083 197.397842393567 802.535998888769</t>
  </si>
  <si>
    <t>-686.456858533611 -64.5415944949084 309.683025545122</t>
  </si>
  <si>
    <t>-681.974623356953 -26.1383639984485 755.821155370787</t>
  </si>
  <si>
    <t>-568.862423790276 -110.195463517963 828.121520674623</t>
  </si>
  <si>
    <t>9763-20170724T105117.345077600.bin</t>
  </si>
  <si>
    <t>-764.292472833861 11.1290807268515 -554.9877358812</t>
  </si>
  <si>
    <t>-795.703705227573 142.165760897821 -527.768009524627</t>
  </si>
  <si>
    <t>-735.058959474761 164.996081415547 -240.727606453422</t>
  </si>
  <si>
    <t>-499.279181630203 156.908176926851 -289.648998152888</t>
  </si>
  <si>
    <t>-766.730427077427 83.0551467951636 -101.569342622656</t>
  </si>
  <si>
    <t>-744.543895874244 140.583222057232 297.245060658736</t>
  </si>
  <si>
    <t>-744.577826576716 217.747661939229 738.467271772371</t>
  </si>
  <si>
    <t>-601.146216057876 197.403779645732 802.504848477925</t>
  </si>
  <si>
    <t>-686.49560165807 -64.6799170515681 309.69294878404</t>
  </si>
  <si>
    <t>-682.05226966775 -26.2842607638206 755.828621453689</t>
  </si>
  <si>
    <t>-568.852336682902 -110.230127272572 828.120742977135</t>
  </si>
  <si>
    <t>9763-20170724T105117.411252500.bin</t>
  </si>
  <si>
    <t>-763.53729174916 10.8109240908116 -555.027738578035</t>
  </si>
  <si>
    <t>-795.017751945503 141.820816502678 -527.750568666348</t>
  </si>
  <si>
    <t>-734.670014482082 164.411399866379 -240.628690137275</t>
  </si>
  <si>
    <t>-499.102184393184 155.990889375065 -290.506140786106</t>
  </si>
  <si>
    <t>-766.542530776135 82.8141807928955 -101.620058858062</t>
  </si>
  <si>
    <t>-744.516544580129 140.453793077902 297.187151453487</t>
  </si>
  <si>
    <t>-744.539279427426 217.69748876086 738.404646378272</t>
  </si>
  <si>
    <t>-601.098011041244 197.469525803705 802.457150033214</t>
  </si>
  <si>
    <t>-686.424070838813 -64.7566998260872 309.697088822011</t>
  </si>
  <si>
    <t>-682.074154567107 -26.2450804549853 755.83002567993</t>
  </si>
  <si>
    <t>-568.862870195969 -110.181094837071 828.115841985315</t>
  </si>
  <si>
    <t>9763-20170724T105117.441359000.bin</t>
  </si>
  <si>
    <t>-763.084800719535 10.4404567124359 -555.054543520434</t>
  </si>
  <si>
    <t>-794.66565770491 141.429945974418 -527.792427670892</t>
  </si>
  <si>
    <t>-734.59455536179 164.004570279602 -240.611132040757</t>
  </si>
  <si>
    <t>-499.144416472948 155.250411410329 -290.984598795315</t>
  </si>
  <si>
    <t>-766.380929994883 82.5918751701217 -101.620156438091</t>
  </si>
  <si>
    <t>-744.456408441652 140.291178436617 297.183949411828</t>
  </si>
  <si>
    <t>-744.52411737071 217.696586269384 738.382924906503</t>
  </si>
  <si>
    <t>-601.081146263149 197.480600580297 802.435351580203</t>
  </si>
  <si>
    <t>-686.409106419221 -65.0438996119744 309.693558253565</t>
  </si>
  <si>
    <t>-682.229044056661 -26.5926841146459 755.838799702745</t>
  </si>
  <si>
    <t>-568.627228419323 -110.022263994616 828.098345149632</t>
  </si>
  <si>
    <t>9763-20170724T105117.512066900.bin</t>
  </si>
  <si>
    <t>-762.114462894042 10.0664843117104 -555.110598415163</t>
  </si>
  <si>
    <t>-793.691226608863 141.050270663998 -527.870967707279</t>
  </si>
  <si>
    <t>-734.201477436673 163.615389624718 -240.56808229102</t>
  </si>
  <si>
    <t>-498.912873779518 154.323602972258 -291.595265022365</t>
  </si>
  <si>
    <t>-765.87046103751 82.3284010404441 -101.654775924466</t>
  </si>
  <si>
    <t>-744.259174106607 140.14814817128 297.149087591084</t>
  </si>
  <si>
    <t>-744.500775548451 217.668739313639 738.326730848007</t>
  </si>
  <si>
    <t>-601.050926867781 197.509952916584 802.382144634548</t>
  </si>
  <si>
    <t>-686.148175122852 -65.1342505901857 309.713037464177</t>
  </si>
  <si>
    <t>-682.136728111242 -26.2748569323567 755.821958032569</t>
  </si>
  <si>
    <t>-568.86249266704 -110.128033749317 828.105474867794</t>
  </si>
  <si>
    <t>9763-20170724T105117.542164500.bin</t>
  </si>
  <si>
    <t>-761.789639155458 10.0295694907204 -555.127645172328</t>
  </si>
  <si>
    <t>-793.331915172075 141.022727392913 -527.898611917264</t>
  </si>
  <si>
    <t>-734.141499508984 163.56336464548 -240.532009313985</t>
  </si>
  <si>
    <t>-498.896901295561 153.853372284543 -291.68441014103</t>
  </si>
  <si>
    <t>-765.534274853607 82.2987969432345 -101.681195227987</t>
  </si>
  <si>
    <t>-744.040640717697 140.129881605759 297.127357861885</t>
  </si>
  <si>
    <t>-744.492303204516 217.670439045665 738.295015660212</t>
  </si>
  <si>
    <t>-601.03970193849 197.529393679321 802.349567986863</t>
  </si>
  <si>
    <t>-685.998698685901 -65.181075545958 309.725513034378</t>
  </si>
  <si>
    <t>-682.165299813565 -26.3220382035281 755.822779477528</t>
  </si>
  <si>
    <t>-568.956455564676 -110.258831176804 828.111491129813</t>
  </si>
  <si>
    <t>9763-20170724T105117.611362100.bin</t>
  </si>
  <si>
    <t>-761.100000962082 9.94082457797776 -555.165215569946</t>
  </si>
  <si>
    <t>-792.568175243634 140.970568835818 -527.972409317509</t>
  </si>
  <si>
    <t>-734.19385971535 163.203086566599 -240.41484256505</t>
  </si>
  <si>
    <t>-498.999742963034 152.839392296278 -291.670847029433</t>
  </si>
  <si>
    <t>-764.979097737661 82.2210606063352 -101.746775063494</t>
  </si>
  <si>
    <t>-743.718888894876 140.063869033747 297.072519539157</t>
  </si>
  <si>
    <t>-744.474540661209 217.685667340926 738.227403959703</t>
  </si>
  <si>
    <t>-601.019597415176 197.527522081772 802.271364320478</t>
  </si>
  <si>
    <t>-685.89004581012 -65.2653010677348 309.724139107813</t>
  </si>
  <si>
    <t>-682.160953107429 -26.2716191563204 755.806796104146</t>
  </si>
  <si>
    <t>-568.888520154991 -110.114514999749 828.104782862564</t>
  </si>
  <si>
    <t>9763-20170724T105117.642957700.bin</t>
  </si>
  <si>
    <t>-760.7745153351 9.90270796446407 -555.1921527906</t>
  </si>
  <si>
    <t>-792.239350568028 140.927600118724 -527.972098363801</t>
  </si>
  <si>
    <t>-734.121462792575 163.024023585954 -240.352032572244</t>
  </si>
  <si>
    <t>-498.972155247661 152.383311877222 -291.756467111801</t>
  </si>
  <si>
    <t>-764.767483111787 82.2113323041474 -101.804087279639</t>
  </si>
  <si>
    <t>-743.626924680627 140.054925197503 297.02156831538</t>
  </si>
  <si>
    <t>-744.468655516607 217.67807967146 738.179030356261</t>
  </si>
  <si>
    <t>-601.005088447279 197.554424668025 802.214550889933</t>
  </si>
  <si>
    <t>-685.929733540711 -65.2171531794611 309.727710481199</t>
  </si>
  <si>
    <t>-682.183102484735 -26.3202189971882 755.801899070119</t>
  </si>
  <si>
    <t>-568.93398886753 -110.188427011325 828.107234830677</t>
  </si>
  <si>
    <t>9763-20170724T105117.706127300.bin</t>
  </si>
  <si>
    <t>-759.737803793252 9.6433084662674 -555.323578091312</t>
  </si>
  <si>
    <t>-791.374676539105 140.626779542308 -528.100533045574</t>
  </si>
  <si>
    <t>-733.888842933662 162.560229211346 -240.341019048619</t>
  </si>
  <si>
    <t>-498.774191846878 151.413809642319 -291.797264080864</t>
  </si>
  <si>
    <t>-764.392693065825 82.0959699651635 -101.954203460285</t>
  </si>
  <si>
    <t>-743.547783852842 140.096459607136 296.864207275247</t>
  </si>
  <si>
    <t>-744.452261054246 217.689186399788 738.029216975307</t>
  </si>
  <si>
    <t>-600.978549080214 197.606952198722 802.055040619894</t>
  </si>
  <si>
    <t>-686.071432739345 -65.2142118719792 309.73637761466</t>
  </si>
  <si>
    <t>-682.218883844349 -26.3680782350002 755.809640225881</t>
  </si>
  <si>
    <t>-568.757865496141 -109.960679597078 828.102040336733</t>
  </si>
  <si>
    <t>9763-20170724T105117.745294600.bin</t>
  </si>
  <si>
    <t>-759.086569686828 9.47073791445746 -555.420194758309</t>
  </si>
  <si>
    <t>-790.801319734365 140.447861361868 -528.269537120844</t>
  </si>
  <si>
    <t>-733.813096670231 162.423911157561 -240.414379768701</t>
  </si>
  <si>
    <t>-498.654004113921 151.064130958066 -291.62028533238</t>
  </si>
  <si>
    <t>-764.281588555372 82.1219118101692 -102.053898147859</t>
  </si>
  <si>
    <t>-743.549838100399 140.123251793399 296.770217503351</t>
  </si>
  <si>
    <t>-744.43915508524 217.692331714447 737.942872880991</t>
  </si>
  <si>
    <t>-600.963019621267 197.637805141594 801.971952144087</t>
  </si>
  <si>
    <t>-686.190541033262 -65.0575893849546 309.730362632997</t>
  </si>
  <si>
    <t>-682.199077328187 -26.2766984560551 755.812979139449</t>
  </si>
  <si>
    <t>-569.102680320366 -110.34463439545 828.125524012576</t>
  </si>
  <si>
    <t>9763-20170724T105117.811462200.bin</t>
  </si>
  <si>
    <t>-758.189057931016 8.61150228930342 -555.667245111682</t>
  </si>
  <si>
    <t>-790.046366231423 139.613281504529 -528.836599014087</t>
  </si>
  <si>
    <t>-734.094970160302 162.024215970494 -240.811655082888</t>
  </si>
  <si>
    <t>-498.684337511861 150.886057938962 -290.898285755703</t>
  </si>
  <si>
    <t>-764.3282509994 82.0779641676179 -102.230923272243</t>
  </si>
  <si>
    <t>-743.601928122703 140.087802656862 296.592319296612</t>
  </si>
  <si>
    <t>-744.405437045801 217.690022228024 737.774897423567</t>
  </si>
  <si>
    <t>-600.929971643609 197.680796533539 801.819602479365</t>
  </si>
  <si>
    <t>-686.336536437083 -65.1121511907693 309.69928643268</t>
  </si>
  <si>
    <t>-682.312593967569 -26.4644521145869 755.81426703076</t>
  </si>
  <si>
    <t>-569.036677931858 -110.312813184535 828.100480745255</t>
  </si>
  <si>
    <t>9763-20170724T105117.842574700.bin</t>
  </si>
  <si>
    <t>-757.712032455522 8.23292115248933 -555.786467324072</t>
  </si>
  <si>
    <t>-789.606633095632 139.281525972055 -529.184384385533</t>
  </si>
  <si>
    <t>-734.315139998213 161.867242220311 -241.045591675542</t>
  </si>
  <si>
    <t>-498.721747353558 151.047764674904 -290.335960502368</t>
  </si>
  <si>
    <t>-764.337042671066 82.0467542796828 -102.294610181444</t>
  </si>
  <si>
    <t>-743.646550492453 140.125991797039 296.520370623258</t>
  </si>
  <si>
    <t>-744.394690574392 217.689864588382 737.69803272172</t>
  </si>
  <si>
    <t>-600.919170555701 197.695486279662 801.747214840057</t>
  </si>
  <si>
    <t>-686.296900460941 -64.9947267863388 309.691369429806</t>
  </si>
  <si>
    <t>-682.239552765414 -26.2376174127669 755.805474712782</t>
  </si>
  <si>
    <t>-569.329792079317 -110.56267125845 828.11041750182</t>
  </si>
  <si>
    <t>9763-20170724T105117.911759200.bin</t>
  </si>
  <si>
    <t>-756.824191701702 7.27462374373999 -555.950244048183</t>
  </si>
  <si>
    <t>-788.675381026377 138.420011010783 -529.791648491629</t>
  </si>
  <si>
    <t>-734.544621049683 161.641210066986 -241.483025752646</t>
  </si>
  <si>
    <t>-498.685226551091 151.182837539169 -289.564805878292</t>
  </si>
  <si>
    <t>-764.344210993074 81.9167660131727 -102.404448336422</t>
  </si>
  <si>
    <t>-743.766919747721 140.086580473348 296.403235400764</t>
  </si>
  <si>
    <t>-744.372075753551 217.687718420809 737.561887627093</t>
  </si>
  <si>
    <t>-600.89296465829 197.746607016918 801.61963602953</t>
  </si>
  <si>
    <t>-686.46005080124 -65.125962185494 309.696486436976</t>
  </si>
  <si>
    <t>-682.297748682601 -26.3071924290848 755.803174007374</t>
  </si>
  <si>
    <t>-569.184749675889 -110.373286590463 828.09196911022</t>
  </si>
  <si>
    <t>9763-20170724T105117.943419000.bin</t>
  </si>
  <si>
    <t>-756.577644571986 6.85934397047959 -556.028505417367</t>
  </si>
  <si>
    <t>-788.338960834046 138.062201272145 -530.064078377499</t>
  </si>
  <si>
    <t>-734.597577882311 161.557984308994 -241.704812185779</t>
  </si>
  <si>
    <t>-498.708929140834 151.069833400513 -289.635749477611</t>
  </si>
  <si>
    <t>-764.382875574627 81.86971711806 -102.461573138291</t>
  </si>
  <si>
    <t>-743.812734812857 140.059445793701 296.343491771979</t>
  </si>
  <si>
    <t>-744.359663955312 217.699351691542 737.495719014698</t>
  </si>
  <si>
    <t>-600.884815112226 197.756839312187 801.562680502974</t>
  </si>
  <si>
    <t>-686.560008824178 -65.2162800323708 309.697724463778</t>
  </si>
  <si>
    <t>-682.336225389822 -26.3750602773068 755.805495650163</t>
  </si>
  <si>
    <t>-569.044158797729 -110.211745790594 828.080066056311</t>
  </si>
  <si>
    <t>9763-20170724T105118.010597200.bin</t>
  </si>
  <si>
    <t>-756.478942379936 6.05914551786645 -556.112363894748</t>
  </si>
  <si>
    <t>-788.059950842373 137.369808073463 -530.451325613656</t>
  </si>
  <si>
    <t>-734.27185644401 161.661596582889 -242.167005776856</t>
  </si>
  <si>
    <t>-498.427191334938 150.715765544627 -290.212668138404</t>
  </si>
  <si>
    <t>-764.436873433401 81.6974427674936 -102.535692653025</t>
  </si>
  <si>
    <t>-743.783501357642 139.969911032032 296.253020154462</t>
  </si>
  <si>
    <t>-744.338072873136 217.725612278524 737.375464131191</t>
  </si>
  <si>
    <t>-600.872552463623 197.747361130441 801.451966722531</t>
  </si>
  <si>
    <t>-686.709143823415 -65.3135470366774 309.699506507584</t>
  </si>
  <si>
    <t>-682.362414772857 -26.3833999234807 755.803788922007</t>
  </si>
  <si>
    <t>-569.082650264632 -110.236262042561 828.078911101584</t>
  </si>
  <si>
    <t>9763-20170724T105118.046735100.bin</t>
  </si>
  <si>
    <t>-756.574159359995 5.71104841121792 -556.139514748591</t>
  </si>
  <si>
    <t>-788.055211659352 137.061299848052 -530.582268917846</t>
  </si>
  <si>
    <t>-734.136076105136 161.476168452893 -242.33265685795</t>
  </si>
  <si>
    <t>-498.33662322014 150.366023120599 -290.562108914154</t>
  </si>
  <si>
    <t>-764.403511542377 81.5887034864215 -102.556257533611</t>
  </si>
  <si>
    <t>-743.69633615059 139.915847519398 296.221604174021</t>
  </si>
  <si>
    <t>-744.330421425178 217.745112868198 737.32338172248</t>
  </si>
  <si>
    <t>-600.867854579742 197.752739635998 801.40216116913</t>
  </si>
  <si>
    <t>-686.731591196932 -65.3471258423328 309.695245911585</t>
  </si>
  <si>
    <t>-682.37083517452 -26.3781952781108 755.792860518345</t>
  </si>
  <si>
    <t>-569.216205740349 -110.385679638971 828.084382853262</t>
  </si>
  <si>
    <t>9763-20170724T105118.109906200.bin</t>
  </si>
  <si>
    <t>-756.965170890199 5.01716619863942 -556.125040553264</t>
  </si>
  <si>
    <t>-788.379527441721 136.395365459941 -530.597198635716</t>
  </si>
  <si>
    <t>-734.089430380405 160.997264622447 -242.433047443658</t>
  </si>
  <si>
    <t>-498.368188830439 149.695822325177 -290.999525307924</t>
  </si>
  <si>
    <t>-764.414379564525 81.1584552256882 -102.549589718518</t>
  </si>
  <si>
    <t>-743.527395509601 139.620506246242 296.199207756487</t>
  </si>
  <si>
    <t>-744.314251924543 217.751407224504 737.24216094981</t>
  </si>
  <si>
    <t>-600.842029049209 197.78703135595 801.307850305801</t>
  </si>
  <si>
    <t>-686.809220834963 -65.5193082622948 309.675648524939</t>
  </si>
  <si>
    <t>-682.323539344304 -26.249602495124 755.755354645874</t>
  </si>
  <si>
    <t>-569.332066043381 -110.448172584299 828.079884580926</t>
  </si>
  <si>
    <t>9763-20170724T105118.141494700.bin</t>
  </si>
  <si>
    <t>-756.862175470616 4.72677660949967 -556.110676294805</t>
  </si>
  <si>
    <t>-788.286101070051 136.096012081012 -530.547093011333</t>
  </si>
  <si>
    <t>-733.960119979222 160.598495238367 -242.381402188704</t>
  </si>
  <si>
    <t>-498.250328425587 149.586074428199 -291.06865281642</t>
  </si>
  <si>
    <t>-764.449416262663 80.8258734973681 -102.529799906455</t>
  </si>
  <si>
    <t>-743.594725664235 139.428344552081 296.200020290908</t>
  </si>
  <si>
    <t>-744.309008479443 217.740212741117 737.211751541077</t>
  </si>
  <si>
    <t>-600.827400904002 197.810953391717 801.267794655399</t>
  </si>
  <si>
    <t>-686.884504920148 -65.6079557303578 309.671646174402</t>
  </si>
  <si>
    <t>-682.275327935216 -26.0936236138782 755.743722627788</t>
  </si>
  <si>
    <t>-569.364080732777 -110.394168718199 828.074641109048</t>
  </si>
  <si>
    <t>9763-20170724T105118.211688800.bin</t>
  </si>
  <si>
    <t>-756.670651373218 3.79246796516986 -556.070246035353</t>
  </si>
  <si>
    <t>-788.183871124966 135.118208947019 -530.425262303875</t>
  </si>
  <si>
    <t>-733.801191860412 159.609080956205 -242.269210977602</t>
  </si>
  <si>
    <t>-498.049662786305 149.218865049536 -290.891492398255</t>
  </si>
  <si>
    <t>-764.747195419947 79.9275217775353 -102.43472399145</t>
  </si>
  <si>
    <t>-743.800629450317 138.874030445478 296.239563008703</t>
  </si>
  <si>
    <t>-744.290177816612 217.670382352551 737.174166109707</t>
  </si>
  <si>
    <t>-600.789307888824 197.859401934809 801.223544534891</t>
  </si>
  <si>
    <t>-687.110124178208 -66.1578783300945 309.687639814408</t>
  </si>
  <si>
    <t>-682.410103076657 -26.3525542165139 755.743520042471</t>
  </si>
  <si>
    <t>-569.138751502703 -110.195670240525 828.042916863744</t>
  </si>
  <si>
    <t>9763-20170724T105118.245785800.bin</t>
  </si>
  <si>
    <t>-756.679756394797 3.17199963845223 -556.012750563658</t>
  </si>
  <si>
    <t>-788.248415867493 134.477370266331 -530.325379106604</t>
  </si>
  <si>
    <t>-733.880323872404 158.925213335339 -242.162880387231</t>
  </si>
  <si>
    <t>-498.12973567715 148.900526201757 -290.866505722429</t>
  </si>
  <si>
    <t>-764.92720388362 79.3128346192916 -102.354353589145</t>
  </si>
  <si>
    <t>-743.875652505879 138.485195333877 296.281000301512</t>
  </si>
  <si>
    <t>-744.280699933557 217.626437777613 737.168477929526</t>
  </si>
  <si>
    <t>-600.767864796553 197.894329336222 801.215348640718</t>
  </si>
  <si>
    <t>-687.243035758024 -66.4918133429085 309.706789585351</t>
  </si>
  <si>
    <t>-682.471516818408 -26.4607777007072 755.747658877531</t>
  </si>
  <si>
    <t>-569.061023190261 -110.128923709472 828.031780813951</t>
  </si>
  <si>
    <t>9763-20170724T105118.310956500.bin</t>
  </si>
  <si>
    <t>-757.14973975696 2.19477048377325 -555.863364084703</t>
  </si>
  <si>
    <t>-788.919211567502 133.421104165526 -530.045720389565</t>
  </si>
  <si>
    <t>-734.439635349511 157.828778661526 -241.900920522091</t>
  </si>
  <si>
    <t>-498.731856761497 148.436344822568 -290.936644419417</t>
  </si>
  <si>
    <t>-765.408431134984 78.0585473426029 -102.128594994161</t>
  </si>
  <si>
    <t>-743.996008222643 137.64514947521 296.425756190403</t>
  </si>
  <si>
    <t>-744.261045508809 217.544956788776 737.173735900948</t>
  </si>
  <si>
    <t>-600.73353368322 197.932243703127 801.224238848247</t>
  </si>
  <si>
    <t>-687.575645555698 -67.2052157072383 309.750977986005</t>
  </si>
  <si>
    <t>-682.591091835842 -26.6455378271601 755.742052331908</t>
  </si>
  <si>
    <t>-569.11381775876 -110.230036623153 828.018299436065</t>
  </si>
  <si>
    <t>9763-20170724T105118.343596900.bin</t>
  </si>
  <si>
    <t>-757.682703271857 1.93776729701358 -555.754772909249</t>
  </si>
  <si>
    <t>-789.521578658423 133.134932616096 -529.877666502711</t>
  </si>
  <si>
    <t>-735.066882181884 157.464297212908 -241.721532876817</t>
  </si>
  <si>
    <t>-499.392635450043 148.292482977465 -290.958915652145</t>
  </si>
  <si>
    <t>-765.68634770283 77.4518292771099 -101.992032450671</t>
  </si>
  <si>
    <t>-744.221030179787 137.359758266896 296.511390026273</t>
  </si>
  <si>
    <t>-744.253052563919 217.520517111207 737.197527289256</t>
  </si>
  <si>
    <t>-600.719997140751 197.949104313001 801.248229563527</t>
  </si>
  <si>
    <t>-687.860391895365 -67.5394729276416 309.779289812232</t>
  </si>
  <si>
    <t>-682.641583849831 -26.7130893471731 755.747634445305</t>
  </si>
  <si>
    <t>-569.104584797807 -110.223933245421 828.01516655823</t>
  </si>
  <si>
    <t>9763-20170724T105118.412780800.bin</t>
  </si>
  <si>
    <t>-758.850249811917 1.66102046424339 -555.528957626475</t>
  </si>
  <si>
    <t>-790.721580518983 132.838089348757 -529.556513603343</t>
  </si>
  <si>
    <t>-736.525753933998 157.10071958996 -241.346086614956</t>
  </si>
  <si>
    <t>-500.877425399805 148.144890439798 -290.747893734938</t>
  </si>
  <si>
    <t>-766.355247053663 76.5485539728343 -101.711959589725</t>
  </si>
  <si>
    <t>-745.04126001441 137.133649284543 296.697197527879</t>
  </si>
  <si>
    <t>-744.236818183226 217.514241012292 737.286106934811</t>
  </si>
  <si>
    <t>-600.694899967695 197.97851721445 801.328205768485</t>
  </si>
  <si>
    <t>-688.638678331233 -67.8258985416444 309.845916449013</t>
  </si>
  <si>
    <t>-682.555562492579 -26.357134287487 755.750600736407</t>
  </si>
  <si>
    <t>-569.441319474875 -110.42531510507 828.035073515486</t>
  </si>
  <si>
    <t>9763-20170724T105118.444579100.bin</t>
  </si>
  <si>
    <t>-759.605146081477 1.31105864236815 -555.4207276434</t>
  </si>
  <si>
    <t>-791.435551377604 132.491982297627 -529.413519954853</t>
  </si>
  <si>
    <t>-737.309385806614 156.643925240694 -241.180606992153</t>
  </si>
  <si>
    <t>-501.650750087401 147.888239534842 -290.568477771896</t>
  </si>
  <si>
    <t>-766.826199106072 76.0769294570564 -101.567917861179</t>
  </si>
  <si>
    <t>-745.605401989018 137.014164658584 296.792402539038</t>
  </si>
  <si>
    <t>-744.221619219956 217.538359118944 737.338639870568</t>
  </si>
  <si>
    <t>-600.682702096122 197.980349523015 801.380574346995</t>
  </si>
  <si>
    <t>-689.214638456789 -68.188831020921 309.887303294183</t>
  </si>
  <si>
    <t>-682.730760455547 -26.7318734747103 755.778188186182</t>
  </si>
  <si>
    <t>-569.196308230516 -110.261994647558 828.027467812051</t>
  </si>
  <si>
    <t>9763-20170724T105118.507747300.bin</t>
  </si>
  <si>
    <t>-761.178505539361 0.633870908522795 -555.198936090458</t>
  </si>
  <si>
    <t>-792.792667005283 131.846309140588 -529.091556968728</t>
  </si>
  <si>
    <t>-738.692674029793 155.670405338777 -240.826389406815</t>
  </si>
  <si>
    <t>-502.954025536296 147.425707574506 -289.920045498883</t>
  </si>
  <si>
    <t>-767.656831430735 75.1638735711915 -101.323374296417</t>
  </si>
  <si>
    <t>-746.959406438284 136.849222926346 296.949367015272</t>
  </si>
  <si>
    <t>-744.185450188004 217.603663037867 737.447172857495</t>
  </si>
  <si>
    <t>-600.657264321047 197.974254300581 801.491164230657</t>
  </si>
  <si>
    <t>-690.147761623664 -68.6280638689557 309.972417530687</t>
  </si>
  <si>
    <t>-682.823561427272 -26.7793122509759 755.824390196444</t>
  </si>
  <si>
    <t>-569.377072444639 -110.448253202423 828.051320528678</t>
  </si>
  <si>
    <t>9763-20170724T105118.539839000.bin</t>
  </si>
  <si>
    <t>-761.858683245305 0.257916754823327 -555.09781403776</t>
  </si>
  <si>
    <t>-793.309024332891 131.498724065192 -528.914623838069</t>
  </si>
  <si>
    <t>-739.1962082508 155.163750127903 -240.638812405905</t>
  </si>
  <si>
    <t>-503.389523715917 147.128073812231 -289.439016326262</t>
  </si>
  <si>
    <t>-768.012439976762 74.734182131323 -101.20973922537</t>
  </si>
  <si>
    <t>-747.535216828982 136.728196986643 297.026506931109</t>
  </si>
  <si>
    <t>-744.164786843455 217.610453158572 737.514156700966</t>
  </si>
  <si>
    <t>-600.642214133823 197.97318624204 801.568600720226</t>
  </si>
  <si>
    <t>-690.56843511399 -68.807481886518 310.015383311777</t>
  </si>
  <si>
    <t>-682.852100817347 -26.7560215062749 755.848155456382</t>
  </si>
  <si>
    <t>-569.597714975425 -110.687675613485 828.071597027971</t>
  </si>
  <si>
    <t>9763-20170724T105118.611028600.bin</t>
  </si>
  <si>
    <t>-794.384073569621 130.683804720002 -528.496364010388</t>
  </si>
  <si>
    <t>-740.022838416377 153.926003630253 -240.232717283673</t>
  </si>
  <si>
    <t>-504.14600477268 145.796483244586 -288.67777863679</t>
  </si>
  <si>
    <t>-768.750674413226 73.7198123880057 -100.96014737205</t>
  </si>
  <si>
    <t>-748.214622474546 136.22634539412 297.192865650295</t>
  </si>
  <si>
    <t>-744.117715730497 217.54869351557 737.625471734657</t>
  </si>
  <si>
    <t>-600.575614000436 198.086466730426 801.689507439905</t>
  </si>
  <si>
    <t>-691.231562732614 -69.3583728852022 310.13673573359</t>
  </si>
  <si>
    <t>-682.984672083787 -26.9343675272537 755.902425037085</t>
  </si>
  <si>
    <t>-569.404105163561 -110.461984117695 828.082063161876</t>
  </si>
  <si>
    <t>9763-20170724T105118.642652700.bin</t>
  </si>
  <si>
    <t>-794.786074436401 130.233885216009 -528.258738358898</t>
  </si>
  <si>
    <t>-740.228994005076 153.314714121369 -240.019255075549</t>
  </si>
  <si>
    <t>-504.36314063326 144.978273983313 -288.481607078557</t>
  </si>
  <si>
    <t>-768.880737322122 73.1215502918774 -100.837082677944</t>
  </si>
  <si>
    <t>-748.368375207907 135.975812895966 297.26251243479</t>
  </si>
  <si>
    <t>-744.098543462885 217.531213269597 737.661814160247</t>
  </si>
  <si>
    <t>-600.545719402124 198.149284348589 801.725981484771</t>
  </si>
  <si>
    <t>-691.439613931556 -69.6000301147899 310.192607259608</t>
  </si>
  <si>
    <t>-683.012556331823 -26.9486278068944 755.919936510303</t>
  </si>
  <si>
    <t>-569.452382959595 -110.504150687988 828.099269408618</t>
  </si>
  <si>
    <t>9763-20170724T105118.708828700.bin</t>
  </si>
  <si>
    <t>-795.556725546332 129.456438358972 -527.943787793006</t>
  </si>
  <si>
    <t>-740.53706776578 152.356314536455 -239.777752139076</t>
  </si>
  <si>
    <t>-504.751375247438 143.618412570288 -288.559468762863</t>
  </si>
  <si>
    <t>-769.164486968594 72.2712189193039 -100.66400715584</t>
  </si>
  <si>
    <t>-748.480208093739 135.402031284146 297.382876330141</t>
  </si>
  <si>
    <t>-744.062488177752 217.480799500112 737.704678233655</t>
  </si>
  <si>
    <t>-600.499670575879 198.208505943648 801.779702752088</t>
  </si>
  <si>
    <t>-691.816513572558 -70.0729828073256 310.284644705005</t>
  </si>
  <si>
    <t>-683.107166073145 -27.0771944957694 755.959560826796</t>
  </si>
  <si>
    <t>-569.225622875464 -110.219186314295 828.110093101177</t>
  </si>
  <si>
    <t>9763-20170724T105118.742431400.bin</t>
  </si>
  <si>
    <t>-795.863178358708 129.179442897566 -527.885631175536</t>
  </si>
  <si>
    <t>-740.64651466547 152.148648942109 -239.762871340846</t>
  </si>
  <si>
    <t>-504.887862774816 143.220791651561 -288.640660593671</t>
  </si>
  <si>
    <t>-769.25611572553 71.9595527483264 -100.599864885042</t>
  </si>
  <si>
    <t>-748.476490665289 135.22304301245 297.421021204251</t>
  </si>
  <si>
    <t>-744.041265945572 217.46901820859 737.710745702924</t>
  </si>
  <si>
    <t>-600.479730146845 198.229726481469 801.798269837167</t>
  </si>
  <si>
    <t>-691.949423678557 -70.1537760882452 310.315025491337</t>
  </si>
  <si>
    <t>-683.082745964214 -26.9577762933754 755.968300561957</t>
  </si>
  <si>
    <t>-569.478845453548 -110.462619883017 828.137613825988</t>
  </si>
  <si>
    <t>9763-20170724T105118.808608100.bin</t>
  </si>
  <si>
    <t>-796.558793611671 128.286162247682 -527.915147839435</t>
  </si>
  <si>
    <t>-741.297316116049 151.685848990047 -239.835619089383</t>
  </si>
  <si>
    <t>-505.590393819856 142.396560414938 -288.894601866262</t>
  </si>
  <si>
    <t>-769.367936350439 71.3002952525908 -100.503378259456</t>
  </si>
  <si>
    <t>-748.451108094692 134.855454797457 297.463807362891</t>
  </si>
  <si>
    <t>-743.999056250261 217.468470480558 737.689162453148</t>
  </si>
  <si>
    <t>-600.434549717104 198.297517036898 801.790927862413</t>
  </si>
  <si>
    <t>-692.293822205881 -70.5369047315789 310.38278039523</t>
  </si>
  <si>
    <t>-683.167686032989 -27.1181690131884 755.992992022698</t>
  </si>
  <si>
    <t>-569.266377510194 -110.223673168863 828.154401563299</t>
  </si>
  <si>
    <t>9763-20170724T105118.845713700.bin</t>
  </si>
  <si>
    <t>-796.871059303401 127.813222978982 -527.972475307558</t>
  </si>
  <si>
    <t>-741.689724061859 151.597299228429 -239.909060114902</t>
  </si>
  <si>
    <t>-506.00326592172 141.913507199582 -288.990441674203</t>
  </si>
  <si>
    <t>-769.351350704925 71.0456819545432 -100.494443239304</t>
  </si>
  <si>
    <t>-748.312114273965 134.75508080832 297.441607576975</t>
  </si>
  <si>
    <t>-743.960472624816 217.366882560306 737.670981971471</t>
  </si>
  <si>
    <t>-600.366268633478 198.458608856529 801.784078620856</t>
  </si>
  <si>
    <t>-692.43742572349 -70.5982015269049 310.404811655415</t>
  </si>
  <si>
    <t>-683.151881162623 -27.0475453948213 755.994602571096</t>
  </si>
  <si>
    <t>-569.316722217315 -110.233079308809 828.168241929244</t>
  </si>
  <si>
    <t>9763-20170724T105118.908884700.bin</t>
  </si>
  <si>
    <t>-797.625053136013 126.434500973732 -528.261664999346</t>
  </si>
  <si>
    <t>-743.078749188314 151.381213342783 -240.175730179552</t>
  </si>
  <si>
    <t>-507.419551434554 140.764233889771 -289.194524420611</t>
  </si>
  <si>
    <t>-769.339891187374 70.199770938684 -100.498629340555</t>
  </si>
  <si>
    <t>-747.608848584945 134.402331418251 297.320935867848</t>
  </si>
  <si>
    <t>-743.851044386402 217.201251523418 737.539314771832</t>
  </si>
  <si>
    <t>-600.219385011228 198.862695437079 801.734248413024</t>
  </si>
  <si>
    <t>-692.635292147585 -70.9655540929409 310.421976387788</t>
  </si>
  <si>
    <t>-683.230980205504 -27.2165859738536 756.003119677998</t>
  </si>
  <si>
    <t>-569.146244597687 -110.061140123079 828.174751968224</t>
  </si>
  <si>
    <t>9763-20170724T105118.942003900.bin</t>
  </si>
  <si>
    <t>-798.067998250126 125.75524306671 -528.37622260515</t>
  </si>
  <si>
    <t>-744.046627556205 151.080305575141 -240.224245257616</t>
  </si>
  <si>
    <t>-508.412399543065 140.251568330742 -289.31690399702</t>
  </si>
  <si>
    <t>-769.516099385304 69.7221337817614 -100.472014968811</t>
  </si>
  <si>
    <t>-747.297206061862 134.195631895011 297.276788503519</t>
  </si>
  <si>
    <t>-743.803207629372 217.129038850763 737.472427923547</t>
  </si>
  <si>
    <t>-600.163730851836 199.009528615726 801.711957469064</t>
  </si>
  <si>
    <t>-692.70398671251 -71.0000573272935 310.429189933965</t>
  </si>
  <si>
    <t>-683.171815760529 -27.0348827162038 756.002756151363</t>
  </si>
  <si>
    <t>-569.304487640352 -110.166891033402 828.187166053258</t>
  </si>
  <si>
    <t>9763-20170724T105119.014179000.bin</t>
  </si>
  <si>
    <t>-799.333629601012 124.347124999906 -528.535021030294</t>
  </si>
  <si>
    <t>-746.483449586144 150.337961449826 -240.22531710542</t>
  </si>
  <si>
    <t>-510.854126428679 139.766201979968 -289.397997452693</t>
  </si>
  <si>
    <t>-770.399561128885 68.7457272442218 -100.352369100856</t>
  </si>
  <si>
    <t>-747.229500588786 133.58527421161 297.282664011128</t>
  </si>
  <si>
    <t>-743.759965486063 216.964048267788 737.402468383822</t>
  </si>
  <si>
    <t>-600.098598442196 199.179493571394 801.68629264719</t>
  </si>
  <si>
    <t>-693.287084797614 -71.3584380954642 310.49362404713</t>
  </si>
  <si>
    <t>-683.253320467753 -27.2024515730204 756.015765729812</t>
  </si>
  <si>
    <t>-569.282440448425 -110.194842540257 828.197291608923</t>
  </si>
  <si>
    <t>9763-20170724T105119.046315900.bin</t>
  </si>
  <si>
    <t>-800.008951352925 123.71568113494 -528.643603515747</t>
  </si>
  <si>
    <t>-747.865661067377 150.056516570068 -240.236859431333</t>
  </si>
  <si>
    <t>-512.252174337313 139.673225611752 -289.525383107245</t>
  </si>
  <si>
    <t>-770.931670025462 68.280487947022 -100.300792313678</t>
  </si>
  <si>
    <t>-747.461076511677 133.423882226784 297.267021750039</t>
  </si>
  <si>
    <t>-743.739067264713 216.921934181247 737.349586896503</t>
  </si>
  <si>
    <t>-600.069554751725 199.264425819787 801.650196401315</t>
  </si>
  <si>
    <t>-693.690540677008 -71.4532789212935 310.541926352235</t>
  </si>
  <si>
    <t>-683.269025761544 -27.2101222409442 756.03618057256</t>
  </si>
  <si>
    <t>-569.451863358123 -110.413391910071 828.217557798311</t>
  </si>
  <si>
    <t>9763-20170724T105119.113493000.bin</t>
  </si>
  <si>
    <t>-801.264582304259 122.304025530513 -528.937064295386</t>
  </si>
  <si>
    <t>-750.986417389146 148.975763215293 -240.229841291464</t>
  </si>
  <si>
    <t>-515.727783763861 138.173717742803 -291.098148697878</t>
  </si>
  <si>
    <t>-772.269789535073 67.4070066446172 -100.209985798586</t>
  </si>
  <si>
    <t>-748.072094811853 132.920443288012 297.253378191332</t>
  </si>
  <si>
    <t>-743.697261970347 216.80991818175 737.255238644067</t>
  </si>
  <si>
    <t>-600.025299622126 199.355460124327 801.606058250558</t>
  </si>
  <si>
    <t>-694.611512470844 -71.6874249268808 310.618066113656</t>
  </si>
  <si>
    <t>-683.312501441272 -27.2569951658422 756.06474639783</t>
  </si>
  <si>
    <t>-569.347484647975 -110.277924943641 828.222850251904</t>
  </si>
  <si>
    <t>9763-20170724T105119.141580400.bin</t>
  </si>
  <si>
    <t>-801.577456153187 121.476251056078 -529.137823745518</t>
  </si>
  <si>
    <t>-752.465331703295 147.937574897718 -240.210489397704</t>
  </si>
  <si>
    <t>-517.550385430524 136.45588658841 -292.498287030308</t>
  </si>
  <si>
    <t>-772.891451362764 66.842381454733 -100.167576410656</t>
  </si>
  <si>
    <t>-748.336734599129 132.561767011718 297.239919792603</t>
  </si>
  <si>
    <t>-743.680256741897 216.734960853819 737.207685848967</t>
  </si>
  <si>
    <t>-600.012032593181 199.380163416641 801.593479849727</t>
  </si>
  <si>
    <t>-695.049279948826 -71.8285883230042 310.646522306899</t>
  </si>
  <si>
    <t>-683.341849025582 -27.2914873067575 756.077671299348</t>
  </si>
  <si>
    <t>-569.420059138843 -110.376332537361 828.230690333596</t>
  </si>
  <si>
    <t>9763-20170724T105119.209764600.bin</t>
  </si>
  <si>
    <t>-802.191505984061 119.618039870182 -529.476401371883</t>
  </si>
  <si>
    <t>-754.37852111648 145.639871553633 -240.291343980248</t>
  </si>
  <si>
    <t>-520.141636886154 133.487174564222 -295.393586057725</t>
  </si>
  <si>
    <t>-773.949980634494 65.5934534885234 -100.055686834471</t>
  </si>
  <si>
    <t>-748.496102411187 131.752159725402 297.222367212664</t>
  </si>
  <si>
    <t>-743.621693202885 216.512601780452 737.085480810598</t>
  </si>
  <si>
    <t>-599.957050579492 199.473212568521 801.563396155508</t>
  </si>
  <si>
    <t>-695.700820152432 -72.2890651729881 310.729035913195</t>
  </si>
  <si>
    <t>-683.365382014856 -27.2877320809389 756.101112349912</t>
  </si>
  <si>
    <t>-569.413119364217 -110.330089892067 828.254679182456</t>
  </si>
  <si>
    <t>9763-20170724T105119.245547800.bin</t>
  </si>
  <si>
    <t>-802.37050821365 118.751042483746 -529.571651154399</t>
  </si>
  <si>
    <t>-754.831580542889 144.839672872545 -240.347369851895</t>
  </si>
  <si>
    <t>-520.702352023563 132.391617751629 -295.839271848348</t>
  </si>
  <si>
    <t>-774.294928019335 64.9330391594835 -100.008695448028</t>
  </si>
  <si>
    <t>-748.421740391262 131.348724812251 297.199316628345</t>
  </si>
  <si>
    <t>-743.594409669294 216.431727654132 736.994873539281</t>
  </si>
  <si>
    <t>-599.930240941 199.532761791124 801.511277900649</t>
  </si>
  <si>
    <t>-695.958698466069 -72.5768069962292 310.796876045109</t>
  </si>
  <si>
    <t>-683.368832563802 -27.2822914669523 756.125307245371</t>
  </si>
  <si>
    <t>-569.305094063994 -110.178984874635 828.270525577944</t>
  </si>
  <si>
    <t>9763-20170724T105119.309719200.bin</t>
  </si>
  <si>
    <t>-802.749820502515 116.898046204597 -529.850259132039</t>
  </si>
  <si>
    <t>-755.779394081336 144.160222192177 -240.641481787657</t>
  </si>
  <si>
    <t>-521.994270414458 131.008404242137 -297.407241563914</t>
  </si>
  <si>
    <t>-774.685614675459 63.6288515997189 -99.9124395198535</t>
  </si>
  <si>
    <t>-748.213026235974 130.575851010868 297.166844885383</t>
  </si>
  <si>
    <t>-743.565858115814 216.351372842616 736.813146137559</t>
  </si>
  <si>
    <t>-599.9007379068 199.660802714252 801.381198273075</t>
  </si>
  <si>
    <t>-696.591306332666 -73.1823056549067 310.9360281209</t>
  </si>
  <si>
    <t>-683.443837024927 -27.4521882736096 756.179428478575</t>
  </si>
  <si>
    <t>-569.047602584788 -109.911458439753 828.299261219603</t>
  </si>
  <si>
    <t>9763-20170724T105119.345362500.bin</t>
  </si>
  <si>
    <t>-802.961943713558 115.932218141864 -530.0218453884</t>
  </si>
  <si>
    <t>-756.111364416806 143.673442380031 -240.839024268205</t>
  </si>
  <si>
    <t>-522.493797798916 130.319686837263 -298.244369752539</t>
  </si>
  <si>
    <t>-774.744458734119 63.0512240916469 -99.9061788743439</t>
  </si>
  <si>
    <t>-748.225962378231 130.288553928939 297.120978386112</t>
  </si>
  <si>
    <t>-743.552627781222 216.359716658441 736.706839261356</t>
  </si>
  <si>
    <t>-599.897816372436 199.688139695485 801.302645251074</t>
  </si>
  <si>
    <t>-696.900327248509 -73.4455698911263 310.993206177812</t>
  </si>
  <si>
    <t>-683.486761791504 -27.5538807419164 756.20707587712</t>
  </si>
  <si>
    <t>-569.075721208206 -109.99736127128 828.321508001005</t>
  </si>
  <si>
    <t>9763-20170724T105119.406544400.bin</t>
  </si>
  <si>
    <t>-803.152407744959 114.396555154355 -530.242589933345</t>
  </si>
  <si>
    <t>-756.487311114187 142.650351717977 -241.079484900214</t>
  </si>
  <si>
    <t>-523.010061832555 128.896354256679 -298.959369920909</t>
  </si>
  <si>
    <t>-775.03909856267 62.0607927703904 -99.8844116546621</t>
  </si>
  <si>
    <t>-748.133009551934 129.704375941923 297.047625367353</t>
  </si>
  <si>
    <t>-743.527391383786 216.333402135694 736.51894484713</t>
  </si>
  <si>
    <t>-599.900910267318 199.643354308237 801.173261737776</t>
  </si>
  <si>
    <t>-697.414211404096 -73.9190935676411 311.068601347383</t>
  </si>
  <si>
    <t>-683.502295376508 -27.5666741571777 756.23365010855</t>
  </si>
  <si>
    <t>-569.198737499264 -110.163091085067 828.343322798461</t>
  </si>
  <si>
    <t>9763-20170724T105119.443714100.bin</t>
  </si>
  <si>
    <t>-803.034288343493 113.689110504154 -530.328047228407</t>
  </si>
  <si>
    <t>-756.534294204406 142.024205270896 -241.14625167199</t>
  </si>
  <si>
    <t>-523.085254938748 128.073714521658 -299.092441013814</t>
  </si>
  <si>
    <t>-775.117617244819 61.4767138752054 -99.8854921740792</t>
  </si>
  <si>
    <t>-748.067521822744 129.363241036726 296.995323416113</t>
  </si>
  <si>
    <t>-743.510566568784 216.293303752169 736.413710224493</t>
  </si>
  <si>
    <t>-599.894892180856 199.655457470746 801.105311986273</t>
  </si>
  <si>
    <t>-697.626461986274 -74.2297666011411 311.112314695629</t>
  </si>
  <si>
    <t>-683.538693003351 -27.6380299277453 756.250401627752</t>
  </si>
  <si>
    <t>-569.187438065433 -110.1772941259 828.350029022986</t>
  </si>
  <si>
    <t>9763-20170724T105119.510889500.bin</t>
  </si>
  <si>
    <t>-802.851654609369 112.294861406556 -530.444932517905</t>
  </si>
  <si>
    <t>-756.61462206427 140.942289553215 -241.251798685673</t>
  </si>
  <si>
    <t>-523.273796194673 126.602396024053 -299.538048513675</t>
  </si>
  <si>
    <t>-775.021227594587 60.4404684676806 -99.9085258969562</t>
  </si>
  <si>
    <t>-747.855882112864 128.845857763107 296.875322979349</t>
  </si>
  <si>
    <t>-743.443583618534 216.249114024904 736.179792607284</t>
  </si>
  <si>
    <t>-599.845311220736 199.801520550512 800.9588678168</t>
  </si>
  <si>
    <t>-697.869082908983 -74.8149416063845 311.17600857362</t>
  </si>
  <si>
    <t>-683.577636326862 -27.7194816771464 756.265640574999</t>
  </si>
  <si>
    <t>-569.114142696272 -110.116664752996 828.350012146198</t>
  </si>
  <si>
    <t>9763-20170724T105119.549001800.bin</t>
  </si>
  <si>
    <t>-802.761947052332 111.666098152072 -530.482811899064</t>
  </si>
  <si>
    <t>-756.625497484997 140.506659893424 -241.292833163957</t>
  </si>
  <si>
    <t>-523.365232333701 125.80863834223 -299.811643261015</t>
  </si>
  <si>
    <t>-774.865928663617 60.0298234124671 -99.9381383992367</t>
  </si>
  <si>
    <t>-747.724349505409 128.653094464605 296.809699217871</t>
  </si>
  <si>
    <t>-743.399139474452 216.183199385261 736.07571221146</t>
  </si>
  <si>
    <t>-599.80684847389 199.864146866947 800.900643103319</t>
  </si>
  <si>
    <t>-697.939253372997 -75.0108368537087 311.195521945345</t>
  </si>
  <si>
    <t>-683.557592270996 -27.6533932489251 756.260738108319</t>
  </si>
  <si>
    <t>-569.355554724949 -110.398193777798 828.361150993728</t>
  </si>
  <si>
    <t>9763-20170724T105119.611167500.bin</t>
  </si>
  <si>
    <t>-803.02345148512 110.55890707494 -530.554286909484</t>
  </si>
  <si>
    <t>-757.110945637879 139.541249310256 -241.342838837994</t>
  </si>
  <si>
    <t>-524.092212826713 124.234533532644 -300.662705906391</t>
  </si>
  <si>
    <t>-774.96853631215 59.3919489154509 -100.014099141808</t>
  </si>
  <si>
    <t>-747.369589658219 128.355067120019 296.643238313918</t>
  </si>
  <si>
    <t>-743.275731672555 215.788386952739 735.944546652365</t>
  </si>
  <si>
    <t>-599.661458093905 199.933878163958 800.83547318679</t>
  </si>
  <si>
    <t>-698.171111773598 -75.509445400442 311.233450965078</t>
  </si>
  <si>
    <t>-683.638465656476 -27.8452221004306 756.255509604669</t>
  </si>
  <si>
    <t>-569.172483886477 -110.240254138394 828.337960550318</t>
  </si>
  <si>
    <t>9763-20170724T105119.645935500.bin</t>
  </si>
  <si>
    <t>-803.320986500785 109.978657014374 -530.560148222518</t>
  </si>
  <si>
    <t>-757.554846789242 138.924171640931 -241.321793733961</t>
  </si>
  <si>
    <t>-524.650507543094 123.479498024612 -301.053499308635</t>
  </si>
  <si>
    <t>-775.126146328745 58.9423863877892 -100.005192275582</t>
  </si>
  <si>
    <t>-747.15016261197 128.13675621377 296.585491284225</t>
  </si>
  <si>
    <t>-743.191768834837 215.424750930486 735.900105484919</t>
  </si>
  <si>
    <t>-599.550171213348 199.882230521675 800.805946434391</t>
  </si>
  <si>
    <t>-698.263776363865 -75.7414356981521 311.255120221811</t>
  </si>
  <si>
    <t>-683.609860418473 -27.7705462787799 756.241713669802</t>
  </si>
  <si>
    <t>-569.210963941955 -110.25126052784 828.332785138476</t>
  </si>
  <si>
    <t>9763-20170724T105119.714118300.bin</t>
  </si>
  <si>
    <t>-803.912573085012 108.475128888975 -530.471127361028</t>
  </si>
  <si>
    <t>-758.359174910721 137.7373603484 -241.230993832732</t>
  </si>
  <si>
    <t>-525.628357432013 121.973792652384 -301.553159230586</t>
  </si>
  <si>
    <t>-775.100375721892 57.7187292557976 -99.9658351952439</t>
  </si>
  <si>
    <t>-746.618124444943 127.288464608812 296.523036478919</t>
  </si>
  <si>
    <t>-743.071711552773 214.737741006274 735.836998222375</t>
  </si>
  <si>
    <t>-599.352528418592 199.959487645653 800.74997327006</t>
  </si>
  <si>
    <t>-698.38670087785 -76.3381057954609 311.324625633196</t>
  </si>
  <si>
    <t>-683.646062609289 -27.8234566894732 756.256045533183</t>
  </si>
  <si>
    <t>-569.239847221604 -110.311484028992 828.326921898177</t>
  </si>
  <si>
    <t>9763-20170724T105119.741886200.bin</t>
  </si>
  <si>
    <t>-804.308388166169 107.673145758653 -530.433442082238</t>
  </si>
  <si>
    <t>-758.956960888609 137.050976270143 -241.173311848467</t>
  </si>
  <si>
    <t>-526.319812432289 121.133233408362 -301.815763787239</t>
  </si>
  <si>
    <t>-775.085273002206 57.0873455051333 -99.9264521287755</t>
  </si>
  <si>
    <t>-746.533477345287 126.877526237956 296.518808854588</t>
  </si>
  <si>
    <t>-743.022500059067 214.477423483142 735.798595262688</t>
  </si>
  <si>
    <t>-599.277177302386 199.996508664519 800.720621962478</t>
  </si>
  <si>
    <t>-698.442921380975 -76.6641038899757 311.363322112742</t>
  </si>
  <si>
    <t>-683.62174839467 -27.7433787731723 756.2444592848</t>
  </si>
  <si>
    <t>-569.151053964036 -110.15229704603 828.303681132858</t>
  </si>
  <si>
    <t>9763-20170724T105119.813076800.bin</t>
  </si>
  <si>
    <t>-805.204147578024 106.166104019506 -530.351545342103</t>
  </si>
  <si>
    <t>-760.349544862628 135.748476456441 -241.034818566472</t>
  </si>
  <si>
    <t>-527.933966669335 119.600996808638 -302.460663246464</t>
  </si>
  <si>
    <t>-775.184815311622 55.9653090554884 -99.8633266620751</t>
  </si>
  <si>
    <t>-746.50209237277 126.098266569855 296.511871768007</t>
  </si>
  <si>
    <t>-742.949515840487 214.082721172554 735.736090761143</t>
  </si>
  <si>
    <t>-599.167652348866 200.038552367523 800.673241829838</t>
  </si>
  <si>
    <t>-698.687744050874 -77.2622165952043 311.426064770296</t>
  </si>
  <si>
    <t>-683.659897353313 -27.822747278434 756.236069199997</t>
  </si>
  <si>
    <t>-569.107559843379 -110.132060566697 828.279449443203</t>
  </si>
  <si>
    <t>9763-20170724T105119.846181200.bin</t>
  </si>
  <si>
    <t>-805.702746268228 105.390657254422 -530.375061468841</t>
  </si>
  <si>
    <t>-761.180763453091 135.081823799279 -241.018089656721</t>
  </si>
  <si>
    <t>-528.851301068675 118.442476370349 -302.637969621884</t>
  </si>
  <si>
    <t>-775.305447326959 55.4158845857032 -99.8253556537165</t>
  </si>
  <si>
    <t>-746.518343466965 125.762303056602 296.504513319251</t>
  </si>
  <si>
    <t>-742.918222478024 213.914192010191 735.698600771687</t>
  </si>
  <si>
    <t>-599.119006218348 200.068826636988 800.640234752996</t>
  </si>
  <si>
    <t>-698.813154829573 -77.4854598067348 311.462959919967</t>
  </si>
  <si>
    <t>-683.638827459619 -27.7519436645373 756.236697203804</t>
  </si>
  <si>
    <t>-569.135073567883 -110.132336738356 828.276053424646</t>
  </si>
  <si>
    <t>9763-20170724T105119.911353400.bin</t>
  </si>
  <si>
    <t>-806.608059754272 103.908858177404 -530.469632345945</t>
  </si>
  <si>
    <t>-762.795235614274 133.822405918654 -241.027331761257</t>
  </si>
  <si>
    <t>-530.616281690135 116.069752787055 -302.903121873907</t>
  </si>
  <si>
    <t>-775.550564850203 54.4517791442934 -99.7594716080114</t>
  </si>
  <si>
    <t>-746.522145321071 125.16853897793 296.486946521446</t>
  </si>
  <si>
    <t>-742.864938936062 213.622119214118 735.627658556168</t>
  </si>
  <si>
    <t>-599.033566310138 200.125948882612 800.571499683382</t>
  </si>
  <si>
    <t>-699.122084728594 -77.9628419617479 311.522246267847</t>
  </si>
  <si>
    <t>-683.706666789268 -27.8810290367885 756.244181471831</t>
  </si>
  <si>
    <t>-569.114017951112 -110.155431180491 828.263159362307</t>
  </si>
  <si>
    <t>9763-20170724T105119.941458400.bin</t>
  </si>
  <si>
    <t>-806.95274387357 103.238647340916 -530.535184213995</t>
  </si>
  <si>
    <t>-763.6109939702 133.361188990239 -241.043526789494</t>
  </si>
  <si>
    <t>-531.511117079338 115.113553478955 -303.072102692481</t>
  </si>
  <si>
    <t>-775.672385724454 53.9960919370287 -99.7180659675037</t>
  </si>
  <si>
    <t>-746.438877056428 124.908940501707 296.478156177561</t>
  </si>
  <si>
    <t>-742.844375801403 213.536684661839 735.582505198931</t>
  </si>
  <si>
    <t>-599.005763826633 200.158943980581 800.534565084038</t>
  </si>
  <si>
    <t>-699.239257671299 -78.1489112365368 311.553119913501</t>
  </si>
  <si>
    <t>-683.701989874524 -27.8435582933314 756.244768023593</t>
  </si>
  <si>
    <t>-569.066564936782 -110.065281135263 828.255999674425</t>
  </si>
  <si>
    <t>9763-20170724T105120.013662100.bin</t>
  </si>
  <si>
    <t>-807.726171682911 102.049427349647 -530.713959431996</t>
  </si>
  <si>
    <t>-765.487615045356 132.538250428562 -241.097760676884</t>
  </si>
  <si>
    <t>-533.550904633716 113.78293954882 -303.583526370825</t>
  </si>
  <si>
    <t>-775.887185931923 53.2973206830686 -99.6754189559125</t>
  </si>
  <si>
    <t>-746.256266429039 124.510947914304 296.437322697777</t>
  </si>
  <si>
    <t>-742.79303743941 213.315978333614 735.493493555599</t>
  </si>
  <si>
    <t>-598.945064298303 200.157291411687 800.469614592269</t>
  </si>
  <si>
    <t>-699.332314990377 -78.3755107768986 311.595014455834</t>
  </si>
  <si>
    <t>-683.684683612022 -27.7555640257046 756.249727851287</t>
  </si>
  <si>
    <t>-569.228665557105 -110.221870461761 828.266742738056</t>
  </si>
  <si>
    <t>9763-20170724T105120.046372600.bin</t>
  </si>
  <si>
    <t>-808.075228184569 101.468991370929 -530.823946982695</t>
  </si>
  <si>
    <t>-766.481863756546 132.22928080665 -241.143080422414</t>
  </si>
  <si>
    <t>-534.614887264084 113.190184663789 -303.801653723825</t>
  </si>
  <si>
    <t>-776.040956725115 53.023200982379 -99.6725786338578</t>
  </si>
  <si>
    <t>-746.157640122855 124.329402956159 296.404525272677</t>
  </si>
  <si>
    <t>-742.756912743182 213.164652970123 735.456567849356</t>
  </si>
  <si>
    <t>-598.901607983601 200.156094859073 800.446861991557</t>
  </si>
  <si>
    <t>-699.412988850047 -78.48468490973 311.610089802984</t>
  </si>
  <si>
    <t>-683.704093201416 -27.7883509077508 756.249595206571</t>
  </si>
  <si>
    <t>-569.224156687498 -110.221087419993 828.267054795831</t>
  </si>
  <si>
    <t>9763-20170724T105120.109541900.bin</t>
  </si>
  <si>
    <t>-808.722460090924 100.358573473269 -530.98791819094</t>
  </si>
  <si>
    <t>-768.144586586501 131.385626381354 -241.191575884374</t>
  </si>
  <si>
    <t>-536.438253322173 112.022929044188 -304.343076997691</t>
  </si>
  <si>
    <t>-776.317250800367 52.393309912833 -99.6216447971746</t>
  </si>
  <si>
    <t>-746.013596995094 123.928927381565 296.382144323826</t>
  </si>
  <si>
    <t>-742.710019723137 212.917206857471 735.404873571993</t>
  </si>
  <si>
    <t>-598.835318173326 200.167610950904 800.40332620344</t>
  </si>
  <si>
    <t>-699.59027945962 -78.8030463628429 311.658084134808</t>
  </si>
  <si>
    <t>-683.758251061379 -27.8916847739858 756.261554910739</t>
  </si>
  <si>
    <t>-568.981364477052 -109.930741607793 828.255772756171</t>
  </si>
  <si>
    <t>9763-20170724T105120.148498000.bin</t>
  </si>
  <si>
    <t>-808.996298292485 99.7792929286068 -531.049612718961</t>
  </si>
  <si>
    <t>-768.758863545097 130.994727242506 -241.225935733848</t>
  </si>
  <si>
    <t>-537.114465480281 111.35069125672 -304.518076500216</t>
  </si>
  <si>
    <t>-776.437002853116 52.0397562642224 -99.5896468968565</t>
  </si>
  <si>
    <t>-745.967272111918 123.711917881419 296.376720801959</t>
  </si>
  <si>
    <t>-742.7034522314 212.859603715433 735.378658818782</t>
  </si>
  <si>
    <t>-598.824694356943 200.170921827903 800.379911733581</t>
  </si>
  <si>
    <t>-699.651623018437 -78.9872649919103 311.6748047597</t>
  </si>
  <si>
    <t>-683.81427019698 -28.0231419190432 756.26618697465</t>
  </si>
  <si>
    <t>-568.945621161311 -109.939546966819 828.253639123908</t>
  </si>
  <si>
    <t>9763-20170724T105120.209660900.bin</t>
  </si>
  <si>
    <t>-809.647248504593 98.7111977806071 -531.214487192093</t>
  </si>
  <si>
    <t>-770.095819118396 130.198648342693 -241.32582934359</t>
  </si>
  <si>
    <t>-538.606198966601 109.973575502603 -304.999864682462</t>
  </si>
  <si>
    <t>-776.614474813192 51.4708234156474 -99.5362012238941</t>
  </si>
  <si>
    <t>-745.878443042453 123.316183163256 296.37820713363</t>
  </si>
  <si>
    <t>-742.67453799935 212.754637334659 735.318975275198</t>
  </si>
  <si>
    <t>-598.798620805764 200.157254397443 800.344676861824</t>
  </si>
  <si>
    <t>-699.820711610756 -79.1882406420775 311.68830737896</t>
  </si>
  <si>
    <t>-683.823974385332 -28.0205566659611 756.257925542839</t>
  </si>
  <si>
    <t>-569.05297586883 -110.06354993314 828.257007931639</t>
  </si>
  <si>
    <t>9763-20170724T105120.242769900.bin</t>
  </si>
  <si>
    <t>-810.023905950965 98.2397884137993 -531.259705327058</t>
  </si>
  <si>
    <t>-770.826449590902 129.858741236423 -241.337208449601</t>
  </si>
  <si>
    <t>-539.409114159814 109.208088266297 -305.137492971077</t>
  </si>
  <si>
    <t>-776.708094255736 51.2227947659919 -99.5165506938725</t>
  </si>
  <si>
    <t>-745.854729659367 123.162287634599 296.371605328272</t>
  </si>
  <si>
    <t>-742.657564570732 212.693710774375 735.29469257823</t>
  </si>
  <si>
    <t>-598.780408708824 200.156587941857 800.329196472195</t>
  </si>
  <si>
    <t>-699.976511180117 -79.2998237914971 311.7072273351</t>
  </si>
  <si>
    <t>-683.832008869197 -28.005064324228 756.260790978484</t>
  </si>
  <si>
    <t>-568.989732598314 -109.955166236575 828.252003261476</t>
  </si>
  <si>
    <t>9763-20170724T105120.305937700.bin</t>
  </si>
  <si>
    <t>-810.370046794267 97.8666951146972 -531.322318552077</t>
  </si>
  <si>
    <t>-771.7031885184 129.595961485704 -241.340599947663</t>
  </si>
  <si>
    <t>-540.369952296275 108.50219423313 -305.300259139063</t>
  </si>
  <si>
    <t>-776.816241643076 50.9993851822608 -99.5070123821953</t>
  </si>
  <si>
    <t>-745.842212914136 123.069302683945 296.347963158346</t>
  </si>
  <si>
    <t>-742.640036400342 212.641638533565 735.259850035802</t>
  </si>
  <si>
    <t>-598.760905688104 200.174402665434 800.303334588734</t>
  </si>
  <si>
    <t>-700.070658284182 -79.327746873 311.726654648993</t>
  </si>
  <si>
    <t>-683.787152910194 -27.8596633945733 756.258239846858</t>
  </si>
  <si>
    <t>-569.110974842259 -110.028920963902 828.264363156714</t>
  </si>
  <si>
    <t>9763-20170724T105120.346052200.bin</t>
  </si>
  <si>
    <t>-811.249521631478 96.8890136444156 -531.563642925537</t>
  </si>
  <si>
    <t>-773.987133396716 128.911506142874 -241.43041045277</t>
  </si>
  <si>
    <t>-542.888776511135 107.249985043805 -306.045985504549</t>
  </si>
  <si>
    <t>-777.067474809568 50.4918229546518 -99.4858429584622</t>
  </si>
  <si>
    <t>-745.772265149889 122.775231957822 296.304986182787</t>
  </si>
  <si>
    <t>-742.596130283046 212.582900709872 735.173505141517</t>
  </si>
  <si>
    <t>-598.725329520399 200.202660196761 800.252170269799</t>
  </si>
  <si>
    <t>-700.308899330067 -79.5852253983846 311.749023504402</t>
  </si>
  <si>
    <t>-683.883689704731 -28.0611183305036 756.269478661799</t>
  </si>
  <si>
    <t>-569.011229076176 -109.968965876981 828.260645513353</t>
  </si>
  <si>
    <t>9763-20170724T105120.408216900.bin</t>
  </si>
  <si>
    <t>-812.335640834767 95.8062994384768 -531.822306768917</t>
  </si>
  <si>
    <t>-776.314181038531 128.309692642435 -241.585854867896</t>
  </si>
  <si>
    <t>-545.474101448245 106.590747773522 -307.099420146401</t>
  </si>
  <si>
    <t>-777.397039598615 50.1221119056765 -99.4643853263781</t>
  </si>
  <si>
    <t>-745.715858740799 122.588449576951 296.262367944259</t>
  </si>
  <si>
    <t>-742.529806215412 212.393695570782 735.114967948261</t>
  </si>
  <si>
    <t>-598.653690929651 200.224062647298 800.221516344201</t>
  </si>
  <si>
    <t>-700.414883067233 -79.6137233337206 311.779996938519</t>
  </si>
  <si>
    <t>-683.854850922979 -27.9273811020653 756.275079907314</t>
  </si>
  <si>
    <t>-569.247928671588 -110.198077225105 828.275948944454</t>
  </si>
  <si>
    <t>9763-20170724T105120.440101200.bin</t>
  </si>
  <si>
    <t>-813.049341643362 95.2629983457148 -531.962733968908</t>
  </si>
  <si>
    <t>-777.435556953235 128.110330730175 -241.714690688724</t>
  </si>
  <si>
    <t>-546.707975907045 106.44453708914 -307.641527192964</t>
  </si>
  <si>
    <t>-777.70800235148 49.9731086150732 -99.4494543835957</t>
  </si>
  <si>
    <t>-745.753824183181 122.496899417123 296.24473106129</t>
  </si>
  <si>
    <t>-742.463983757727 212.144248787414 735.108081916036</t>
  </si>
  <si>
    <t>-598.568632938354 200.198604241185 800.213591187579</t>
  </si>
  <si>
    <t>-700.436393472819 -79.5826061165076 311.784081994313</t>
  </si>
  <si>
    <t>-683.792740692943 -27.7373210129701 756.263733860186</t>
  </si>
  <si>
    <t>-569.292346544562 -110.150302518245 828.27111339359</t>
  </si>
  <si>
    <t>9763-20170724T105120.510287900.bin</t>
  </si>
  <si>
    <t>-814.55802879364 93.9595612913063 -532.130501017664</t>
  </si>
  <si>
    <t>-779.591630986637 127.34934204655 -241.865625745611</t>
  </si>
  <si>
    <t>-548.976417414565 105.537489322943 -308.135507972202</t>
  </si>
  <si>
    <t>-778.30249931922 49.4967570199178 -99.4093549789269</t>
  </si>
  <si>
    <t>-745.590176657067 122.114729391272 296.205640109549</t>
  </si>
  <si>
    <t>-742.348316870068 211.580971306855 735.139722592454</t>
  </si>
  <si>
    <t>-598.393484520077 200.281827983488 800.228829447991</t>
  </si>
  <si>
    <t>-700.525105618129 -79.760386346577 311.792254911292</t>
  </si>
  <si>
    <t>-683.861278299484 -27.8595697311773 756.258613151716</t>
  </si>
  <si>
    <t>-569.125391471427 -109.952957491339 828.256168419514</t>
  </si>
  <si>
    <t>9763-20170724T105120.543014700.bin</t>
  </si>
  <si>
    <t>-815.293428974929 93.3864583497293 -532.124046879734</t>
  </si>
  <si>
    <t>-780.571520669084 126.935497990609 -241.848285160021</t>
  </si>
  <si>
    <t>-549.995953066133 104.912029622236 -308.187001828375</t>
  </si>
  <si>
    <t>-778.49712340495 49.2124346105127 -99.3738651471106</t>
  </si>
  <si>
    <t>-745.539441166456 121.984932318813 296.192313089007</t>
  </si>
  <si>
    <t>-742.312172116661 211.370202111311 735.145338391491</t>
  </si>
  <si>
    <t>-598.332249668398 200.317817681964 800.221637912278</t>
  </si>
  <si>
    <t>-700.468124140951 -79.6943825040032 311.798549211627</t>
  </si>
  <si>
    <t>-683.78152300558 -27.6279010380572 756.244909333837</t>
  </si>
  <si>
    <t>-569.299545196504 -110.055748239185 828.264602768682</t>
  </si>
  <si>
    <t>9763-20170724T105120.609183300.bin</t>
  </si>
  <si>
    <t>-816.756272956744 92.2520261463628 -532.012492939989</t>
  </si>
  <si>
    <t>-782.505698880761 126.027089535083 -241.706963473575</t>
  </si>
  <si>
    <t>-552.083748131585 103.105191259944 -308.274227078488</t>
  </si>
  <si>
    <t>-778.835290193457 48.6473729783454 -99.2720744071287</t>
  </si>
  <si>
    <t>-745.466016753159 121.574236458926 296.231112917408</t>
  </si>
  <si>
    <t>-742.286318846785 211.199697922231 735.158196254931</t>
  </si>
  <si>
    <t>-598.279626477391 200.36528400144 800.212073132615</t>
  </si>
  <si>
    <t>-700.547630521061 -80.0274916689837 311.815262896492</t>
  </si>
  <si>
    <t>-683.904368968168 -27.8956931015355 756.242788068698</t>
  </si>
  <si>
    <t>-568.937092306628 -109.669067592955 828.235176714054</t>
  </si>
  <si>
    <t>9763-20170724T105120.642268700.bin</t>
  </si>
  <si>
    <t>-817.558082193684 91.7360483321415 -531.930948891928</t>
  </si>
  <si>
    <t>-783.605738249581 125.771940796726 -241.620755032748</t>
  </si>
  <si>
    <t>-553.332099584204 102.276787066018 -308.500930205104</t>
  </si>
  <si>
    <t>-778.998205769315 48.3343738522562 -99.1912967338901</t>
  </si>
  <si>
    <t>-745.443253746038 121.386936416568 296.273071541001</t>
  </si>
  <si>
    <t>-742.288845515857 211.183324954789 735.169306367783</t>
  </si>
  <si>
    <t>-598.27659556599 200.327660597583 800.207379906889</t>
  </si>
  <si>
    <t>-700.679902396779 -80.1230864895015 311.832115158179</t>
  </si>
  <si>
    <t>-683.964585451399 -28.0109872871176 756.252945284597</t>
  </si>
  <si>
    <t>-569.043950960262 -109.851525130831 828.243506083443</t>
  </si>
  <si>
    <t>9763-20170724T105120.710444400.bin</t>
  </si>
  <si>
    <t>-818.516950272759 91.1264019573921 -531.857147169433</t>
  </si>
  <si>
    <t>-784.92148096545 125.474305379804 -241.542222282707</t>
  </si>
  <si>
    <t>-554.818358604341 101.54984478808 -308.855341167406</t>
  </si>
  <si>
    <t>-779.185475646092 47.9691441430484 -99.1039333849034</t>
  </si>
  <si>
    <t>-745.375176632364 121.201686016859 296.305332784566</t>
  </si>
  <si>
    <t>-742.300575584335 211.160110593579 735.179202183845</t>
  </si>
  <si>
    <t>-598.281708224707 200.283626705542 800.198740664618</t>
  </si>
  <si>
    <t>-700.813048679618 -80.1682962662762 311.861330072363</t>
  </si>
  <si>
    <t>-683.94086446761 -27.8925879854717 756.262238319821</t>
  </si>
  <si>
    <t>-569.023001438826 -109.739168618326 828.250582673346</t>
  </si>
  <si>
    <t>9763-20170724T105120.758392600.bin</t>
  </si>
  <si>
    <t>-820.813093705138 89.4712697631289 -531.673952042194</t>
  </si>
  <si>
    <t>-787.741365094242 124.44833993077 -241.373924154717</t>
  </si>
  <si>
    <t>-557.846285951149 99.9802372283327 -309.200433654597</t>
  </si>
  <si>
    <t>-779.651389686731 46.9728500318699 -98.8490867932031</t>
  </si>
  <si>
    <t>-744.7731351147 120.604617668618 296.393317752934</t>
  </si>
  <si>
    <t>-742.340844815021 211.093221506231 735.183754192674</t>
  </si>
  <si>
    <t>-598.300154421115 200.158683310097 800.145483671729</t>
  </si>
  <si>
    <t>-700.832288113359 -80.4151409282256 311.918489187414</t>
  </si>
  <si>
    <t>-683.983414057711 -27.9406881207606 756.285349409919</t>
  </si>
  <si>
    <t>-569.080031790145 -109.800686154407 828.281709266755</t>
  </si>
  <si>
    <t>9763-20170724T105120.808525600.bin</t>
  </si>
  <si>
    <t>-822.82386746648 87.7789559767507 -531.553824826374</t>
  </si>
  <si>
    <t>-790.161350415508 123.168422437089 -241.257507351197</t>
  </si>
  <si>
    <t>-560.356089652104 98.2380631052267 -309.219876495344</t>
  </si>
  <si>
    <t>-779.934248656048 45.7087143450899 -98.4908549163848</t>
  </si>
  <si>
    <t>-743.371383343776 119.739896691839 296.524587777118</t>
  </si>
  <si>
    <t>-742.371687151227 210.981239101426 735.180853310558</t>
  </si>
  <si>
    <t>-598.298762498126 200.120849525767 800.083404798503</t>
  </si>
  <si>
    <t>-700.506645340543 -80.8198849561279 311.92193945328</t>
  </si>
  <si>
    <t>-683.995441911533 -27.902681359114 756.280191343674</t>
  </si>
  <si>
    <t>-569.109524714079 -109.78186828704 828.282509526651</t>
  </si>
  <si>
    <t>9763-20170724T105120.841633500.bin</t>
  </si>
  <si>
    <t>-823.285988546035 87.2786667159983 -531.573847744179</t>
  </si>
  <si>
    <t>-790.991640058511 122.951747783485 -241.271100480281</t>
  </si>
  <si>
    <t>-561.172140170008 97.7511361803979 -309.085395213789</t>
  </si>
  <si>
    <t>-780.138447259217 45.1303223782386 -98.3009287967643</t>
  </si>
  <si>
    <t>-742.876546433705 119.287250405522 296.625622100761</t>
  </si>
  <si>
    <t>-742.398740779385 210.952618801869 735.196945238115</t>
  </si>
  <si>
    <t>-598.307392707901 200.073688066232 800.055591468997</t>
  </si>
  <si>
    <t>-700.214185739096 -80.9249637021583 311.892231694528</t>
  </si>
  <si>
    <t>-683.893996714103 -27.576113892751 756.248789380865</t>
  </si>
  <si>
    <t>-569.455146654344 -110.04505932761 828.289734549112</t>
  </si>
  <si>
    <t>9763-20170724T105120.907801800.bin</t>
  </si>
  <si>
    <t>-824.154947872666 86.8846645504043 -531.941217672389</t>
  </si>
  <si>
    <t>-793.396288298207 122.917342620586 -241.516125331721</t>
  </si>
  <si>
    <t>-563.464094304026 97.6311943795881 -308.915876348943</t>
  </si>
  <si>
    <t>-781.281174477874 44.8638749482857 -98.1444092804587</t>
  </si>
  <si>
    <t>-742.940205912832 119.299677790116 296.626260238754</t>
  </si>
  <si>
    <t>-742.359709056549 210.787218767295 735.176290187723</t>
  </si>
  <si>
    <t>-598.272440587948 200.060494108847 800.069258533919</t>
  </si>
  <si>
    <t>-700.426648636321 -81.1973721168108 311.964952721748</t>
  </si>
  <si>
    <t>-683.959397133479 -27.548408725565 756.280439581866</t>
  </si>
  <si>
    <t>-569.644647390775 -110.208749953771 828.299204866646</t>
  </si>
  <si>
    <t>9763-20170724T105120.944475800.bin</t>
  </si>
  <si>
    <t>-824.632994226652 86.895790449543 -532.229871509108</t>
  </si>
  <si>
    <t>-794.832996668137 123.269399355057 -241.747226007495</t>
  </si>
  <si>
    <t>-564.765787141878 98.0154163877774 -308.696011217668</t>
  </si>
  <si>
    <t>-782.199384426041 45.0816284113707 -98.0935098118292</t>
  </si>
  <si>
    <t>-743.521272665081 119.545824477018 296.639027903555</t>
  </si>
  <si>
    <t>-742.342914667281 210.764548512043 735.189627981658</t>
  </si>
  <si>
    <t>-598.257988429284 200.091349418396 800.096659411565</t>
  </si>
  <si>
    <t>-701.018890055163 -80.9733902056471 312.005226350262</t>
  </si>
  <si>
    <t>-683.986568280513 -27.5208906846515 756.306680729289</t>
  </si>
  <si>
    <t>-569.699936059409 -110.235099908624 828.308200288444</t>
  </si>
  <si>
    <t>9763-20170724T105121.009654300.bin</t>
  </si>
  <si>
    <t>-825.708129728128 87.1099091412036 -532.996839860466</t>
  </si>
  <si>
    <t>-797.842650448193 124.351507277966 -242.432232308803</t>
  </si>
  <si>
    <t>-567.296508717524 99.3174791024423 -307.797783932155</t>
  </si>
  <si>
    <t>-784.172576554557 46.0088658362124 -98.1210560085501</t>
  </si>
  <si>
    <t>-745.472302491779 120.406200058355 296.621869676593</t>
  </si>
  <si>
    <t>-742.309781360412 210.821947447175 735.289838614416</t>
  </si>
  <si>
    <t>-598.23485604919 200.095506710718 800.210099730457</t>
  </si>
  <si>
    <t>-702.465034527341 -80.2916751450484 312.034656442591</t>
  </si>
  <si>
    <t>-684.177707774809 -27.8594578979416 756.350413725485</t>
  </si>
  <si>
    <t>-569.567333242933 -110.163261189629 828.307656771342</t>
  </si>
  <si>
    <t>9763-20170724T105121.081866400.bin</t>
  </si>
  <si>
    <t>-826.960845220471 87.2306227616225 -533.818368380755</t>
  </si>
  <si>
    <t>-801.198772497767 124.938762782278 -243.119809384038</t>
  </si>
  <si>
    <t>-569.99131879548 100.933361379689 -306.505617060538</t>
  </si>
  <si>
    <t>-785.818881880205 47.1105117644952 -98.1985539521763</t>
  </si>
  <si>
    <t>-747.090911201416 121.224802502543 296.59484869298</t>
  </si>
  <si>
    <t>-742.276713525923 210.90380748329 735.417525506757</t>
  </si>
  <si>
    <t>-598.201338107918 200.130074396587 800.329166185506</t>
  </si>
  <si>
    <t>-703.614886411793 -79.2975799260707 311.979518716661</t>
  </si>
  <si>
    <t>-684.220914900595 -27.8318894831589 756.377901249048</t>
  </si>
  <si>
    <t>-569.659409314389 -110.213327731328 828.3238944905</t>
  </si>
  <si>
    <t>9763-20170724T105121.109931200.bin</t>
  </si>
  <si>
    <t>-827.375579193403 87.3805954102195 -534.216355868529</t>
  </si>
  <si>
    <t>-802.716640502033 125.262601396537 -243.444763658053</t>
  </si>
  <si>
    <t>-571.146470735807 102.091978006564 -305.80846781785</t>
  </si>
  <si>
    <t>-786.372520333869 47.640290810609 -98.2190213823717</t>
  </si>
  <si>
    <t>-747.456122151082 121.559789662146 296.592467967281</t>
  </si>
  <si>
    <t>-742.26994294595 210.931788183704 735.485760391228</t>
  </si>
  <si>
    <t>-598.189279049617 200.130793714102 800.380734425918</t>
  </si>
  <si>
    <t>-703.809094892463 -78.842655725651 311.942882222396</t>
  </si>
  <si>
    <t>-684.178147761349 -27.6650348605008 756.38014552749</t>
  </si>
  <si>
    <t>-569.652655084676 -110.099269485374 828.323258509181</t>
  </si>
  <si>
    <t>9763-20170724T105121.145037400.bin</t>
  </si>
  <si>
    <t>-827.83850913966 87.3834891398019 -534.595995364527</t>
  </si>
  <si>
    <t>-804.13049882975 125.472574920422 -243.772405307328</t>
  </si>
  <si>
    <t>-572.178557837329 103.17689190819 -305.026826534441</t>
  </si>
  <si>
    <t>-786.656417858604 48.0884143015371 -98.2329310944571</t>
  </si>
  <si>
    <t>-747.475433520653 121.839478153489 296.583871317999</t>
  </si>
  <si>
    <t>-742.273383607278 210.97119617668 735.544100079263</t>
  </si>
  <si>
    <t>-598.183785717018 200.144831748885 800.415353586176</t>
  </si>
  <si>
    <t>-703.876410130753 -78.6585846058883 311.915082758144</t>
  </si>
  <si>
    <t>-684.314262982828 -27.9525621867301 756.401489219328</t>
  </si>
  <si>
    <t>-569.474298818181 -109.969887953089 828.319646597303</t>
  </si>
  <si>
    <t>9763-20170724T105121.207202400.bin</t>
  </si>
  <si>
    <t>-828.972222514345 87.2463966651826 -535.189597716483</t>
  </si>
  <si>
    <t>-806.735114696493 125.753136244751 -244.304891001067</t>
  </si>
  <si>
    <t>-574.077743362659 104.663017856632 -303.268491403639</t>
  </si>
  <si>
    <t>-786.710840554178 48.9563808250241 -98.2483697021311</t>
  </si>
  <si>
    <t>-746.912449577128 122.225470008126 296.596379034821</t>
  </si>
  <si>
    <t>-742.298975744708 211.102143076077 735.636327664647</t>
  </si>
  <si>
    <t>-598.199792345379 200.065311516348 800.450430713309</t>
  </si>
  <si>
    <t>-703.535068094707 -77.9566583753808 311.842950994361</t>
  </si>
  <si>
    <t>-684.220777073692 -27.6511157465281 756.399989022394</t>
  </si>
  <si>
    <t>-569.647995769554 -110.022318953471 828.339931886079</t>
  </si>
  <si>
    <t>9763-20170724T105121.245309100.bin</t>
  </si>
  <si>
    <t>-829.572043806278 87.1080810303497 -535.431250266466</t>
  </si>
  <si>
    <t>-807.965601661761 125.732463683218 -244.514549434025</t>
  </si>
  <si>
    <t>-574.996001590797 105.267405252285 -302.456371175393</t>
  </si>
  <si>
    <t>-786.615759418954 49.4067852037781 -98.2499195063907</t>
  </si>
  <si>
    <t>-746.53985336027 122.417196847401 296.614661475256</t>
  </si>
  <si>
    <t>-742.322867050563 211.157079686512 735.6893214372</t>
  </si>
  <si>
    <t>-598.209793537463 200.024022678873 800.456579923717</t>
  </si>
  <si>
    <t>-703.241673404417 -77.7200139331869 311.795949119608</t>
  </si>
  <si>
    <t>-684.255603036975 -27.7422544948454 756.39080034855</t>
  </si>
  <si>
    <t>-569.750097980147 -110.187317905461 828.3532853661</t>
  </si>
  <si>
    <t>9763-20170724T105121.305467400.bin</t>
  </si>
  <si>
    <t>-830.444856445463 86.8536876928497 -535.880578376298</t>
  </si>
  <si>
    <t>-810.098452305398 125.377816242657 -244.859731760847</t>
  </si>
  <si>
    <t>-576.298809469538 106.83304323747 -300.038556430992</t>
  </si>
  <si>
    <t>-786.041340538144 50.4214608489469 -98.339540992592</t>
  </si>
  <si>
    <t>-745.692577975513 122.950580383694 296.58602424612</t>
  </si>
  <si>
    <t>-742.372984931208 211.255547302319 735.747651822914</t>
  </si>
  <si>
    <t>-598.214183658655 200.041513680545 800.399087367491</t>
  </si>
  <si>
    <t>-702.654041412158 -77.1052107720636 311.709518646283</t>
  </si>
  <si>
    <t>-684.175843575109 -27.5893886204838 756.354820629931</t>
  </si>
  <si>
    <t>-569.718237948501 -110.05605833597 828.368932926871</t>
  </si>
  <si>
    <t>9763-20170724T105121.342346500.bin</t>
  </si>
  <si>
    <t>-830.561990340857 86.9221799573695 -536.121542343492</t>
  </si>
  <si>
    <t>-811.082187716022 125.156733246188 -245.00311003992</t>
  </si>
  <si>
    <t>-576.749547464459 107.861257410069 -298.294730054988</t>
  </si>
  <si>
    <t>-785.716802572976 51.0623092388082 -98.4398343724462</t>
  </si>
  <si>
    <t>-745.224583261957 123.328315477925 296.519274952717</t>
  </si>
  <si>
    <t>-742.388938676816 211.293855654086 735.756750771085</t>
  </si>
  <si>
    <t>-598.204270705359 200.072993489818 800.349008393269</t>
  </si>
  <si>
    <t>-702.320858864434 -76.6485365271167 311.63761117003</t>
  </si>
  <si>
    <t>-684.093486936247 -27.4077093241851 756.331555414685</t>
  </si>
  <si>
    <t>-569.825776379443 -110.109579985163 828.377219695913</t>
  </si>
  <si>
    <t>9763-20170724T105121.413546700.bin</t>
  </si>
  <si>
    <t>-829.977673670401 87.1203326674636 -536.895889847144</t>
  </si>
  <si>
    <t>-812.867388040808 124.438390593429 -245.509786129043</t>
  </si>
  <si>
    <t>-577.334712095493 111.029237152502 -294.452575183666</t>
  </si>
  <si>
    <t>-785.683561083479 52.2084260006636 -98.7977646504216</t>
  </si>
  <si>
    <t>-743.97669399524 124.169517578764 296.090607520427</t>
  </si>
  <si>
    <t>-742.309254269366 211.362674076225 735.576314976604</t>
  </si>
  <si>
    <t>-598.148848518437 200.18771552319 800.230783980806</t>
  </si>
  <si>
    <t>-702.079751489991 -75.893199979515 311.491314765817</t>
  </si>
  <si>
    <t>-684.018616862083 -27.3456192666811 756.262048956985</t>
  </si>
  <si>
    <t>-569.739657675517 -110.014428758134 828.327864244622</t>
  </si>
  <si>
    <t>9763-20170724T105121.444361500.bin</t>
  </si>
  <si>
    <t>-829.500068121998 87.4803738542412 -537.579313509972</t>
  </si>
  <si>
    <t>-813.841394936388 124.342239564021 -246.053642978114</t>
  </si>
  <si>
    <t>-577.712616671098 113.682343280866 -292.74851736289</t>
  </si>
  <si>
    <t>-786.775270876441 52.7437976912086 -99.1386197787481</t>
  </si>
  <si>
    <t>-743.734421742547 124.542168448872 295.63618596337</t>
  </si>
  <si>
    <t>-742.15173495111 211.654708694111 735.186836775833</t>
  </si>
  <si>
    <t>-598.126646567665 200.196606325449 800.092833702641</t>
  </si>
  <si>
    <t>-702.167083126063 -75.3351125901936 311.410915672725</t>
  </si>
  <si>
    <t>-683.941664828914 -27.2100993839631 756.201322199884</t>
  </si>
  <si>
    <t>-569.946696374911 -110.245645782237 828.295360543666</t>
  </si>
  <si>
    <t>9763-20170724T105121.512542900.bin</t>
  </si>
  <si>
    <t>-827.687103598185 89.0707457852973 -540.28626760134</t>
  </si>
  <si>
    <t>-816.320460328909 125.245829645732 -248.475707861113</t>
  </si>
  <si>
    <t>-578.853092799956 121.419160329669 -289.040402068771</t>
  </si>
  <si>
    <t>-790.209676900817 54.6046175441002 -101.370331391673</t>
  </si>
  <si>
    <t>-747.597241934943 126.474822030371 293.437850475119</t>
  </si>
  <si>
    <t>-740.941776187652 212.526465517443 732.753442913682</t>
  </si>
  <si>
    <t>-597.973010389411 200.383077904889 799.833953706917</t>
  </si>
  <si>
    <t>-703.599619284404 -72.8770253033911 310.959951810113</t>
  </si>
  <si>
    <t>-683.764327798144 -26.7568856666314 756.051311828226</t>
  </si>
  <si>
    <t>-570.248614779213 -110.43222993639 828.161732600187</t>
  </si>
  <si>
    <t>9763-20170724T105121.545188900.bin</t>
  </si>
  <si>
    <t>-826.901791141845 90.04827316726 -541.954028698978</t>
  </si>
  <si>
    <t>-818.657436144225 126.096241871578 -250.022956984635</t>
  </si>
  <si>
    <t>-580.546046890994 125.392993193384 -286.810818136414</t>
  </si>
  <si>
    <t>-793.632430648626 55.5235441820162 -102.586001468887</t>
  </si>
  <si>
    <t>-753.20636450563 128.600655020788 292.230627233321</t>
  </si>
  <si>
    <t>-744.374462502046 213.809129059938 731.434626249547</t>
  </si>
  <si>
    <t>-602.024518481653 200.676200015062 799.635225485258</t>
  </si>
  <si>
    <t>-704.882059747614 -71.1624104538685 310.60210496535</t>
  </si>
  <si>
    <t>-683.622425145846 -26.4310425410854 755.937347393237</t>
  </si>
  <si>
    <t>-570.574197074583 -110.718875615868 828.069181686736</t>
  </si>
  <si>
    <t>9763-20170724T105121.607361300.bin</t>
  </si>
  <si>
    <t>-826.384779088674 93.9949475406295 -543.80878984027</t>
  </si>
  <si>
    <t>-824.225431116769 131.187167782664 -251.91270832155</t>
  </si>
  <si>
    <t>-585.113540435663 135.387006531371 -281.217436049325</t>
  </si>
  <si>
    <t>-804.356328251199 59.422873524599 -102.917501106437</t>
  </si>
  <si>
    <t>-764.120423276994 130.400913068744 292.301199585394</t>
  </si>
  <si>
    <t>-754.912383116113 217.651112596133 731.815162728668</t>
  </si>
  <si>
    <t>-611.665473207164 201.079488655867 797.33618516963</t>
  </si>
  <si>
    <t>-709.722733193066 -67.5431681061243 310.516058033361</t>
  </si>
  <si>
    <t>-683.613472534577 -26.3214546464885 755.942759239154</t>
  </si>
  <si>
    <t>-570.869139759649 -111.015450025657 828.074137364611</t>
  </si>
  <si>
    <t>9763-20170724T105121.640449500.bin</t>
  </si>
  <si>
    <t>-824.781978339279 96.3422836279401 -544.315522657913</t>
  </si>
  <si>
    <t>-824.947121810843 133.915404342934 -252.460289475386</t>
  </si>
  <si>
    <t>-585.473669998169 140.292580922447 -278.202390789405</t>
  </si>
  <si>
    <t>-806.169490882012 60.9692166777529 -102.512705130186</t>
  </si>
  <si>
    <t>-767.287750136693 131.942293054638 292.842504644155</t>
  </si>
  <si>
    <t>-763.716651414325 218.239184313381 732.533494907723</t>
  </si>
  <si>
    <t>-619.697215784289 202.935763267172 796.654460994871</t>
  </si>
  <si>
    <t>-711.915938618512 -65.7305033751377 310.634458458893</t>
  </si>
  <si>
    <t>-683.549728173158 -26.0865341045887 755.996696953957</t>
  </si>
  <si>
    <t>-571.222358800872 -111.314879388827 828.149568962408</t>
  </si>
  <si>
    <t>9763-20170724T105121.672533500.bin</t>
  </si>
  <si>
    <t>-823.290772319503 99.5397892270034 -544.573122209762</t>
  </si>
  <si>
    <t>-825.267409114118 137.201854804137 -252.736180052637</t>
  </si>
  <si>
    <t>-585.582715530009 145.282220004343 -275.906088867597</t>
  </si>
  <si>
    <t>-807.426899556865 64.2293602309089 -102.074170373514</t>
  </si>
  <si>
    <t>-767.791918024135 133.263570388947 293.549407059083</t>
  </si>
  <si>
    <t>-781.051829078589 219.024710911394 733.192574714031</t>
  </si>
  <si>
    <t>-636.301699773866 209.707005983675 796.81550377485</t>
  </si>
  <si>
    <t>-713.445222921429 -64.0953108146987 310.790073473478</t>
  </si>
  <si>
    <t>-683.613090607526 -26.0714216933602 756.107749114343</t>
  </si>
  <si>
    <t>-571.322497067043 -111.363484672722 828.24187567664</t>
  </si>
  <si>
    <t>9763-20170724T105121.742346700.bin</t>
  </si>
  <si>
    <t>-821.11774437685 108.218528270402 -544.627432169969</t>
  </si>
  <si>
    <t>-825.785539975189 145.307273477004 -252.747702975112</t>
  </si>
  <si>
    <t>-585.834340203641 155.611551682796 -271.934452635447</t>
  </si>
  <si>
    <t>-808.20683043385 72.2983069375794 -101.085621062207</t>
  </si>
  <si>
    <t>-768.617773388082 136.869597096489 295.295398956976</t>
  </si>
  <si>
    <t>-831.240026915 220.631813778285 730.946020322578</t>
  </si>
  <si>
    <t>-687.812985722448 230.967119488388 797.347649947195</t>
  </si>
  <si>
    <t>-714.896679259536 -60.6734930261916 311.129481734665</t>
  </si>
  <si>
    <t>-683.815098027942 -26.1651123098709 756.447358258121</t>
  </si>
  <si>
    <t>-572.168919448168 -112.347424525132 828.523887683858</t>
  </si>
  <si>
    <t>9763-20170724T105121.812535900.bin</t>
  </si>
  <si>
    <t>-819.784202007052 117.811678183106 -544.487183130867</t>
  </si>
  <si>
    <t>-826.609222763132 153.582854657317 -252.485248641014</t>
  </si>
  <si>
    <t>-586.577768465906 165.573460068057 -269.572789852569</t>
  </si>
  <si>
    <t>-806.973532103005 81.2983029716015 -100.452959612611</t>
  </si>
  <si>
    <t>-770.805895560162 138.828484124173 297.337032300401</t>
  </si>
  <si>
    <t>-867.389991026216 215.506979948274 727.899129770586</t>
  </si>
  <si>
    <t>-727.137011706791 240.502733524088 797.120323649853</t>
  </si>
  <si>
    <t>-714.195581257113 -57.3459701526344 311.138174111559</t>
  </si>
  <si>
    <t>-683.93629083966 -26.220612324682 756.71806575555</t>
  </si>
  <si>
    <t>-572.220677506746 -112.380995770687 828.713325051724</t>
  </si>
  <si>
    <t>9763-20170724T105121.844642100.bin</t>
  </si>
  <si>
    <t>-818.956966700592 121.867022793189 -544.476657441007</t>
  </si>
  <si>
    <t>-826.980784645619 156.806354851875 -252.404585071909</t>
  </si>
  <si>
    <t>-586.886290178559 169.374519721265 -268.136334149197</t>
  </si>
  <si>
    <t>-805.257157507757 85.0486633645439 -100.337461646591</t>
  </si>
  <si>
    <t>-773.488310105658 138.805334691209 298.354956115385</t>
  </si>
  <si>
    <t>-870.507890311362 210.980896191582 729.393544260408</t>
  </si>
  <si>
    <t>-730.590084159883 239.182895476079 798.05894975547</t>
  </si>
  <si>
    <t>-713.219192683562 -55.9410998459753 310.992664378383</t>
  </si>
  <si>
    <t>-683.939180924349 -26.1758209526035 756.768992642274</t>
  </si>
  <si>
    <t>-572.303855435349 -112.448193288093 828.754633190663</t>
  </si>
  <si>
    <t>9763-20170724T105121.913814700.bin</t>
  </si>
  <si>
    <t>-768.175968558834 2.90536377191438 -94.9433844044539</t>
  </si>
  <si>
    <t>-816.031180289702 130.257253649855 -545.025512235371</t>
  </si>
  <si>
    <t>-827.311822136874 163.736487100408 -252.890254033232</t>
  </si>
  <si>
    <t>-587.079626400285 177.050621505398 -265.621041812865</t>
  </si>
  <si>
    <t>-801.483005567919 92.647734800785 -101.052305285299</t>
  </si>
  <si>
    <t>-780.749220644341 141.032720018599 299.052244255326</t>
  </si>
  <si>
    <t>-864.480518477048 205.429661692691 734.195380513487</t>
  </si>
  <si>
    <t>-723.504605719586 234.606082861538 800.239234259666</t>
  </si>
  <si>
    <t>-710.535895663153 -52.3590343263816 310.384128600347</t>
  </si>
  <si>
    <t>-683.860655448659 -26.0677933153488 756.687546166686</t>
  </si>
  <si>
    <t>-572.380914445507 -112.488972419568 828.73555363679</t>
  </si>
  <si>
    <t>9763-20170724T105121.940894200.bin</t>
  </si>
  <si>
    <t>-767.661177262276 6.83036532981805 -95.3318536830602</t>
  </si>
  <si>
    <t>-781.553883874204 2.25264600405308 -557.460668255293</t>
  </si>
  <si>
    <t>-814.801992135781 135.066862418201 -545.209945968501</t>
  </si>
  <si>
    <t>-827.950246959266 167.748291240685 -253.062283812945</t>
  </si>
  <si>
    <t>-587.640788711848 181.545342705481 -263.639455741853</t>
  </si>
  <si>
    <t>-800.981924956542 96.918205082723 -101.266740296192</t>
  </si>
  <si>
    <t>-781.778740081144 143.131531849069 299.170892139275</t>
  </si>
  <si>
    <t>-864.615084899878 206.070479216259 734.885957224891</t>
  </si>
  <si>
    <t>-723.09488539777 234.391015692906 800.134022762281</t>
  </si>
  <si>
    <t>-709.1230324099 -50.0705836954048 310.003680464969</t>
  </si>
  <si>
    <t>-683.752778640135 -25.9206897679965 756.590321318923</t>
  </si>
  <si>
    <t>-572.655507641457 -112.771934303624 828.712248179033</t>
  </si>
  <si>
    <t>9763-20170724T105122.015089500.bin</t>
  </si>
  <si>
    <t>-769.65871534473 15.9450557585346 -95.8033961898267</t>
  </si>
  <si>
    <t>-782.271882728504 5.75256801447381 -210.491096476737</t>
  </si>
  <si>
    <t>-783.359913250351 12.8659087163628 -557.941580735703</t>
  </si>
  <si>
    <t>-815.605949223267 145.893128296487 -545.199462994023</t>
  </si>
  <si>
    <t>-831.477915517872 176.950211605473 -253.009953609957</t>
  </si>
  <si>
    <t>-591.076980643802 191.510348615635 -259.8098496048</t>
  </si>
  <si>
    <t>-803.225931668131 106.527731404822 -101.614865480448</t>
  </si>
  <si>
    <t>-788.623932642668 149.315132701111 299.397189507871</t>
  </si>
  <si>
    <t>-865.743552713398 208.148650587638 736.362028277819</t>
  </si>
  <si>
    <t>-723.161314837542 233.989348796048 800.313843187543</t>
  </si>
  <si>
    <t>-708.51355172877 -45.1577744449758 309.307504360385</t>
  </si>
  <si>
    <t>-683.746961678817 -25.8769782993506 756.356990764021</t>
  </si>
  <si>
    <t>-572.581200562571 -112.59374234576 828.5351281102</t>
  </si>
  <si>
    <t>9763-20170724T105122.043174100.bin</t>
  </si>
  <si>
    <t>-770.356968368353 21.3620613968317 -96.1408780469764</t>
  </si>
  <si>
    <t>-782.9949822248 11.3986428335718 -210.845825789487</t>
  </si>
  <si>
    <t>-785.700347636002 5.03643713428914 -309.227085235256</t>
  </si>
  <si>
    <t>-783.948002536718 19.0304935697984 -558.286439215587</t>
  </si>
  <si>
    <t>-815.639701774901 152.155714148291 -545.235461578401</t>
  </si>
  <si>
    <t>-832.348620996411 182.31255300933 -252.998273284008</t>
  </si>
  <si>
    <t>-591.917908853571 197.132465885366 -257.930192863931</t>
  </si>
  <si>
    <t>-803.517615464415 112.231337806622 -101.864503747176</t>
  </si>
  <si>
    <t>-791.297918139467 152.547218583743 299.483198820842</t>
  </si>
  <si>
    <t>-866.115067444964 208.538294453029 737.261467568338</t>
  </si>
  <si>
    <t>-723.184163248153 233.822967806216 800.655163479366</t>
  </si>
  <si>
    <t>-708.209647139314 -42.1711970232343 308.994886562402</t>
  </si>
  <si>
    <t>-683.644267776967 -25.6515218103557 756.203342910396</t>
  </si>
  <si>
    <t>-572.837242312476 -112.771250037365 828.44768510533</t>
  </si>
  <si>
    <t>9763-20170724T105122.109351900.bin</t>
  </si>
  <si>
    <t>-772.47981255452 30.58478409691 -96.7370146722632</t>
  </si>
  <si>
    <t>-785.137627266829 21.1480747292321 -211.484490675479</t>
  </si>
  <si>
    <t>-787.864292365603 15.1643989585284 -309.888786166092</t>
  </si>
  <si>
    <t>-787.620612685221 10.3174867374375 -398.853318326622</t>
  </si>
  <si>
    <t>-784.316160495525 6.06379632723451 -487.78716777827</t>
  </si>
  <si>
    <t>-776.477332677391 0.679311442475864 -612.006183963805</t>
  </si>
  <si>
    <t>-746.783129932806 1.82668349503706 -689.607527053942</t>
  </si>
  <si>
    <t>-785.964230357302 30.0475522162317 -558.894855716539</t>
  </si>
  <si>
    <t>-816.387836595665 163.422556393937 -545.293399222118</t>
  </si>
  <si>
    <t>-834.225295492931 191.922321956069 -252.956652970932</t>
  </si>
  <si>
    <t>-593.728657736001 206.438593575969 -254.187850087607</t>
  </si>
  <si>
    <t>-805.978868441766 121.724694221865 -102.223033732081</t>
  </si>
  <si>
    <t>-796.389490202973 157.660020673007 299.611987420172</t>
  </si>
  <si>
    <t>-866.384325320241 208.90263495229 738.954450436913</t>
  </si>
  <si>
    <t>-723.071258553981 233.447528541243 801.773400514038</t>
  </si>
  <si>
    <t>-707.465468061042 -36.7050608278832 308.262107565715</t>
  </si>
  <si>
    <t>-683.474265488244 -25.1680541607343 755.857734593054</t>
  </si>
  <si>
    <t>-573.263115594928 -112.917932030568 828.250972620421</t>
  </si>
  <si>
    <t>9763-20170724T105122.146214500.bin</t>
  </si>
  <si>
    <t>-773.936619641608 34.2038188438312 -96.8832611665392</t>
  </si>
  <si>
    <t>-786.621553568283 24.9812722262957 -211.644975506923</t>
  </si>
  <si>
    <t>-789.360565267862 19.1968436075058 -310.061034508866</t>
  </si>
  <si>
    <t>-789.123889416618 14.5383787625335 -399.035664868992</t>
  </si>
  <si>
    <t>-785.821741998344 10.4791972438313 -487.978580699182</t>
  </si>
  <si>
    <t>-777.981153274368 5.37256443350088 -612.209328643739</t>
  </si>
  <si>
    <t>-748.282984163416 6.5306341394255 -689.808872221014</t>
  </si>
  <si>
    <t>-787.338524884864 34.6511434257002 -559.025562647285</t>
  </si>
  <si>
    <t>-817.075459308876 168.148584318245 -545.104583352259</t>
  </si>
  <si>
    <t>-835.345698476064 196.021914013906 -252.734245293438</t>
  </si>
  <si>
    <t>-594.817306659367 210.03853664022 -252.036110245806</t>
  </si>
  <si>
    <t>-807.658398977992 125.808484565244 -102.275098499296</t>
  </si>
  <si>
    <t>-798.769106501287 159.67094977195 299.756008940242</t>
  </si>
  <si>
    <t>-866.375160240149 209.115376669188 739.71434819807</t>
  </si>
  <si>
    <t>-722.931580343491 233.110267382421 802.447634571244</t>
  </si>
  <si>
    <t>-707.347812638001 -34.2936600584269 307.941143262591</t>
  </si>
  <si>
    <t>-683.496480902722 -25.1192638891937 755.679057465629</t>
  </si>
  <si>
    <t>-573.315143378231 -112.853298923063 828.136822562416</t>
  </si>
  <si>
    <t>9763-20170724T105122.224441200.bin</t>
  </si>
  <si>
    <t>-777.136051089184 43.0174178491911 -96.8101949052451</t>
  </si>
  <si>
    <t>-790.129194817088 34.32173500147 -211.578522241061</t>
  </si>
  <si>
    <t>-793.006237155398 29.0829700471584 -310.021039594726</t>
  </si>
  <si>
    <t>-792.843851702369 24.959588365444 -399.022264537854</t>
  </si>
  <si>
    <t>-789.563379242435 21.4720952626396 -487.99035292056</t>
  </si>
  <si>
    <t>-781.697385870907 17.2008287621311 -612.250934382571</t>
  </si>
  <si>
    <t>-751.950667239972 18.5090017228026 -689.829569802947</t>
  </si>
  <si>
    <t>-790.74918030892 46.1891417743313 -558.855721137377</t>
  </si>
  <si>
    <t>-818.807961744988 179.931404949917 -543.838147586243</t>
  </si>
  <si>
    <t>-837.066439515668 206.179367462634 -251.316501577536</t>
  </si>
  <si>
    <t>-596.50242354955 218.84411763023 -246.907123534634</t>
  </si>
  <si>
    <t>-810.47965199744 135.279759494299 -101.814358845602</t>
  </si>
  <si>
    <t>-802.157359136874 164.399897581873 300.600115026181</t>
  </si>
  <si>
    <t>-866.250353319737 209.592103210061 741.676675968336</t>
  </si>
  <si>
    <t>-722.576035953259 232.729738503642 804.203878661802</t>
  </si>
  <si>
    <t>-707.320490382873 -28.7168584901281 307.458334933898</t>
  </si>
  <si>
    <t>-683.598062183022 -24.8657639224703 755.350805685281</t>
  </si>
  <si>
    <t>-573.918590979643 -113.085856034202 827.97942438011</t>
  </si>
  <si>
    <t>9763-20170724T105122.244118600.bin</t>
  </si>
  <si>
    <t>-777.621825090983 44.7131618957571 -96.7399883035808</t>
  </si>
  <si>
    <t>-790.685951418017 36.0964668527445 -211.506236333505</t>
  </si>
  <si>
    <t>-793.598221314657 30.9608976946397 -309.953218696167</t>
  </si>
  <si>
    <t>-793.45744098017 26.9457085764641 -398.959506632231</t>
  </si>
  <si>
    <t>-790.187696852025 23.5804150554386 -487.932524743882</t>
  </si>
  <si>
    <t>-782.324854324427 19.4944867016468 -612.199597700426</t>
  </si>
  <si>
    <t>-752.552576313945 20.8540206049131 -689.76767322231</t>
  </si>
  <si>
    <t>-791.315903387012 48.4155330073665 -558.757580812019</t>
  </si>
  <si>
    <t>-819.043477215931 182.19947370698 -543.499560736054</t>
  </si>
  <si>
    <t>-837.233480613622 208.07304361397 -250.940255808862</t>
  </si>
  <si>
    <t>-596.665853384616 220.437441259323 -245.916675686975</t>
  </si>
  <si>
    <t>-810.757495640668 137.065386127518 -101.662587115087</t>
  </si>
  <si>
    <t>-802.391120883106 165.411364874669 300.806266254843</t>
  </si>
  <si>
    <t>-866.27502994334 209.803806409617 742.040265194405</t>
  </si>
  <si>
    <t>-722.526278947779 232.556591419671 804.537748961233</t>
  </si>
  <si>
    <t>-707.294115681048 -27.5908485439027 307.428092231582</t>
  </si>
  <si>
    <t>-683.585870798933 -24.711933969269 755.321615403521</t>
  </si>
  <si>
    <t>-573.956316610881 -112.981318623835 827.965668958634</t>
  </si>
  <si>
    <t>9763-20170724T105122.313301500.bin</t>
  </si>
  <si>
    <t>-779.216196893578 50.8392165525822 -96.3185895643227</t>
  </si>
  <si>
    <t>-792.596823101391 42.5824120087727 -211.074988793028</t>
  </si>
  <si>
    <t>-795.715413459027 37.8980331255216 -309.538116654481</t>
  </si>
  <si>
    <t>-795.733913270966 34.3511754003307 -398.564200602145</t>
  </si>
  <si>
    <t>-792.594018783794 31.5106870724285 -487.560399199578</t>
  </si>
  <si>
    <t>-784.880560267231 28.2164820557825 -611.860273739387</t>
  </si>
  <si>
    <t>-755.029524799448 29.8462271157396 -689.392735026201</t>
  </si>
  <si>
    <t>-793.57994276968 56.8422742847133 -558.21133336918</t>
  </si>
  <si>
    <t>-820.051996215172 190.746075267299 -541.949596737836</t>
  </si>
  <si>
    <t>-837.722551757508 214.968671065413 -249.217244954316</t>
  </si>
  <si>
    <t>-597.138714231549 225.804344325631 -241.949831269687</t>
  </si>
  <si>
    <t>-782.969999656088 2.48975508876038 -556.112567961725</t>
  </si>
  <si>
    <t>-811.873229163626 143.576736910821 -100.87139106718</t>
  </si>
  <si>
    <t>-802.694302378621 168.967411425753 301.777019575893</t>
  </si>
  <si>
    <t>-866.248225688187 210.132975551793 743.543292320417</t>
  </si>
  <si>
    <t>-722.31884050813 232.124628044301 805.897012228943</t>
  </si>
  <si>
    <t>-706.647767640007 -23.6779342223276 307.321835927967</t>
  </si>
  <si>
    <t>-683.758964737332 -24.5337487576785 755.124387641304</t>
  </si>
  <si>
    <t>-574.389233558867 -113.075049108257 827.829057785581</t>
  </si>
  <si>
    <t>9763-20170724T105122.345051100.bin</t>
  </si>
  <si>
    <t>-779.871428712563 53.3230599290023 -96.0260745650065</t>
  </si>
  <si>
    <t>-793.457995083206 45.2297932355125 -210.769739923192</t>
  </si>
  <si>
    <t>-796.702308940748 40.7480056818442 -309.238307641583</t>
  </si>
  <si>
    <t>-796.813690760394 37.4112882400889 -398.272507288722</t>
  </si>
  <si>
    <t>-793.745135600772 34.8062262029159 -487.278313808683</t>
  </si>
  <si>
    <t>-786.108091556955 31.8670162226661 -611.591881862534</t>
  </si>
  <si>
    <t>-756.212186094388 33.6602417025019 -689.103510805676</t>
  </si>
  <si>
    <t>-794.656582782787 60.3625581361459 -557.849488643757</t>
  </si>
  <si>
    <t>-820.521106474393 194.340938719156 -541.091164791995</t>
  </si>
  <si>
    <t>-837.976564894509 217.874351922022 -248.289635799462</t>
  </si>
  <si>
    <t>-597.381535863727 227.635794267417 -239.947463577183</t>
  </si>
  <si>
    <t>-784.280983945542 5.95836961276609 -555.925766853945</t>
  </si>
  <si>
    <t>-812.37726789855 146.371588787428 -100.417093566155</t>
  </si>
  <si>
    <t>-802.827137371488 170.371532460546 302.307950624331</t>
  </si>
  <si>
    <t>-866.222187585513 210.177590355447 744.28536132407</t>
  </si>
  <si>
    <t>-722.207911039129 231.841062083337 806.557908635961</t>
  </si>
  <si>
    <t>-706.239010156257 -22.030618472995 307.342235365984</t>
  </si>
  <si>
    <t>-683.870410114497 -24.4906130544764 755.186952459166</t>
  </si>
  <si>
    <t>-574.498891756366 -113.00905061634 827.916873884239</t>
  </si>
  <si>
    <t>9763-20170724T105122.376132600.bin</t>
  </si>
  <si>
    <t>-780.426215224172 55.5706527156326 -95.7058882945115</t>
  </si>
  <si>
    <t>-794.242924760754 47.6161256615303 -210.431825436579</t>
  </si>
  <si>
    <t>-797.645273336735 43.3139888378721 -308.903044316731</t>
  </si>
  <si>
    <t>-797.883092051274 40.1659121965124 -397.943784503725</t>
  </si>
  <si>
    <t>-794.923529972451 37.7736661527467 -486.959408343165</t>
  </si>
  <si>
    <t>-787.420280973906 35.1567563571257 -611.288265259827</t>
  </si>
  <si>
    <t>-757.499528047435 37.1216583648102 -688.786137539357</t>
  </si>
  <si>
    <t>-795.782074428442 63.537258264585 -557.455752213627</t>
  </si>
  <si>
    <t>-821.022295425161 197.572511302387 -540.260375002342</t>
  </si>
  <si>
    <t>-838.466842662469 220.265736163085 -247.391921038313</t>
  </si>
  <si>
    <t>-597.86375407531 228.783512304804 -237.988583000267</t>
  </si>
  <si>
    <t>-785.661994304011 9.0793429755081 -555.698708695683</t>
  </si>
  <si>
    <t>-812.743833421887 148.89730314687 -99.9775239357851</t>
  </si>
  <si>
    <t>-803.141630056894 171.6232750122 302.820175475045</t>
  </si>
  <si>
    <t>-866.188045135718 210.167075323789 745.003018211029</t>
  </si>
  <si>
    <t>-722.107063028863 231.610084206658 807.197820540252</t>
  </si>
  <si>
    <t>-705.710581816154 -20.4913293575696 307.396828365057</t>
  </si>
  <si>
    <t>-683.89986790544 -24.2877198507047 755.226616845064</t>
  </si>
  <si>
    <t>-574.840223081912 -113.147839942377 828.008118863821</t>
  </si>
  <si>
    <t>9763-20170724T105122.443232800.bin</t>
  </si>
  <si>
    <t>-781.543742474224 59.8436415408103 -95.1838884670983</t>
  </si>
  <si>
    <t>-795.784687486207 52.1125595705607 -209.873271249462</t>
  </si>
  <si>
    <t>-799.545740780927 48.1118192475647 -308.344078916186</t>
  </si>
  <si>
    <t>-800.105305713149 45.2841027515499 -397.39422621232</t>
  </si>
  <si>
    <t>-797.462619222902 43.2560161058975 -486.428682726814</t>
  </si>
  <si>
    <t>-790.395797272173 41.1930037401341 -610.793565636928</t>
  </si>
  <si>
    <t>-760.504098098244 43.4883398518073 -688.293479904407</t>
  </si>
  <si>
    <t>-798.309713888644 69.3806656043826 -556.792266382165</t>
  </si>
  <si>
    <t>-822.259692385069 203.531786879744 -538.694721350373</t>
  </si>
  <si>
    <t>-840.070921427184 224.893361539569 -245.748079363309</t>
  </si>
  <si>
    <t>-599.464214758552 230.289358545944 -234.339295551864</t>
  </si>
  <si>
    <t>-788.701397143766 14.8211660635363 -555.341206562631</t>
  </si>
  <si>
    <t>-813.602545891467 153.806636925368 -99.2898662585279</t>
  </si>
  <si>
    <t>-804.793417130828 174.08312981404 303.656738364628</t>
  </si>
  <si>
    <t>-866.09760132502 210.27034514592 746.301689434426</t>
  </si>
  <si>
    <t>-721.901135932197 231.217996697859 808.397373471448</t>
  </si>
  <si>
    <t>-704.955354012728 -17.6657636226537 307.486626084899</t>
  </si>
  <si>
    <t>-683.922997936341 -23.7302197329932 755.246300173269</t>
  </si>
  <si>
    <t>-575.491299126214 -113.263801760738 828.140860471722</t>
  </si>
  <si>
    <t>9763-20170724T105122.509406400.bin</t>
  </si>
  <si>
    <t>-782.264954203143 63.7178266469928 -94.8331450332986</t>
  </si>
  <si>
    <t>-796.722939446495 56.1399759829046 -209.50567231271</t>
  </si>
  <si>
    <t>-800.753895669817 52.4097304418347 -307.97646244305</t>
  </si>
  <si>
    <t>-801.589149098235 49.8848099858371 -397.033409824816</t>
  </si>
  <si>
    <t>-799.251471931944 48.2147364515904 -486.083909077678</t>
  </si>
  <si>
    <t>-792.640246817473 46.7093466866672 -610.481917638928</t>
  </si>
  <si>
    <t>-762.89023073735 49.3286848783503 -688.026087985253</t>
  </si>
  <si>
    <t>-800.144414220827 74.6912136620522 -556.315193072998</t>
  </si>
  <si>
    <t>-823.09721915962 208.90773926248 -537.412504598868</t>
  </si>
  <si>
    <t>-842.025760818407 229.253104829043 -244.463714517548</t>
  </si>
  <si>
    <t>-601.493577044427 230.727949594243 -230.570893403171</t>
  </si>
  <si>
    <t>-790.954733013835 20.0524416632838 -555.165607430884</t>
  </si>
  <si>
    <t>-813.867925172535 158.082362340585 -98.7553125380803</t>
  </si>
  <si>
    <t>-806.182290353433 176.592646495322 304.299263754403</t>
  </si>
  <si>
    <t>-865.936750985962 210.369333000823 747.392656664847</t>
  </si>
  <si>
    <t>-721.61009182638 230.461778260498 809.468587258048</t>
  </si>
  <si>
    <t>-704.497865147386 -15.2896307091025 307.586863974641</t>
  </si>
  <si>
    <t>-684.164171011201 -23.520461665486 755.315088166076</t>
  </si>
  <si>
    <t>-575.837834142363 -113.152814000143 828.244763116551</t>
  </si>
  <si>
    <t>9763-20170724T105122.545505600.bin</t>
  </si>
  <si>
    <t>-782.532839167426 65.3267606198065 -94.6396538478722</t>
  </si>
  <si>
    <t>-797.082953190002 57.8323445638166 -209.30605040526</t>
  </si>
  <si>
    <t>-801.204860275438 54.2370065657403 -307.777933327053</t>
  </si>
  <si>
    <t>-802.126145180988 51.8599351590444 -396.838294043889</t>
  </si>
  <si>
    <t>-799.877338517916 50.3623680398966 -485.894053362668</t>
  </si>
  <si>
    <t>-793.392397469819 49.1232060342115 -610.301723684439</t>
  </si>
  <si>
    <t>-763.701050581928 51.8958536973601 -687.862981432239</t>
  </si>
  <si>
    <t>-800.767522214338 77.0014271565215 -556.064035813098</t>
  </si>
  <si>
    <t>-823.406197124802 211.212492012215 -536.789274760076</t>
  </si>
  <si>
    <t>-843.119823278209 231.095292439226 -243.860528781609</t>
  </si>
  <si>
    <t>-602.676248360026 230.342154350959 -228.458953670421</t>
  </si>
  <si>
    <t>-791.72463263972 22.3355022493163 -555.048066747326</t>
  </si>
  <si>
    <t>-813.849360416697 159.711099429095 -98.4746302172965</t>
  </si>
  <si>
    <t>-806.593427915082 177.658084211441 304.61329411372</t>
  </si>
  <si>
    <t>-865.858136887381 210.43838560548 747.862882496722</t>
  </si>
  <si>
    <t>-721.483112094759 230.188994803024 809.936052461798</t>
  </si>
  <si>
    <t>-704.400021213843 -14.2760724828124 307.658890422502</t>
  </si>
  <si>
    <t>-684.349177425372 -23.5026522009778 755.357566147557</t>
  </si>
  <si>
    <t>-576.053130334392 -113.167781814434 828.292259192082</t>
  </si>
  <si>
    <t>9763-20170724T105122.611677000.bin</t>
  </si>
  <si>
    <t>-783.018963315075 68.169143738678 -94.2735247488256</t>
  </si>
  <si>
    <t>-797.721369128972 60.8060776735897 -208.928703900196</t>
  </si>
  <si>
    <t>-801.942214360402 57.4765461406821 -307.406062223378</t>
  </si>
  <si>
    <t>-802.937760270179 55.40204076349 -396.473169279567</t>
  </si>
  <si>
    <t>-800.746607796856 54.267961497874 -485.535787558585</t>
  </si>
  <si>
    <t>-794.323449060284 53.5999819990059 -609.950844356852</t>
  </si>
  <si>
    <t>-764.652114601955 56.6921446659965 -687.50784003925</t>
  </si>
  <si>
    <t>-801.598184463639 81.2410200095007 -555.578429798578</t>
  </si>
  <si>
    <t>-823.85062514643 215.408925539693 -535.562986449026</t>
  </si>
  <si>
    <t>-845.533166989334 234.362652420715 -242.711859663103</t>
  </si>
  <si>
    <t>-605.408113480403 228.713947181192 -223.767367620336</t>
  </si>
  <si>
    <t>-792.701860074947 26.5467651557437 -554.825324153814</t>
  </si>
  <si>
    <t>-814.093757894527 162.601030701898 -97.93141559194</t>
  </si>
  <si>
    <t>-806.687265008868 179.325248977899 305.206450805019</t>
  </si>
  <si>
    <t>-865.653087676041 210.515650834571 748.677767635789</t>
  </si>
  <si>
    <t>-721.210652999534 229.776942151003 810.747885529804</t>
  </si>
  <si>
    <t>-704.001741885333 -12.4858849517793 307.791446101254</t>
  </si>
  <si>
    <t>-684.626704061953 -23.3176125354419 755.465210564233</t>
  </si>
  <si>
    <t>-576.667241120327 -113.385409787217 828.402590982887</t>
  </si>
  <si>
    <t>9763-20170724T105122.645778600.bin</t>
  </si>
  <si>
    <t>-783.308657982018 69.2485997539241 -94.0929812456648</t>
  </si>
  <si>
    <t>-798.054976433472 61.9669080930908 -208.747818331835</t>
  </si>
  <si>
    <t>-802.301725186132 58.7764864913875 -307.228522770253</t>
  </si>
  <si>
    <t>-803.315251320419 56.8562526007843 -396.29888984138</t>
  </si>
  <si>
    <t>-801.135924305804 55.9042004398918 -485.363950237773</t>
  </si>
  <si>
    <t>-794.722197153578 55.5203829191375 -609.78084942882</t>
  </si>
  <si>
    <t>-764.996323138934 58.7663991718357 -687.310517851152</t>
  </si>
  <si>
    <t>-801.976335246399 83.0400141043367 -555.344000573241</t>
  </si>
  <si>
    <t>-824.115710243267 217.177532647938 -534.972675779567</t>
  </si>
  <si>
    <t>-846.856238605292 235.32398087575 -242.150644041716</t>
  </si>
  <si>
    <t>-606.92210694164 227.62758638845 -221.577631493477</t>
  </si>
  <si>
    <t>-793.112832657667 28.3388734907383 -554.718236717182</t>
  </si>
  <si>
    <t>-814.298219481633 163.694471555304 -97.6686038428403</t>
  </si>
  <si>
    <t>-806.638314769504 179.890499355962 305.486131033277</t>
  </si>
  <si>
    <t>-865.509691215341 210.458785512527 749.029638934165</t>
  </si>
  <si>
    <t>-721.050269946848 229.589520884448 811.100452807105</t>
  </si>
  <si>
    <t>-703.860580621697 -11.7805428605679 307.842236771723</t>
  </si>
  <si>
    <t>-684.799551012769 -23.3012604763171 755.512430851072</t>
  </si>
  <si>
    <t>-576.951782109861 -113.501388458163 828.451398742337</t>
  </si>
  <si>
    <t>9763-20170724T105122.711956100.bin</t>
  </si>
  <si>
    <t>-783.698949998299 70.7138607182249 -93.7009195994764</t>
  </si>
  <si>
    <t>-798.566285073078 63.5434894583252 -208.347159134179</t>
  </si>
  <si>
    <t>-802.920983224677 60.6214265791104 -306.831498049632</t>
  </si>
  <si>
    <t>-804.031022344144 59.0137754386253 -395.906856639388</t>
  </si>
  <si>
    <t>-801.945461341041 58.4439713347406 -484.977483412758</t>
  </si>
  <si>
    <t>-795.658347150822 58.6673236502443 -609.401115353701</t>
  </si>
  <si>
    <t>-765.819967263536 62.2871208400584 -686.871019856913</t>
  </si>
  <si>
    <t>-802.852937731557 85.9214102301778 -554.823021808054</t>
  </si>
  <si>
    <t>-825.020352396191 219.94631880314 -533.719768473688</t>
  </si>
  <si>
    <t>-849.304300132152 236.282281242394 -240.915069078102</t>
  </si>
  <si>
    <t>-609.705034282891 225.641240178325 -217.896341821517</t>
  </si>
  <si>
    <t>-793.997063131867 31.2166289015036 -554.473765039424</t>
  </si>
  <si>
    <t>-814.460662856837 165.13024902791 -97.1653904930088</t>
  </si>
  <si>
    <t>-806.660576283216 180.70527441197 306.011030058953</t>
  </si>
  <si>
    <t>-865.220816684083 210.307120271034 749.670173752639</t>
  </si>
  <si>
    <t>-720.763485272269 229.519477782919 811.72046981052</t>
  </si>
  <si>
    <t>-703.577255103934 -10.7710500712992 307.956937014738</t>
  </si>
  <si>
    <t>-685.012203600475 -23.0074952920397 755.584830341414</t>
  </si>
  <si>
    <t>-577.259658172256 -113.315939229479 828.530443713931</t>
  </si>
  <si>
    <t>9763-20170724T105122.741885900.bin</t>
  </si>
  <si>
    <t>-783.800972844791 71.3497128915651 -93.5238018794208</t>
  </si>
  <si>
    <t>-798.738567941367 64.2068562939392 -208.162698805642</t>
  </si>
  <si>
    <t>-803.144410673662 61.4042866017396 -306.648167695004</t>
  </si>
  <si>
    <t>-804.295348393881 59.9424406055848 -395.725656611551</t>
  </si>
  <si>
    <t>-802.244797299995 59.5570139019644 -484.79797275601</t>
  </si>
  <si>
    <t>-795.999827039054 60.078266088992 -609.222761592743</t>
  </si>
  <si>
    <t>-766.10121952497 63.9395520130172 -686.657902465812</t>
  </si>
  <si>
    <t>-803.199273093716 87.197844118386 -554.578413618574</t>
  </si>
  <si>
    <t>-825.454041870858 221.146241586871 -533.109927872307</t>
  </si>
  <si>
    <t>-850.441778463319 236.700319954718 -240.321784144909</t>
  </si>
  <si>
    <t>-610.991938488465 225.00945132054 -216.279485053803</t>
  </si>
  <si>
    <t>-794.296510487131 32.5000199551127 -554.360721463721</t>
  </si>
  <si>
    <t>-622.981685237354 0.0245179104801991 -326.666046673755</t>
  </si>
  <si>
    <t>-814.523833326035 165.745430752838 -96.929440263948</t>
  </si>
  <si>
    <t>-806.739194184191 181.074117039906 306.256771541226</t>
  </si>
  <si>
    <t>-865.151363580956 210.350809533654 749.963901279479</t>
  </si>
  <si>
    <t>-720.636314252357 229.1505364406 812.006312930739</t>
  </si>
  <si>
    <t>-703.37300283066 -10.3327657120608 308.028414872727</t>
  </si>
  <si>
    <t>-685.0450854773 -22.7250361452031 755.622236722742</t>
  </si>
  <si>
    <t>-577.56095124743 -113.336203738992 828.588696996674</t>
  </si>
  <si>
    <t>9763-20170724T105122.808062600.bin</t>
  </si>
  <si>
    <t>-783.901964757186 72.2283992033376 -93.2261908004117</t>
  </si>
  <si>
    <t>-798.981654394868 65.1233444252666 -207.848888391561</t>
  </si>
  <si>
    <t>-803.501496134064 62.524783896908 -306.334743281027</t>
  </si>
  <si>
    <t>-804.749807451651 61.315298891104 -395.414501686648</t>
  </si>
  <si>
    <t>-802.789173379569 61.2511757574059 -484.489809100327</t>
  </si>
  <si>
    <t>-796.660988525836 62.2935516029688 -608.917129885841</t>
  </si>
  <si>
    <t>-766.617108242434 66.5770276153262 -686.273818411267</t>
  </si>
  <si>
    <t>-803.875451002859 89.1731658563231 -554.156191749994</t>
  </si>
  <si>
    <t>-826.434012562159 222.977474535697 -532.092968338079</t>
  </si>
  <si>
    <t>-852.731388965227 238.020500161074 -239.392837470593</t>
  </si>
  <si>
    <t>-613.547494070481 224.395409390334 -213.774337713605</t>
  </si>
  <si>
    <t>-794.83993204256 34.4965478896152 -554.169446903087</t>
  </si>
  <si>
    <t>-622.947725007697 1.49762071549276 -326.022645963101</t>
  </si>
  <si>
    <t>-814.518637061981 166.554447597111 -96.516361693355</t>
  </si>
  <si>
    <t>-806.968604439332 181.513858852519 306.688162294101</t>
  </si>
  <si>
    <t>-864.909451804683 210.180543679811 750.46379303611</t>
  </si>
  <si>
    <t>-720.40648439651 229.149469980599 812.482981707085</t>
  </si>
  <si>
    <t>-702.904501268649 -9.94194788099458 308.159506330115</t>
  </si>
  <si>
    <t>-685.283833943761 -22.5214597420809 755.72450744876</t>
  </si>
  <si>
    <t>-577.899807140456 -113.258572288621 828.681631949888</t>
  </si>
  <si>
    <t>9763-20170724T105122.843157200.bin</t>
  </si>
  <si>
    <t>-783.978532360578 72.579991581885 -93.1205470861738</t>
  </si>
  <si>
    <t>-799.135019814244 65.4770429260004 -207.733159535609</t>
  </si>
  <si>
    <t>-803.721870423941 62.9570418005799 -306.217979871574</t>
  </si>
  <si>
    <t>-805.029780289915 61.8488896455378 -395.298373876948</t>
  </si>
  <si>
    <t>-803.127248301479 61.9167426793042 -484.374750708071</t>
  </si>
  <si>
    <t>-797.077901398883 63.1762434848558 -608.804006293685</t>
  </si>
  <si>
    <t>-766.981789469039 67.6964655354473 -686.126757821503</t>
  </si>
  <si>
    <t>-804.303578182452 89.9525568188499 -553.994092201853</t>
  </si>
  <si>
    <t>-827.090897400226 223.676244538344 -531.707334628787</t>
  </si>
  <si>
    <t>-854.034557232086 238.48036431868 -239.053808028596</t>
  </si>
  <si>
    <t>-614.937442450791 224.009949056658 -213.090669818592</t>
  </si>
  <si>
    <t>-795.176321352345 35.2914019989812 -554.103665892752</t>
  </si>
  <si>
    <t>-622.971649240126 2.19875563951018 -325.806659858576</t>
  </si>
  <si>
    <t>-814.68046347804 166.993146547835 -96.3670407922327</t>
  </si>
  <si>
    <t>-807.17825779489 181.743191993849 306.846159276435</t>
  </si>
  <si>
    <t>-864.835780737293 210.237322913128 750.661294138429</t>
  </si>
  <si>
    <t>-720.278545006361 228.748373484086 812.69249619092</t>
  </si>
  <si>
    <t>-702.625961054549 -9.755303395483 308.189202257877</t>
  </si>
  <si>
    <t>-685.301961937574 -22.2276841681951 755.749965366803</t>
  </si>
  <si>
    <t>-577.959698118839 -113.016271736154 828.70446990872</t>
  </si>
  <si>
    <t>9763-20170724T105122.908331100.bin</t>
  </si>
  <si>
    <t>-784.066997705334 72.5917209624549 -92.9440617103031</t>
  </si>
  <si>
    <t>-799.377215034587 65.466902993493 -207.534823937283</t>
  </si>
  <si>
    <t>-804.101672655447 63.0694365080456 -306.016361110126</t>
  </si>
  <si>
    <t>-805.533628453459 62.1265534191421 -395.096577406814</t>
  </si>
  <si>
    <t>-803.753716914736 62.4156767830382 -484.175170902836</t>
  </si>
  <si>
    <t>-797.873301989214 64.043179965568 -608.608240423322</t>
  </si>
  <si>
    <t>-767.670736234998 69.0161146196695 -685.861702787974</t>
  </si>
  <si>
    <t>-805.139237396105 90.637954194239 -553.715269332771</t>
  </si>
  <si>
    <t>-828.485856762137 224.195161874931 -531.003416992358</t>
  </si>
  <si>
    <t>-856.510073818691 238.616088872783 -238.432168309464</t>
  </si>
  <si>
    <t>-617.516863912952 223.064003357694 -212.140749238791</t>
  </si>
  <si>
    <t>-795.782733552022 36.0161142906049 -553.987517144562</t>
  </si>
  <si>
    <t>-622.776318747182 2.81145396369129 -325.775660247734</t>
  </si>
  <si>
    <t>-814.887631046919 167.031656319802 -96.0849179859022</t>
  </si>
  <si>
    <t>-807.279820195098 181.578061532864 307.133656352593</t>
  </si>
  <si>
    <t>-864.553535509235 209.993082432838 751.00859634447</t>
  </si>
  <si>
    <t>-720.026814121325 228.730162478084 813.042740634736</t>
  </si>
  <si>
    <t>-702.207385212567 -9.69656882741788 308.216455560544</t>
  </si>
  <si>
    <t>-685.705454793704 -22.4011914763792 755.815889665312</t>
  </si>
  <si>
    <t>-578.296084395693 -113.121553209871 828.756437483822</t>
  </si>
  <si>
    <t>9763-20170724T105122.944440900.bin</t>
  </si>
  <si>
    <t>-784.073580292974 72.5215875939557 -92.8597694869591</t>
  </si>
  <si>
    <t>-799.46631115783 65.3621019065026 -207.43739422167</t>
  </si>
  <si>
    <t>-804.264821126936 63.0022219714722 -305.916161762058</t>
  </si>
  <si>
    <t>-805.763282875292 62.118809499734 -394.995872528412</t>
  </si>
  <si>
    <t>-804.049396893118 62.493209764523 -484.075462536692</t>
  </si>
  <si>
    <t>-798.259888382445 64.2673629724663 -608.510890510906</t>
  </si>
  <si>
    <t>-768.01142905839 69.4384487784625 -685.733284201744</t>
  </si>
  <si>
    <t>-805.553346819094 90.7858127756701 -553.584549160072</t>
  </si>
  <si>
    <t>-829.227068909971 224.252471898226 -530.690446549957</t>
  </si>
  <si>
    <t>-857.731730931803 238.389990422588 -238.151938997945</t>
  </si>
  <si>
    <t>-618.77604032892 222.527918329477 -211.704168794567</t>
  </si>
  <si>
    <t>-796.061884234205 36.1875176730184 -553.921345407528</t>
  </si>
  <si>
    <t>-622.609341351247 3.08260096237791 -325.793490119512</t>
  </si>
  <si>
    <t>-815.056824610512 166.911244783689 -95.9556568998412</t>
  </si>
  <si>
    <t>-807.141444049219 181.384190913851 307.259583822014</t>
  </si>
  <si>
    <t>-864.407152329143 209.819498568342 751.151434506577</t>
  </si>
  <si>
    <t>-719.915104660284 228.853256696263 813.176334833243</t>
  </si>
  <si>
    <t>-701.903783697737 -9.61459885787644 308.244593319518</t>
  </si>
  <si>
    <t>-685.723212376803 -22.1228063447684 755.836532928333</t>
  </si>
  <si>
    <t>-578.426633048533 -112.974503914464 828.779583350931</t>
  </si>
  <si>
    <t>9763-20170724T105123.008610200.bin</t>
  </si>
  <si>
    <t>-783.989963407128 72.4653157399516 -92.679756345959</t>
  </si>
  <si>
    <t>-799.569991508598 65.2274311423469 -207.22705213298</t>
  </si>
  <si>
    <t>-804.559087507722 62.9260783522125 -305.697656553864</t>
  </si>
  <si>
    <t>-806.238995051621 62.1424472385959 -394.775295754746</t>
  </si>
  <si>
    <t>-804.714856940777 62.6658109707791 -483.857512362181</t>
  </si>
  <si>
    <t>-799.197764338739 64.6991913905626 -608.301112605135</t>
  </si>
  <si>
    <t>-768.891625249119 70.2267554391979 -685.476310321171</t>
  </si>
  <si>
    <t>-806.518754868011 91.0769958943959 -553.310995709366</t>
  </si>
  <si>
    <t>-830.879317071627 224.362394190766 -530.070186306918</t>
  </si>
  <si>
    <t>-860.24173472063 238.063550396342 -237.59564115148</t>
  </si>
  <si>
    <t>-621.338698069158 222.025146519411 -210.782269470933</t>
  </si>
  <si>
    <t>-796.732433764774 36.5317454070184 -553.768375574434</t>
  </si>
  <si>
    <t>-622.24211688919 3.64777563974167 -325.843822158572</t>
  </si>
  <si>
    <t>-815.242527616359 166.70582582732 -95.6951480444374</t>
  </si>
  <si>
    <t>-806.819009213718 181.096708847265 307.512709832314</t>
  </si>
  <si>
    <t>-864.199724529182 209.603671012686 751.385593290442</t>
  </si>
  <si>
    <t>-719.676963755471 228.443026350357 813.398107040075</t>
  </si>
  <si>
    <t>-701.314024498434 -9.5281485621997 308.31558817723</t>
  </si>
  <si>
    <t>-685.997080340005 -22.0490813993219 755.909112233913</t>
  </si>
  <si>
    <t>-578.536839579853 -112.734684634319 828.818224048728</t>
  </si>
  <si>
    <t>9763-20170724T105123.048729500.bin</t>
  </si>
  <si>
    <t>-783.870923282909 72.4701633227962 -92.605288486311</t>
  </si>
  <si>
    <t>-799.545377262911 65.1771728814299 -207.136271243086</t>
  </si>
  <si>
    <t>-804.646743702274 62.885532021367 -305.601479209835</t>
  </si>
  <si>
    <t>-806.439398142197 62.1321876834893 -394.677017752074</t>
  </si>
  <si>
    <t>-805.038607672019 62.7084001072558 -483.760857324325</t>
  </si>
  <si>
    <t>-799.704441878163 64.8393849340662 -608.210955969658</t>
  </si>
  <si>
    <t>-769.383473220426 70.5412355807093 -685.367712167814</t>
  </si>
  <si>
    <t>-807.020719622999 91.1603006818577 -553.192979477546</t>
  </si>
  <si>
    <t>-831.746111209944 224.349118013894 -529.805230806902</t>
  </si>
  <si>
    <t>-861.408036066983 237.746939630501 -237.346903603681</t>
  </si>
  <si>
    <t>-622.52265625034 221.728525298543 -210.364670757945</t>
  </si>
  <si>
    <t>-797.082813016372 36.6429740666824 -553.700445197671</t>
  </si>
  <si>
    <t>-622.164152610659 4.04719063527159 -325.895761539508</t>
  </si>
  <si>
    <t>-815.308274053443 166.546588565826 -95.5819937633253</t>
  </si>
  <si>
    <t>-806.618720360138 180.94065376001 307.620155931615</t>
  </si>
  <si>
    <t>-864.071635229307 209.413656149125 751.485127678652</t>
  </si>
  <si>
    <t>-719.577122658919 228.530350420945 813.478234835966</t>
  </si>
  <si>
    <t>-701.00705535164 -9.33691289904414 308.348271715643</t>
  </si>
  <si>
    <t>-686.013443753092 -21.7860354552938 755.926064538993</t>
  </si>
  <si>
    <t>-579.038109469592 -113.023369544175 828.860035640526</t>
  </si>
  <si>
    <t>9763-20170724T105123.110889600.bin</t>
  </si>
  <si>
    <t>-783.725967214215 72.3270386810634 -92.5107641409314</t>
  </si>
  <si>
    <t>-799.599831631015 64.8885638284264 -207.004897367352</t>
  </si>
  <si>
    <t>-804.932429000676 62.6019631152799 -305.45787225261</t>
  </si>
  <si>
    <t>-806.955294664295 61.9025535264184 -394.529004752145</t>
  </si>
  <si>
    <t>-805.804881280739 62.5843527962431 -483.615714541849</t>
  </si>
  <si>
    <t>-800.840876898647 64.9172757141562 -608.077479750641</t>
  </si>
  <si>
    <t>-770.555762426754 70.9603311585529 -685.222252415869</t>
  </si>
  <si>
    <t>-808.142943953854 91.1212919631591 -553.001675794382</t>
  </si>
  <si>
    <t>-833.478322503055 224.150648151516 -529.361585093965</t>
  </si>
  <si>
    <t>-863.513484060444 237.122983342351 -236.922225874619</t>
  </si>
  <si>
    <t>-624.679588367029 220.99774263295 -209.551204252327</t>
  </si>
  <si>
    <t>-797.90752409096 36.6601173909278 -553.614376747225</t>
  </si>
  <si>
    <t>-622.183937285017 4.87543190858833 -326.092818634966</t>
  </si>
  <si>
    <t>-815.569674976827 166.29356899051 -95.4437076642978</t>
  </si>
  <si>
    <t>-806.213358543543 180.558256194263 307.748137672814</t>
  </si>
  <si>
    <t>-863.832508855939 209.033962185289 751.604098722583</t>
  </si>
  <si>
    <t>-719.359693624977 228.416567216582 813.565701891199</t>
  </si>
  <si>
    <t>-700.702354798705 -9.30450462813269 308.425109452757</t>
  </si>
  <si>
    <t>-686.31977712444 -21.8955327789995 755.979135261836</t>
  </si>
  <si>
    <t>-578.865603185101 -112.586100451831 828.890815792688</t>
  </si>
  <si>
    <t>9763-20170724T105123.143988000.bin</t>
  </si>
  <si>
    <t>-783.703664283735 72.2462403075108 -92.4979026933539</t>
  </si>
  <si>
    <t>-799.678660517421 64.735361217397 -206.97323355807</t>
  </si>
  <si>
    <t>-805.127169469276 62.4245135883357 -305.419367023664</t>
  </si>
  <si>
    <t>-807.265054899316 61.7169800665276 -394.48762611699</t>
  </si>
  <si>
    <t>-806.239741556472 62.4052877742145 -483.575988182048</t>
  </si>
  <si>
    <t>-801.460471494845 64.7623512332129 -608.044472298887</t>
  </si>
  <si>
    <t>-771.192400779563 70.9210818945944 -685.186830416256</t>
  </si>
  <si>
    <t>-808.73787438708 90.9449966095722 -552.955201988517</t>
  </si>
  <si>
    <t>-834.31303402829 223.910971818102 -529.212694335318</t>
  </si>
  <si>
    <t>-864.494678154871 236.699983340239 -236.780357954143</t>
  </si>
  <si>
    <t>-625.686733336062 220.627603031744 -209.15240646224</t>
  </si>
  <si>
    <t>-798.389373437481 36.5052587330717 -553.588872048414</t>
  </si>
  <si>
    <t>-622.454118159334 5.27907141217656 -326.169228257131</t>
  </si>
  <si>
    <t>-815.772007789361 166.155826683228 -95.4038294011782</t>
  </si>
  <si>
    <t>-805.98409861421 180.330439830812 307.780937526928</t>
  </si>
  <si>
    <t>-863.733942740612 208.882854259984 751.636996370742</t>
  </si>
  <si>
    <t>-719.283208195004 228.485758067909 813.580492095939</t>
  </si>
  <si>
    <t>-700.596939563875 -9.22732463820876 308.447704606353</t>
  </si>
  <si>
    <t>-686.400841339667 -21.79341037523 755.995472908792</t>
  </si>
  <si>
    <t>-578.871192880103 -112.392826843158 828.909203751606</t>
  </si>
  <si>
    <t>9763-20170724T105123.214175400.bin</t>
  </si>
  <si>
    <t>-783.666022840687 72.2092190779131 -92.4971534877891</t>
  </si>
  <si>
    <t>-799.785415719757 64.5442020912635 -206.942110954957</t>
  </si>
  <si>
    <t>-805.479023405346 62.190284511739 -305.373130478395</t>
  </si>
  <si>
    <t>-807.884481285781 61.4774181857599 -394.434719908004</t>
  </si>
  <si>
    <t>-807.171829282622 62.1957144452056 -483.525717919027</t>
  </si>
  <si>
    <t>-802.875612538456 64.6319075614024 -608.010410880306</t>
  </si>
  <si>
    <t>-772.689783831343 70.9789686981001 -685.169643284176</t>
  </si>
  <si>
    <t>-810.046245078679 90.7589292688945 -552.880750088643</t>
  </si>
  <si>
    <t>-836.0380157551 223.614852078535 -528.978779521984</t>
  </si>
  <si>
    <t>-866.248938237773 235.911842572746 -236.528277154786</t>
  </si>
  <si>
    <t>-627.516662447155 219.75203763655 -208.303701837419</t>
  </si>
  <si>
    <t>-799.486136628079 36.3607563111375 -553.580864981183</t>
  </si>
  <si>
    <t>-622.921170457491 6.02139037185566 -326.292478007595</t>
  </si>
  <si>
    <t>-816.10081444458 165.938715446195 -95.4044507321496</t>
  </si>
  <si>
    <t>-805.548002751124 180.156177458482 307.75950689613</t>
  </si>
  <si>
    <t>-863.523142972738 208.627777102111 751.598470065823</t>
  </si>
  <si>
    <t>-719.063145623772 228.168938810988 813.53985049529</t>
  </si>
  <si>
    <t>-700.457990109926 -8.98648979471204 308.47417422085</t>
  </si>
  <si>
    <t>-686.569083870318 -21.5955832653067 756.022455274671</t>
  </si>
  <si>
    <t>-579.098592575517 -112.263372101905 828.938333980825</t>
  </si>
  <si>
    <t>9763-20170724T105123.241260700.bin</t>
  </si>
  <si>
    <t>-783.587695495238 72.1868198443028 -92.4988549000952</t>
  </si>
  <si>
    <t>-799.807519706484 64.4538707204474 -206.924960384329</t>
  </si>
  <si>
    <t>-805.623911099655 62.0877001840715 -305.348702433374</t>
  </si>
  <si>
    <t>-808.154176586674 61.3813366027141 -394.406700427891</t>
  </si>
  <si>
    <t>-807.579494085944 62.124269236054 -483.498610479333</t>
  </si>
  <si>
    <t>-803.489489813713 64.6146453054578 -607.98914998225</t>
  </si>
  <si>
    <t>-773.337572988565 71.0363449921392 -685.155495114008</t>
  </si>
  <si>
    <t>-810.623672062421 90.7069320263297 -552.838288831347</t>
  </si>
  <si>
    <t>-836.831310857704 223.506469522038 -528.8489585034</t>
  </si>
  <si>
    <t>-867.086583403207 235.697820856829 -236.398603890618</t>
  </si>
  <si>
    <t>-628.403360461132 219.433991549596 -207.821192234191</t>
  </si>
  <si>
    <t>-799.95503913157 36.3304427245596 -553.575714097116</t>
  </si>
  <si>
    <t>-623.224750788868 6.38067253210079 -326.306280216769</t>
  </si>
  <si>
    <t>-816.128693375442 165.819794051998 -95.4078432184915</t>
  </si>
  <si>
    <t>-805.393708741929 180.109815902967 307.748771667328</t>
  </si>
  <si>
    <t>-863.458513516584 208.571804846554 751.567055777876</t>
  </si>
  <si>
    <t>-718.971665958405 227.919489598006 813.50651686106</t>
  </si>
  <si>
    <t>-700.380543763873 -8.99406287829947 308.48600921535</t>
  </si>
  <si>
    <t>-686.689252521934 -21.5763009477269 756.034499496524</t>
  </si>
  <si>
    <t>-579.039443205309 -112.042559948255 828.93638815897</t>
  </si>
  <si>
    <t>9763-20170724T105123.306426500.bin</t>
  </si>
  <si>
    <t>-783.47288282691 72.140012231062 -92.5445485584866</t>
  </si>
  <si>
    <t>-799.836404098123 64.3192616296938 -206.944368131967</t>
  </si>
  <si>
    <t>-805.839885196565 61.955509842908 -305.356866784641</t>
  </si>
  <si>
    <t>-808.562847272877 61.2816677556507 -394.40941412861</t>
  </si>
  <si>
    <t>-808.204070179886 62.0892338436054 -483.501833356445</t>
  </si>
  <si>
    <t>-804.439663875894 64.7040307614925 -608.00016095948</t>
  </si>
  <si>
    <t>-774.35948697091 71.2554400146153 -685.183538092584</t>
  </si>
  <si>
    <t>-811.517608609308 90.7238317406629 -552.807831574698</t>
  </si>
  <si>
    <t>-838.066695785448 223.416575881746 -528.645494169122</t>
  </si>
  <si>
    <t>-868.625087074504 235.151634392897 -236.207985989159</t>
  </si>
  <si>
    <t>-630.00485023984 219.096518478319 -206.993239323564</t>
  </si>
  <si>
    <t>-800.674863557159 36.3829576281505 -553.621242549855</t>
  </si>
  <si>
    <t>-623.582257629642 6.96039203845316 -326.408251005182</t>
  </si>
  <si>
    <t>-816.24705903479 165.682575249439 -95.43389614324</t>
  </si>
  <si>
    <t>-805.255516488373 180.006608325058 307.714512038997</t>
  </si>
  <si>
    <t>-863.328540680416 208.4719078838 751.507504856339</t>
  </si>
  <si>
    <t>-718.831926915676 227.76239494685 813.442385399881</t>
  </si>
  <si>
    <t>-700.228642895053 -8.87814244187825 308.480926077688</t>
  </si>
  <si>
    <t>-686.839196319536 -21.3287320301274 756.053862728575</t>
  </si>
  <si>
    <t>-579.33228487971 -111.968931270731 828.950437940749</t>
  </si>
  <si>
    <t>9763-20170724T105123.347540900.bin</t>
  </si>
  <si>
    <t>-783.348308644513 72.0533802141729 -92.5660301431363</t>
  </si>
  <si>
    <t>-799.762474630809 64.2221107548464 -206.957775308798</t>
  </si>
  <si>
    <t>-805.844312587508 61.8857387318799 -305.366127299309</t>
  </si>
  <si>
    <t>-808.651856309942 61.2511399674913 -394.416432804633</t>
  </si>
  <si>
    <t>-808.391119330086 62.1136022291191 -483.508721303104</t>
  </si>
  <si>
    <t>-804.777132295368 64.8219962022131 -608.009331584394</t>
  </si>
  <si>
    <t>-774.708823013417 71.4530798275191 -685.19069580695</t>
  </si>
  <si>
    <t>-811.825030374877 90.7930072513348 -552.790347722856</t>
  </si>
  <si>
    <t>-838.491809290606 223.456350895717 -528.561600840977</t>
  </si>
  <si>
    <t>-869.260465859472 234.781822432183 -236.130083150296</t>
  </si>
  <si>
    <t>-630.65172430741 219.033960228036 -206.655836263269</t>
  </si>
  <si>
    <t>-800.909981681417 36.4673664185568 -553.655162964588</t>
  </si>
  <si>
    <t>-623.660124196654 7.21565936651905 -326.495578068051</t>
  </si>
  <si>
    <t>-816.104116022514 165.480062439163 -95.4428052759702</t>
  </si>
  <si>
    <t>-805.10782991259 179.845306632288 307.704125647183</t>
  </si>
  <si>
    <t>-863.182392682912 208.252782795759 751.486594796717</t>
  </si>
  <si>
    <t>-718.733159365584 227.922845206609 813.412366030477</t>
  </si>
  <si>
    <t>-700.107864444543 -8.81298669998773 308.462225071458</t>
  </si>
  <si>
    <t>-686.854480249218 -21.0973459124625 756.044112893546</t>
  </si>
  <si>
    <t>-579.480339241527 -111.887561392878 828.94952229475</t>
  </si>
  <si>
    <t>9763-20170724T105123.412716600.bin</t>
  </si>
  <si>
    <t>-783.278139351946 71.9766330966424 -92.5699073570032</t>
  </si>
  <si>
    <t>-799.788124882169 64.1649131515535 -206.949129285441</t>
  </si>
  <si>
    <t>-805.992259351942 61.8758630345517 -305.351064273409</t>
  </si>
  <si>
    <t>-808.926190607938 61.2975147026773 -394.397593595163</t>
  </si>
  <si>
    <t>-808.808029758812 62.2307703745373 -483.489438520125</t>
  </si>
  <si>
    <t>-805.409809560205 65.0546283622302 -607.99375860452</t>
  </si>
  <si>
    <t>-775.292837727378 71.7886284922758 -685.147079810277</t>
  </si>
  <si>
    <t>-812.400421960318 90.9667396453258 -552.739661674989</t>
  </si>
  <si>
    <t>-839.137732325387 223.601775383187 -528.451067133176</t>
  </si>
  <si>
    <t>-870.338926715996 234.650984430901 -236.054749922808</t>
  </si>
  <si>
    <t>-631.752329019013 219.269759983091 -206.210529024307</t>
  </si>
  <si>
    <t>-801.410029108397 36.6574306092687 -553.671531250914</t>
  </si>
  <si>
    <t>-623.918264187431 7.58679883845957 -326.602526864269</t>
  </si>
  <si>
    <t>-816.062571908609 165.386284446448 -95.3904071535094</t>
  </si>
  <si>
    <t>-804.772816368722 179.604260832998 307.753529787</t>
  </si>
  <si>
    <t>-863.077658430587 208.175443127297 751.471581771119</t>
  </si>
  <si>
    <t>-718.594452733459 227.573004546929 813.404032451463</t>
  </si>
  <si>
    <t>-700.171725386392 -8.97697479804469 308.425207712173</t>
  </si>
  <si>
    <t>-687.089796093591 -21.0998779769559 756.029793711485</t>
  </si>
  <si>
    <t>-579.376827718859 -111.500916681347 828.918956407569</t>
  </si>
  <si>
    <t>9763-20170724T105123.443809300.bin</t>
  </si>
  <si>
    <t>-783.313140650668 72.0189280309992 -92.570083380994</t>
  </si>
  <si>
    <t>-799.903243232662 64.2410419068801 -206.940123090845</t>
  </si>
  <si>
    <t>-806.15476561787 61.9778094995349 -305.339566320906</t>
  </si>
  <si>
    <t>-809.12323743543 61.4217347250114 -394.385188094161</t>
  </si>
  <si>
    <t>-809.031181805243 62.3759080093785 -483.476753664284</t>
  </si>
  <si>
    <t>-805.660759561114 65.2271034670298 -607.981136330667</t>
  </si>
  <si>
    <t>-775.486853233324 71.9857629346475 -685.110169102722</t>
  </si>
  <si>
    <t>-812.624320150362 91.1299585675972 -552.719450375833</t>
  </si>
  <si>
    <t>-839.173434878516 223.804415899505 -528.451711970624</t>
  </si>
  <si>
    <t>-870.655193798649 234.718129238556 -236.080281731139</t>
  </si>
  <si>
    <t>-632.043611636411 220.364316611836 -205.925650510881</t>
  </si>
  <si>
    <t>-801.663367640518 36.8148370597196 -553.666521613245</t>
  </si>
  <si>
    <t>-624.18543532857 7.69867984033067 -326.646994228725</t>
  </si>
  <si>
    <t>-816.021259539172 165.411010169784 -95.3408327799435</t>
  </si>
  <si>
    <t>-804.392825519217 179.475178474008 307.798873395918</t>
  </si>
  <si>
    <t>-862.988368987624 208.057431178949 751.478398670586</t>
  </si>
  <si>
    <t>-718.514811279632 227.498560988975 813.420034821563</t>
  </si>
  <si>
    <t>-700.168242442563 -9.05325979496729 308.400129530198</t>
  </si>
  <si>
    <t>-687.178694855833 -21.0516225260442 756.018389013653</t>
  </si>
  <si>
    <t>-579.464594470144 -111.446968747475 828.913300883686</t>
  </si>
  <si>
    <t>9763-20170724T105123.514990400.bin</t>
  </si>
  <si>
    <t>-783.3789298048 71.6080715474818 -92.4401552659785</t>
  </si>
  <si>
    <t>-800.11821146914 63.9465702250452 -206.796277379112</t>
  </si>
  <si>
    <t>-806.41495055235 61.7808074848199 -305.195053901375</t>
  </si>
  <si>
    <t>-809.392314544975 61.3138661959449 -394.240830368828</t>
  </si>
  <si>
    <t>-809.276833096879 62.3571469990975 -483.331480009185</t>
  </si>
  <si>
    <t>-805.840397651809 65.3324315000616 -607.831057591659</t>
  </si>
  <si>
    <t>-775.473976398297 72.0960859064426 -684.884100424268</t>
  </si>
  <si>
    <t>-812.74620981885 91.1975340885811 -552.544443300903</t>
  </si>
  <si>
    <t>-838.56525711932 224.05373470025 -528.476972551867</t>
  </si>
  <si>
    <t>-868.912164677937 235.423196292647 -236.00298529884</t>
  </si>
  <si>
    <t>-630.058235517223 225.201663172241 -206.083669119562</t>
  </si>
  <si>
    <t>-801.959106374254 36.8486624004449 -553.54558430286</t>
  </si>
  <si>
    <t>-624.467864265973 6.89013617885985 -326.752763850567</t>
  </si>
  <si>
    <t>-815.584305218085 164.985389132419 -95.1219359060315</t>
  </si>
  <si>
    <t>-802.98845891057 178.820818905805 307.99663700532</t>
  </si>
  <si>
    <t>-862.795770906445 207.620942199265 751.562895313244</t>
  </si>
  <si>
    <t>-718.342370209478 227.355041823641 813.458668882283</t>
  </si>
  <si>
    <t>-700.210012155915 -9.45628390377215 308.387113724733</t>
  </si>
  <si>
    <t>-687.435852769684 -21.0658541205162 756.029539618144</t>
  </si>
  <si>
    <t>-579.569490786428 -111.300878172343 828.897711003321</t>
  </si>
  <si>
    <t>9763-20170724T105123.547101200.bin</t>
  </si>
  <si>
    <t>-783.279326048659 71.2787748621381 -92.3369355236166</t>
  </si>
  <si>
    <t>-800.113706134018 63.6526823324759 -206.68137439139</t>
  </si>
  <si>
    <t>-806.461605179699 61.5105474779434 -305.077351711475</t>
  </si>
  <si>
    <t>-809.473199822879 61.0629013545747 -394.122280931532</t>
  </si>
  <si>
    <t>-809.379383535578 62.1212531276483 -483.212663634243</t>
  </si>
  <si>
    <t>-805.960081159411 65.1128594245688 -607.71240753934</t>
  </si>
  <si>
    <t>-775.474333808312 71.8088515389613 -684.724227280912</t>
  </si>
  <si>
    <t>-812.76056918279 90.9900500695956 -552.418283602506</t>
  </si>
  <si>
    <t>-837.879718662296 224.002228192714 -528.46594757796</t>
  </si>
  <si>
    <t>-866.163887383806 236.84725042246 -235.846288958435</t>
  </si>
  <si>
    <t>-627.003302807025 228.63881903333 -207.815151197576</t>
  </si>
  <si>
    <t>-802.168715744806 36.6029413602262 -553.434272149456</t>
  </si>
  <si>
    <t>-624.500596734906 5.82503562646593 -326.889219214022</t>
  </si>
  <si>
    <t>-815.176050880647 164.680532192257 -95.0108542758471</t>
  </si>
  <si>
    <t>-802.21030346622 178.472254638399 308.097509811617</t>
  </si>
  <si>
    <t>-862.723819368434 207.436596042932 751.575549387001</t>
  </si>
  <si>
    <t>-718.245460575781 227.101629582438 813.434806751609</t>
  </si>
  <si>
    <t>-700.265073773571 -9.62519128671738 308.420957329769</t>
  </si>
  <si>
    <t>-687.502351589825 -20.9547076668484 756.03906186813</t>
  </si>
  <si>
    <t>-579.577819889839 -111.130258633626 828.894896383152</t>
  </si>
  <si>
    <t>9763-20170724T105123.610284900.bin</t>
  </si>
  <si>
    <t>-782.655807929457 70.6761407246622 -92.1863974685867</t>
  </si>
  <si>
    <t>-799.693619612955 63.0672439187013 -206.501910746549</t>
  </si>
  <si>
    <t>-806.190598239257 60.9507730988237 -304.888784669284</t>
  </si>
  <si>
    <t>-809.325352710043 60.5316995720939 -393.929374812771</t>
  </si>
  <si>
    <t>-809.341616981809 61.6181769559792 -483.019529983843</t>
  </si>
  <si>
    <t>-806.061098462633 64.6463547712092 -607.522037192069</t>
  </si>
  <si>
    <t>-775.353442255604 71.1164024197196 -684.464863560636</t>
  </si>
  <si>
    <t>-812.507984516065 90.5623352468087 -552.203706314374</t>
  </si>
  <si>
    <t>-835.711243553349 223.962532190836 -528.507028408083</t>
  </si>
  <si>
    <t>-856.505312697972 241.787190238574 -235.52034184067</t>
  </si>
  <si>
    <t>-616.669318425635 238.91197764543 -212.688959891627</t>
  </si>
  <si>
    <t>-802.501435796595 36.0653421815205 -553.265592698413</t>
  </si>
  <si>
    <t>-624.395782793372 3.04755222350764 -327.428285556035</t>
  </si>
  <si>
    <t>-813.767715763571 164.00455003746 -94.9182660022459</t>
  </si>
  <si>
    <t>-801.018307054242 178.005532158029 308.189738838917</t>
  </si>
  <si>
    <t>-862.560571950236 207.088036559765 751.494812856133</t>
  </si>
  <si>
    <t>-718.091887025482 227.08930662057 813.269136117319</t>
  </si>
  <si>
    <t>-700.143961882374 -10.2776095639506 308.501623614002</t>
  </si>
  <si>
    <t>-687.734389747452 -20.9894116073003 756.07112456814</t>
  </si>
  <si>
    <t>-579.512301165973 -110.822514027562 828.908440418342</t>
  </si>
  <si>
    <t>9763-20170724T105123.643367400.bin</t>
  </si>
  <si>
    <t>-782.153829643268 70.5968268717072 -92.1614374636147</t>
  </si>
  <si>
    <t>-799.31752953417 62.9898104605979 -206.458180423305</t>
  </si>
  <si>
    <t>-805.918987904915 60.8636635369012 -304.837868458377</t>
  </si>
  <si>
    <t>-809.14694834987 60.4323230372052 -393.875146652464</t>
  </si>
  <si>
    <t>-809.253745373626 61.5001503941335 -482.965592893483</t>
  </si>
  <si>
    <t>-806.097017165761 64.4940151468738 -607.472100490646</t>
  </si>
  <si>
    <t>-775.319813567587 70.7873352518775 -684.401802041571</t>
  </si>
  <si>
    <t>-812.318018677408 90.4559063683355 -552.149465615205</t>
  </si>
  <si>
    <t>-834.510308355568 224.049076104124 -528.585193332822</t>
  </si>
  <si>
    <t>-849.037821822511 245.544792285047 -235.467242216001</t>
  </si>
  <si>
    <t>-608.803068935487 244.867313912245 -217.09207047165</t>
  </si>
  <si>
    <t>-802.654367305124 35.8972481175181 -553.216314287479</t>
  </si>
  <si>
    <t>-624.61446287594 1.70416920901675 -327.870709328177</t>
  </si>
  <si>
    <t>-812.835249123775 163.85394359462 -94.9174209508673</t>
  </si>
  <si>
    <t>-800.545313098 177.975377760504 308.2007050665</t>
  </si>
  <si>
    <t>-862.551786402196 207.06170468849 751.431713755923</t>
  </si>
  <si>
    <t>-718.05726364287 227.051432000652 813.149346265598</t>
  </si>
  <si>
    <t>-699.837375470846 -10.466252814251 308.536507701437</t>
  </si>
  <si>
    <t>-687.743159970697 -20.7796555105213 756.083767045398</t>
  </si>
  <si>
    <t>-579.856521428833 -110.996421523714 828.944736230962</t>
  </si>
  <si>
    <t>9763-20170724T105123.676463000.bin</t>
  </si>
  <si>
    <t>-781.714468401821 70.3571348797857 -92.1540163338331</t>
  </si>
  <si>
    <t>-798.981964009857 62.7468718654084 -206.435018312902</t>
  </si>
  <si>
    <t>-805.674367732311 60.5859954033069 -304.807748319407</t>
  </si>
  <si>
    <t>-808.985814445168 60.1110981824947 -393.841656886411</t>
  </si>
  <si>
    <t>-809.176181435267 61.1200495544845 -482.932632939244</t>
  </si>
  <si>
    <t>-806.136109539861 64.0147804858389 -607.444495772691</t>
  </si>
  <si>
    <t>-775.284224210566 70.1114911323648 -684.360155645334</t>
  </si>
  <si>
    <t>-812.125663653577 90.0516992191426 -552.131657649164</t>
  </si>
  <si>
    <t>-833.199201734227 223.842007785622 -528.716610074393</t>
  </si>
  <si>
    <t>-840.081340623201 250.163861535974 -235.713237064596</t>
  </si>
  <si>
    <t>-599.542858807923 250.656677008359 -221.861051988166</t>
  </si>
  <si>
    <t>-802.82213834841 35.4301145877735 -553.174367596892</t>
  </si>
  <si>
    <t>-624.707145209142 0.0407769234257103 -328.397694076085</t>
  </si>
  <si>
    <t>-811.956375104501 163.639740967594 -94.9167550614466</t>
  </si>
  <si>
    <t>-800.023054762363 177.814064692848 308.210219399257</t>
  </si>
  <si>
    <t>-862.555895949456 207.001798633454 751.39009820771</t>
  </si>
  <si>
    <t>-718.013195108175 227.005496253015 812.990222105545</t>
  </si>
  <si>
    <t>-699.653720689595 -10.7115671615379 308.565341400111</t>
  </si>
  <si>
    <t>-687.858447908859 -20.8201635219536 756.103873754885</t>
  </si>
  <si>
    <t>-579.921687064789 -110.977168383245 828.964635625143</t>
  </si>
  <si>
    <t>9763-20170724T105123.743170800.bin</t>
  </si>
  <si>
    <t>-781.059384907544 69.9267095593655 -92.1398856320434</t>
  </si>
  <si>
    <t>-798.539664867805 62.2621222212285 -206.384879823192</t>
  </si>
  <si>
    <t>-805.452828537128 59.9263653920741 -304.738295844594</t>
  </si>
  <si>
    <t>-808.979094148424 59.2414733856447 -393.762748380687</t>
  </si>
  <si>
    <t>-809.398554212915 59.9819049977311 -482.855414287751</t>
  </si>
  <si>
    <t>-806.692686306873 62.4359873553719 -607.384428696631</t>
  </si>
  <si>
    <t>-775.735371683066 68.0582282616829 -684.293900213129</t>
  </si>
  <si>
    <t>-812.153517768204 88.7305103471617 -552.138751004071</t>
  </si>
  <si>
    <t>-830.792852570961 222.951706520841 -529.08233547988</t>
  </si>
  <si>
    <t>-818.417681772171 259.404680262935 -237.34752209723</t>
  </si>
  <si>
    <t>-577.546442576683 259.687951416038 -231.701304345097</t>
  </si>
  <si>
    <t>-803.613375053088 33.9817610915668 -553.032066747625</t>
  </si>
  <si>
    <t>-810.746131835439 163.333071028433 -94.9475254938761</t>
  </si>
  <si>
    <t>-798.880335410352 177.460155298812 308.183083820404</t>
  </si>
  <si>
    <t>-862.581942756186 206.978845285579 751.203990065322</t>
  </si>
  <si>
    <t>-717.932193299558 226.904955668769 812.5775820707</t>
  </si>
  <si>
    <t>-699.354827374633 -10.8771732707339 308.597610473947</t>
  </si>
  <si>
    <t>-687.85114689717 -20.3947027615475 756.119501152618</t>
  </si>
  <si>
    <t>-580.291911921537 -110.970236909067 829.019202306945</t>
  </si>
  <si>
    <t>9763-20170724T105123.807348600.bin</t>
  </si>
  <si>
    <t>-780.560357786367 69.8391771432416 -92.1385693799394</t>
  </si>
  <si>
    <t>-798.246260674383 62.1506410976945 -206.350380274301</t>
  </si>
  <si>
    <t>-805.393997851347 59.5948352803148 -304.681552972076</t>
  </si>
  <si>
    <t>-809.156076129217 58.6287464984598 -393.693588980623</t>
  </si>
  <si>
    <t>-809.834057097042 58.9966135938814 -482.787186665166</t>
  </si>
  <si>
    <t>-807.513251109196 60.8296730813015 -607.334625263447</t>
  </si>
  <si>
    <t>-776.554044712202 65.8158768042492 -684.287038406034</t>
  </si>
  <si>
    <t>-812.371728920936 87.4630341660927 -552.194996854277</t>
  </si>
  <si>
    <t>-828.337288038369 222.072134512652 -529.33067152494</t>
  </si>
  <si>
    <t>-796.367254394472 264.861291364237 -239.955165063575</t>
  </si>
  <si>
    <t>-555.458556500587 262.772104844928 -243.045717293578</t>
  </si>
  <si>
    <t>-804.697413706791 32.5829322651045 -552.859728519396</t>
  </si>
  <si>
    <t>-809.632164693153 163.177374280496 -95.0385472469209</t>
  </si>
  <si>
    <t>-797.921512781705 177.309365789042 308.09638595556</t>
  </si>
  <si>
    <t>-862.509695226293 206.826316371576 750.963835518005</t>
  </si>
  <si>
    <t>-717.831413488564 226.970532411733 812.198718990498</t>
  </si>
  <si>
    <t>-699.136624344363 -10.9758711176546 308.639129644567</t>
  </si>
  <si>
    <t>-688.018302401435 -20.3223005503489 756.159449925452</t>
  </si>
  <si>
    <t>-580.345861971109 -110.772809171221 829.04752327644</t>
  </si>
  <si>
    <t>9763-20170724T105123.844138900.bin</t>
  </si>
  <si>
    <t>-780.189550858697 69.9474141389987 -92.1718237747705</t>
  </si>
  <si>
    <t>-797.929748734878 62.2632086273804 -206.375550855826</t>
  </si>
  <si>
    <t>-805.159793910996 59.6096250734331 -304.698161646431</t>
  </si>
  <si>
    <t>-809.011106341217 58.5135941912329 -393.704884868311</t>
  </si>
  <si>
    <t>-809.792715782935 58.7055745908226 -482.798142966528</t>
  </si>
  <si>
    <t>-807.632161478681 60.2424351853397 -607.352422271662</t>
  </si>
  <si>
    <t>-776.650163549161 64.8620651672716 -684.318553360452</t>
  </si>
  <si>
    <t>-812.18914243813 87.0380658478616 -552.265777333591</t>
  </si>
  <si>
    <t>-826.748712634643 221.842029420054 -529.574464414564</t>
  </si>
  <si>
    <t>-787.099426473207 265.12048429325 -241.223684722537</t>
  </si>
  <si>
    <t>-546.281336927593 261.766850315179 -248.026888158599</t>
  </si>
  <si>
    <t>-804.976899869073 32.0942299513399 -552.818605473779</t>
  </si>
  <si>
    <t>-808.916275862075 163.170215529294 -95.0970483260843</t>
  </si>
  <si>
    <t>-797.453650593491 177.32631981422 308.044191269391</t>
  </si>
  <si>
    <t>-862.461495395214 206.70800569094 750.851670678321</t>
  </si>
  <si>
    <t>-717.779733863786 227.001953716085 812.028702561805</t>
  </si>
  <si>
    <t>-698.983866407192 -10.8417544052895 308.633877800461</t>
  </si>
  <si>
    <t>-688.029531039093 -20.1285650516149 756.165299624996</t>
  </si>
  <si>
    <t>-580.940004563988 -111.240848224468 829.087707096538</t>
  </si>
  <si>
    <t>9763-20170724T105123.910314900.bin</t>
  </si>
  <si>
    <t>-779.674410066083 70.6330463364804 -92.197764822765</t>
  </si>
  <si>
    <t>-797.511855300136 63.0723331879208 -206.394510778513</t>
  </si>
  <si>
    <t>-804.789203478161 60.2828091370448 -304.709828635427</t>
  </si>
  <si>
    <t>-808.672818372782 58.9684881929904 -393.712293447877</t>
  </si>
  <si>
    <t>-809.477141028442 58.8382530554779 -482.805322397783</t>
  </si>
  <si>
    <t>-807.339174743203 59.8127665357811 -607.365732903448</t>
  </si>
  <si>
    <t>-776.396751003191 63.7350239784153 -684.386643283626</t>
  </si>
  <si>
    <t>-811.455301112806 86.9100025586813 -552.392025065509</t>
  </si>
  <si>
    <t>-823.269543939422 222.040361703367 -530.075606538453</t>
  </si>
  <si>
    <t>-774.915277028515 264.116893986013 -242.877530502013</t>
  </si>
  <si>
    <t>-534.258791324994 259.876538441253 -253.711931825695</t>
  </si>
  <si>
    <t>-805.104499025662 31.857887216361 -552.713686797009</t>
  </si>
  <si>
    <t>-807.558746864543 163.841990431306 -95.2079840996977</t>
  </si>
  <si>
    <t>-796.757052736574 177.643273283476 307.963790231131</t>
  </si>
  <si>
    <t>-862.457472145242 206.769184313931 750.648452951194</t>
  </si>
  <si>
    <t>-717.669796817274 226.461375893997 811.771399315981</t>
  </si>
  <si>
    <t>-698.907585431864 -10.7236344352034 308.633277121869</t>
  </si>
  <si>
    <t>-688.171151745256 -19.996562315956 756.185543807461</t>
  </si>
  <si>
    <t>-581.034063818965 -111.062272921119 829.096515744153</t>
  </si>
  <si>
    <t>9763-20170724T105123.943951400.bin</t>
  </si>
  <si>
    <t>-779.494660204143 70.9426065150826 -92.1916872467579</t>
  </si>
  <si>
    <t>-797.361382424585 63.4997489024111 -206.391509117291</t>
  </si>
  <si>
    <t>-804.590080140679 60.6946906439509 -304.710102616231</t>
  </si>
  <si>
    <t>-808.403088158283 59.3219142273426 -393.714707211389</t>
  </si>
  <si>
    <t>-809.11138470034 59.0867760874121 -482.808286275712</t>
  </si>
  <si>
    <t>-806.814172587615 59.8649141849742 -607.367268008158</t>
  </si>
  <si>
    <t>-775.853358136979 63.5067925849805 -684.394438812459</t>
  </si>
  <si>
    <t>-810.834907201028 87.0674179604753 -552.438439002531</t>
  </si>
  <si>
    <t>-821.662600824108 222.341168118583 -530.416940419078</t>
  </si>
  <si>
    <t>-772.547419614683 263.079015211456 -243.155102848434</t>
  </si>
  <si>
    <t>-531.972126252265 260.173325605507 -256.037071091023</t>
  </si>
  <si>
    <t>-804.815273237011 31.9776511330465 -552.671613061988</t>
  </si>
  <si>
    <t>-806.831377147198 164.166881072481 -95.2274639370368</t>
  </si>
  <si>
    <t>-796.323374022108 177.742328350653 307.959780377429</t>
  </si>
  <si>
    <t>-862.407450460167 206.727287509944 750.580673315632</t>
  </si>
  <si>
    <t>-717.614991414109 226.436938525884 811.686795298758</t>
  </si>
  <si>
    <t>-699.136981493689 -10.6562109473875 308.635798126429</t>
  </si>
  <si>
    <t>-688.30756418186 -20.0591788016166 756.194977531333</t>
  </si>
  <si>
    <t>-581.358996373722 -111.342584683915 829.110067928828</t>
  </si>
  <si>
    <t>9763-20170724T105124.008128100.bin</t>
  </si>
  <si>
    <t>-779.181987990773 71.5505913547759 -92.1578306351155</t>
  </si>
  <si>
    <t>-797.111621251273 64.3425578279018 -206.362897348248</t>
  </si>
  <si>
    <t>-804.282406479977 61.5055693061361 -304.684812044607</t>
  </si>
  <si>
    <t>-808.006334534838 60.0203288601483 -393.691249993321</t>
  </si>
  <si>
    <t>-808.59228529163 59.5886686959773 -482.785161854588</t>
  </si>
  <si>
    <t>-806.092338476049 60.0070225017671 -607.341955787124</t>
  </si>
  <si>
    <t>-775.028154656445 63.192857009481 -684.347799064795</t>
  </si>
  <si>
    <t>-810.042968579932 87.3848986596604 -552.495365589944</t>
  </si>
  <si>
    <t>-820.049003925629 222.803208924269 -530.977359545221</t>
  </si>
  <si>
    <t>-770.593366966109 261.90720133269 -243.547024011721</t>
  </si>
  <si>
    <t>-530.130828268007 260.165466496374 -258.567811986618</t>
  </si>
  <si>
    <t>-804.34181487595 32.2608494316567 -552.566047062585</t>
  </si>
  <si>
    <t>-805.478407856421 164.837219541182 -95.2172459693288</t>
  </si>
  <si>
    <t>-795.319750259049 177.865418854253 307.997031048369</t>
  </si>
  <si>
    <t>-862.240761047146 206.548619062589 750.491408029944</t>
  </si>
  <si>
    <t>-717.445566085851 226.331167485199 811.567618069039</t>
  </si>
  <si>
    <t>-699.77039059357 -10.6196690101715 308.658810568386</t>
  </si>
  <si>
    <t>-688.525552689899 -20.1229024310385 756.209694194796</t>
  </si>
  <si>
    <t>-581.353036649119 -111.169151475669 829.092405410746</t>
  </si>
  <si>
    <t>9763-20170724T105124.043894800.bin</t>
  </si>
  <si>
    <t>-778.962689328967 71.8943405760513 -92.1520147236664</t>
  </si>
  <si>
    <t>-796.906947352605 64.7434618396162 -206.358332229343</t>
  </si>
  <si>
    <t>-804.071564468644 61.8506595857452 -304.678977737333</t>
  </si>
  <si>
    <t>-807.785720230852 60.2774467841507 -393.684464822974</t>
  </si>
  <si>
    <t>-808.359170981545 59.7205932516661 -482.777589936458</t>
  </si>
  <si>
    <t>-805.840665255929 59.9273263011803 -607.334631298901</t>
  </si>
  <si>
    <t>-774.635145831255 62.9591237656091 -684.289359272897</t>
  </si>
  <si>
    <t>-809.777361848774 87.4006848786848 -552.53472194576</t>
  </si>
  <si>
    <t>-819.690602129123 222.859314102453 -531.25638575875</t>
  </si>
  <si>
    <t>-770.124034005106 262.450513627408 -243.911830040056</t>
  </si>
  <si>
    <t>-529.635846478222 260.469676666892 -258.485014899315</t>
  </si>
  <si>
    <t>-804.120652532904 32.272053336276 -552.511858325351</t>
  </si>
  <si>
    <t>-804.838149270381 165.044052975651 -95.2069134742543</t>
  </si>
  <si>
    <t>-794.862821023902 177.943023391896 308.016130110521</t>
  </si>
  <si>
    <t>-862.141341730504 206.415568766699 750.448831079607</t>
  </si>
  <si>
    <t>-717.377248924898 226.482261581699 811.506133202162</t>
  </si>
  <si>
    <t>-699.992230194675 -10.4887332106357 308.673079164439</t>
  </si>
  <si>
    <t>-688.553121383346 -19.9997286730188 756.201037514843</t>
  </si>
  <si>
    <t>-581.526850303108 -111.212228586076 829.091233633778</t>
  </si>
  <si>
    <t>9763-20170724T105124.111073000.bin</t>
  </si>
  <si>
    <t>-778.653393534183 72.7983542704194 -92.2314422762729</t>
  </si>
  <si>
    <t>-796.693001683627 65.6231510970104 -206.421249539583</t>
  </si>
  <si>
    <t>-803.886166486078 62.5541146371479 -304.734395993917</t>
  </si>
  <si>
    <t>-807.608422300537 60.7615346923114 -393.735466619213</t>
  </si>
  <si>
    <t>-808.174469706588 59.9258828506181 -482.826565044868</t>
  </si>
  <si>
    <t>-805.631169065643 59.6806973560269 -607.382970604658</t>
  </si>
  <si>
    <t>-774.071383664129 62.4955039696638 -684.201461785355</t>
  </si>
  <si>
    <t>-809.569931352367 87.3535946336078 -552.683650279637</t>
  </si>
  <si>
    <t>-819.542843949497 222.871244299869 -531.888629383737</t>
  </si>
  <si>
    <t>-769.409758860199 263.561377999037 -244.796083108775</t>
  </si>
  <si>
    <t>-528.82795386406 261.501875314323 -257.722394956463</t>
  </si>
  <si>
    <t>-803.930656242291 32.2236068698544 -552.460011618143</t>
  </si>
  <si>
    <t>-804.301173674837 165.804822609664 -95.2940376207408</t>
  </si>
  <si>
    <t>-794.269438730463 178.407593703359 307.936892748128</t>
  </si>
  <si>
    <t>-862.100583011444 206.6195655059 750.288371689573</t>
  </si>
  <si>
    <t>-717.27982333106 226.209468638384 811.36584461709</t>
  </si>
  <si>
    <t>-699.906399939463 -10.134413219487 308.656359791581</t>
  </si>
  <si>
    <t>-688.740428051903 -20.0631015887443 756.20684628657</t>
  </si>
  <si>
    <t>-581.816197197213 -111.391259409535 829.101925144132</t>
  </si>
  <si>
    <t>9763-20170724T105124.142692900.bin</t>
  </si>
  <si>
    <t>-778.460155299629 73.0270235684764 -92.2870900423137</t>
  </si>
  <si>
    <t>-796.561633228132 65.8029194370342 -206.46407260203</t>
  </si>
  <si>
    <t>-803.780399968776 62.6433097505014 -304.772525013774</t>
  </si>
  <si>
    <t>-807.51558161869 60.7477820434594 -393.770875158607</t>
  </si>
  <si>
    <t>-808.084702835796 59.7881476645607 -482.860672207752</t>
  </si>
  <si>
    <t>-805.535782267212 59.3475174294952 -607.416412701449</t>
  </si>
  <si>
    <t>-773.841436243974 62.126995909719 -684.180829456877</t>
  </si>
  <si>
    <t>-809.501415009679 87.1037417753892 -552.761317602795</t>
  </si>
  <si>
    <t>-819.63109471507 222.652784300753 -532.166483047944</t>
  </si>
  <si>
    <t>-769.356679878581 263.258899032592 -245.086598589098</t>
  </si>
  <si>
    <t>-528.701928973965 261.871702394821 -256.674316964791</t>
  </si>
  <si>
    <t>-803.813565984609 31.9791784252782 -552.449949866729</t>
  </si>
  <si>
    <t>-804.220578819538 166.030746311492 -95.3698131006429</t>
  </si>
  <si>
    <t>-793.930300121591 178.504867397501 307.858583720862</t>
  </si>
  <si>
    <t>-861.992140976749 206.581498238508 750.185537028692</t>
  </si>
  <si>
    <t>-717.189788654675 226.234169012658 811.286532272052</t>
  </si>
  <si>
    <t>-699.584325183089 -9.88129071807521 308.616994904183</t>
  </si>
  <si>
    <t>-688.704024049373 -19.8326671810648 756.177566767034</t>
  </si>
  <si>
    <t>-582.087042783364 -111.49496779846 829.103205241629</t>
  </si>
  <si>
    <t>9763-20170724T105124.206868900.bin</t>
  </si>
  <si>
    <t>-777.947074085604 73.1516343750041 -92.4131972841313</t>
  </si>
  <si>
    <t>-796.143485480914 65.7416951513596 -206.56320463709</t>
  </si>
  <si>
    <t>-803.404827481744 62.3523710488421 -304.860773911968</t>
  </si>
  <si>
    <t>-807.162786714683 60.2143390273791 -393.852652448462</t>
  </si>
  <si>
    <t>-807.739777146778 58.9773592024123 -482.938947167001</t>
  </si>
  <si>
    <t>-805.186682796599 58.1109808971294 -607.492504009611</t>
  </si>
  <si>
    <t>-773.319738258684 60.8545870569596 -684.186568106372</t>
  </si>
  <si>
    <t>-809.26889145468 86.0417620922808 -552.934852979808</t>
  </si>
  <si>
    <t>-819.987182483607 221.573292105317 -532.606026909155</t>
  </si>
  <si>
    <t>-769.462887263687 261.65842248176 -245.496864012851</t>
  </si>
  <si>
    <t>-528.699162778976 261.811432339769 -254.64278016045</t>
  </si>
  <si>
    <t>-803.351337827601 30.9427171995228 -552.430291379361</t>
  </si>
  <si>
    <t>-625.124108433661 0.291834624486455 -339.112604815534</t>
  </si>
  <si>
    <t>-804.043640673882 166.168127032998 -95.5403842922125</t>
  </si>
  <si>
    <t>-793.588442193025 178.569535433317 307.686040889392</t>
  </si>
  <si>
    <t>-861.748786502942 206.469776681078 749.961018533606</t>
  </si>
  <si>
    <t>-717.00518592404 226.383934071761 811.116750197265</t>
  </si>
  <si>
    <t>-698.880535179167 -9.68646430290119 308.553374778631</t>
  </si>
  <si>
    <t>-688.819687436743 -19.7953163800066 756.132060779518</t>
  </si>
  <si>
    <t>-582.020581365671 -111.237289830568 829.067685845018</t>
  </si>
  <si>
    <t>9763-20170724T105124.241117500.bin</t>
  </si>
  <si>
    <t>-777.645258236161 73.6035756267142 -92.4949505822497</t>
  </si>
  <si>
    <t>-795.855158455319 66.0780534208745 -206.635250455772</t>
  </si>
  <si>
    <t>-803.140327841505 62.5852275658976 -304.927627719175</t>
  </si>
  <si>
    <t>-806.924129768623 60.3485178253568 -393.915827763516</t>
  </si>
  <si>
    <t>-807.531136724691 59.0086806241973 -483.000517553306</t>
  </si>
  <si>
    <t>-805.024377307189 57.9926938415144 -607.553690311779</t>
  </si>
  <si>
    <t>-773.128426305208 60.7292919077115 -684.236134405072</t>
  </si>
  <si>
    <t>-809.166634261113 85.9801133327494 -553.029778798238</t>
  </si>
  <si>
    <t>-820.25589261552 221.488622164632 -532.772344117063</t>
  </si>
  <si>
    <t>-769.639823294634 261.592603414855 -245.681998690534</t>
  </si>
  <si>
    <t>-528.81791352071 263.364359506697 -252.925196361641</t>
  </si>
  <si>
    <t>-803.088158102556 30.8994184027486 -552.458223860078</t>
  </si>
  <si>
    <t>-625.091780408454 1.5307495622385 -338.07562703052</t>
  </si>
  <si>
    <t>-804.026567919231 166.501328888716 -95.6465545233948</t>
  </si>
  <si>
    <t>-793.514966583557 178.851172818092 307.580013873244</t>
  </si>
  <si>
    <t>-861.659688355035 206.478110410273 749.854809970207</t>
  </si>
  <si>
    <t>-716.933375323593 226.431972504062 811.038476635162</t>
  </si>
  <si>
    <t>-698.438202510531 -9.46941636378142 308.538240292612</t>
  </si>
  <si>
    <t>-688.844727833222 -19.7152627729215 756.109049949832</t>
  </si>
  <si>
    <t>-582.272217503285 -111.402092369139 829.068703711053</t>
  </si>
  <si>
    <t>9763-20170724T105124.312318400.bin</t>
  </si>
  <si>
    <t>-777.257084173235 74.6513521735203 -92.6582289415082</t>
  </si>
  <si>
    <t>-795.494958171604 66.9599492471739 -206.782994247733</t>
  </si>
  <si>
    <t>-802.831701763856 63.2855579794339 -305.064738446407</t>
  </si>
  <si>
    <t>-806.673280422974 60.865352939551 -394.045829197521</t>
  </si>
  <si>
    <t>-807.349972092667 59.324956281909 -483.126853366515</t>
  </si>
  <si>
    <t>-804.953541203001 58.0111576776326 -607.679286127457</t>
  </si>
  <si>
    <t>-773.069726122272 60.7279516482949 -684.367420482483</t>
  </si>
  <si>
    <t>-809.224291614676 86.1086712175897 -553.221993821579</t>
  </si>
  <si>
    <t>-821.12528294633 221.588786898382 -533.183529790692</t>
  </si>
  <si>
    <t>-770.523093635256 262.207931903395 -246.163067334407</t>
  </si>
  <si>
    <t>-529.658240554061 267.180273851426 -249.380245430347</t>
  </si>
  <si>
    <t>-802.791823718364 31.0697574857059 -552.517699537595</t>
  </si>
  <si>
    <t>-625.131149700734 4.43558088117265 -336.73140652202</t>
  </si>
  <si>
    <t>-804.170530582921 167.41063540402 -95.853041995283</t>
  </si>
  <si>
    <t>-793.58348661231 179.622375965799 307.375788921063</t>
  </si>
  <si>
    <t>-861.598064171029 206.713890074377 749.685743817899</t>
  </si>
  <si>
    <t>-716.849385447849 226.337104039569 810.923236569474</t>
  </si>
  <si>
    <t>-697.742519715581 -8.83062516962104 308.464554017765</t>
  </si>
  <si>
    <t>-688.919780286083 -19.6320463242259 756.063319039602</t>
  </si>
  <si>
    <t>-582.411283656266 -111.380351289405 829.039274007119</t>
  </si>
  <si>
    <t>9763-20170724T105124.343403700.bin</t>
  </si>
  <si>
    <t>-777.158531847356 75.0954223895417 -92.7334817363097</t>
  </si>
  <si>
    <t>-795.404455768926 67.3459404223365 -206.853004667103</t>
  </si>
  <si>
    <t>-802.759954286964 63.5720780034185 -305.129588132172</t>
  </si>
  <si>
    <t>-806.624026755048 61.0413301990204 -394.106705576385</t>
  </si>
  <si>
    <t>-807.329654984236 59.3708715790765 -483.185131885812</t>
  </si>
  <si>
    <t>-804.981102195604 57.8556077126173 -607.736227245421</t>
  </si>
  <si>
    <t>-773.123401993943 60.5187019539869 -684.437166435484</t>
  </si>
  <si>
    <t>-809.303071133147 86.0327295994391 -553.324173500316</t>
  </si>
  <si>
    <t>-821.532080273936 221.512675936231 -533.447863006665</t>
  </si>
  <si>
    <t>-771.139313279278 262.51540554296 -246.44520833144</t>
  </si>
  <si>
    <t>-530.302311755201 269.435455823657 -247.175534752447</t>
  </si>
  <si>
    <t>-802.726018423697 31.0122178209331 -552.530690202304</t>
  </si>
  <si>
    <t>-624.82658140906 5.62275072414536 -336.339486475401</t>
  </si>
  <si>
    <t>-804.279152598918 167.898216699246 -95.9417889729407</t>
  </si>
  <si>
    <t>-793.644491106499 179.925611793215 307.291283432103</t>
  </si>
  <si>
    <t>-861.56173252777 206.79026159362 749.628613466963</t>
  </si>
  <si>
    <t>-716.810857894108 226.355704822801 810.879696096631</t>
  </si>
  <si>
    <t>-697.51161100207 -8.45142463788488 308.414789275354</t>
  </si>
  <si>
    <t>-688.955498224521 -19.5800421901481 756.02587959734</t>
  </si>
  <si>
    <t>-582.607852707673 -111.500439859575 829.020067673385</t>
  </si>
  <si>
    <t>9763-20170724T105124.411581200.bin</t>
  </si>
  <si>
    <t>-776.988539469291 75.884278520205 -92.849460011436</t>
  </si>
  <si>
    <t>-795.237192511982 68.078614047118 -206.964583693215</t>
  </si>
  <si>
    <t>-802.622051944905 64.132194173236 -305.232385453265</t>
  </si>
  <si>
    <t>-806.525879915535 61.3956657432375 -394.20162400859</t>
  </si>
  <si>
    <t>-807.286596875064 59.4718123590385 -483.274383079027</t>
  </si>
  <si>
    <t>-805.032159539273 57.5537276202131 -607.821764014232</t>
  </si>
  <si>
    <t>-773.278271312705 60.0127981052576 -684.572497680368</t>
  </si>
  <si>
    <t>-809.423809591742 85.8932971213258 -553.499578120839</t>
  </si>
  <si>
    <t>-822.161909794481 221.376496480181 -534.015475924908</t>
  </si>
  <si>
    <t>-772.702721015913 263.259250449844 -246.977368997969</t>
  </si>
  <si>
    <t>-531.992481189362 273.285358040009 -243.985488959692</t>
  </si>
  <si>
    <t>-802.624666699224 30.9024073230466 -552.529596067751</t>
  </si>
  <si>
    <t>-624.594105015469 8.34723572688904 -336.150820070287</t>
  </si>
  <si>
    <t>-804.25406805276 168.681358354984 -96.0717467481363</t>
  </si>
  <si>
    <t>-793.628050841083 180.362212379466 307.171736987344</t>
  </si>
  <si>
    <t>-861.362110591742 206.656277323774 749.54830144658</t>
  </si>
  <si>
    <t>-716.658791994407 226.526727716232 810.813517342172</t>
  </si>
  <si>
    <t>-697.039376307539 -7.91834640870684 308.296082362332</t>
  </si>
  <si>
    <t>-688.983867093604 -19.3831603933659 755.955269644534</t>
  </si>
  <si>
    <t>-582.629469871836 -111.283177238329 828.965220623909</t>
  </si>
  <si>
    <t>9763-20170724T105124.439659000.bin</t>
  </si>
  <si>
    <t>-776.854865596798 76.2859144563804 -92.8939312019598</t>
  </si>
  <si>
    <t>-795.093261291027 68.4505120963249 -207.008626242906</t>
  </si>
  <si>
    <t>-802.485994569763 64.4239866889131 -305.272608963359</t>
  </si>
  <si>
    <t>-806.404732802549 61.5936956949874 -394.23818229796</t>
  </si>
  <si>
    <t>-807.188975506787 59.5555645493889 -483.308184816335</t>
  </si>
  <si>
    <t>-804.977086695672 57.4568560319794 -607.853457191515</t>
  </si>
  <si>
    <t>-773.279557703084 59.7732923609144 -684.631850605859</t>
  </si>
  <si>
    <t>-809.391085612871 85.8698333308669 -553.571624752881</t>
  </si>
  <si>
    <t>-822.33340802073 221.362854125808 -534.237629078909</t>
  </si>
  <si>
    <t>-773.351534939363 263.480827363395 -247.15205361286</t>
  </si>
  <si>
    <t>-532.738088165753 274.985450266883 -242.290158018387</t>
  </si>
  <si>
    <t>-802.509996806283 30.8907046477252 -552.522931831493</t>
  </si>
  <si>
    <t>-624.084272798921 9.32728100780014 -335.902135325127</t>
  </si>
  <si>
    <t>-804.110230019721 169.113733127211 -96.1259983647331</t>
  </si>
  <si>
    <t>-793.527360414108 180.598076467568 307.124279039144</t>
  </si>
  <si>
    <t>-861.308542083478 206.707946164441 749.490454029426</t>
  </si>
  <si>
    <t>-716.598863605082 226.463256532352 810.777935410905</t>
  </si>
  <si>
    <t>-696.814618188109 -7.77430183414936 308.276892716268</t>
  </si>
  <si>
    <t>-689.043644002753 -19.3908279004602 755.922716312101</t>
  </si>
  <si>
    <t>-582.482146773451 -111.050860792548 828.932124370873</t>
  </si>
  <si>
    <t>9763-20170724T105124.509847800.bin</t>
  </si>
  <si>
    <t>-776.353422287197 77.1723809494267 -92.9895411731297</t>
  </si>
  <si>
    <t>-794.557545100394 69.3266494482577 -207.109091433478</t>
  </si>
  <si>
    <t>-801.949474915734 65.180518193341 -305.36810530657</t>
  </si>
  <si>
    <t>-805.88156425224 62.1985561478107 -394.328043321547</t>
  </si>
  <si>
    <t>-806.694619549862 59.9667129117558 -483.393287566165</t>
  </si>
  <si>
    <t>-804.540184013846 57.5540666952329 -607.933897897001</t>
  </si>
  <si>
    <t>-772.968484870934 59.5700913648182 -684.772525495527</t>
  </si>
  <si>
    <t>-808.979326082271 86.0975786984845 -553.722428440027</t>
  </si>
  <si>
    <t>-822.140582201318 221.598202957402 -534.670904186853</t>
  </si>
  <si>
    <t>-774.351724811957 264.16173887539 -247.450054071786</t>
  </si>
  <si>
    <t>-533.935113613127 277.899167509164 -239.575638962178</t>
  </si>
  <si>
    <t>-801.99721726703 31.1338455606742 -552.536888552348</t>
  </si>
  <si>
    <t>-624.233369389294 11.6633185307076 -335.961162039619</t>
  </si>
  <si>
    <t>-803.524897318531 170.018095127735 -96.2458694862522</t>
  </si>
  <si>
    <t>-793.310678228901 181.219509773744 307.021874952437</t>
  </si>
  <si>
    <t>-861.238127451332 206.984609420963 749.33592802741</t>
  </si>
  <si>
    <t>-716.534064603288 226.512884500105 810.709382905129</t>
  </si>
  <si>
    <t>-696.411964133467 -7.38685794442654 308.212861570751</t>
  </si>
  <si>
    <t>-689.219854201887 -19.5191398021134 755.875657486781</t>
  </si>
  <si>
    <t>-582.405519356062 -110.880801217008 828.889671845264</t>
  </si>
  <si>
    <t>9763-20170724T105124.541478700.bin</t>
  </si>
  <si>
    <t>-776.112343569627 77.5940382541924 -93.0249974652895</t>
  </si>
  <si>
    <t>-794.276181167705 69.7592778917822 -207.151721372798</t>
  </si>
  <si>
    <t>-801.643559055596 65.5695636254461 -305.410773555951</t>
  </si>
  <si>
    <t>-805.558306161085 62.5269824466488 -394.369471161196</t>
  </si>
  <si>
    <t>-806.359717952244 60.2143735796051 -483.432661866893</t>
  </si>
  <si>
    <t>-804.195696868471 57.6676819414033 -607.970334796005</t>
  </si>
  <si>
    <t>-772.670186443504 59.5285193709265 -684.832028193269</t>
  </si>
  <si>
    <t>-808.647598222088 86.2685474190866 -553.790242731415</t>
  </si>
  <si>
    <t>-821.831075125315 221.787328579824 -534.86728640167</t>
  </si>
  <si>
    <t>-774.745137139502 264.344971151464 -247.529606076338</t>
  </si>
  <si>
    <t>-534.442554760921 279.14953536196 -238.237719236521</t>
  </si>
  <si>
    <t>-801.648346594912 31.3082016290166 -552.544782693887</t>
  </si>
  <si>
    <t>-624.153266816266 12.6690824435609 -335.83652057685</t>
  </si>
  <si>
    <t>-803.214727926862 170.446171518947 -96.2907388268394</t>
  </si>
  <si>
    <t>-793.248582533232 181.483312098521 306.987790406369</t>
  </si>
  <si>
    <t>-861.165511393336 206.998900505246 749.304649918582</t>
  </si>
  <si>
    <t>-716.479160393398 226.559164671495 810.709499870445</t>
  </si>
  <si>
    <t>-696.253721732908 -7.1564902488949 308.19321681459</t>
  </si>
  <si>
    <t>-689.298488793251 -19.5589670460397 755.854231035509</t>
  </si>
  <si>
    <t>-582.489281664218 -110.921276978974 828.874919820472</t>
  </si>
  <si>
    <t>9763-20170724T105124.611665700.bin</t>
  </si>
  <si>
    <t>-775.840229169897 78.4829225690714 -93.0416047961728</t>
  </si>
  <si>
    <t>-793.944446567454 70.697901046525 -207.181217437127</t>
  </si>
  <si>
    <t>-801.249557303201 66.4682210846308 -305.443180274373</t>
  </si>
  <si>
    <t>-805.105494965268 63.3579893484855 -394.402159146846</t>
  </si>
  <si>
    <t>-805.846620894299 60.9454940589992 -483.463185224677</t>
  </si>
  <si>
    <t>-803.597683125918 58.2260767577866 -607.99569894164</t>
  </si>
  <si>
    <t>-772.087307848619 59.7975733833935 -684.870082104214</t>
  </si>
  <si>
    <t>-808.068904141722 86.9042811024433 -553.858117044272</t>
  </si>
  <si>
    <t>-821.15637405884 222.457182730702 -535.143513109168</t>
  </si>
  <si>
    <t>-775.531680240817 264.91995333043 -247.55598995173</t>
  </si>
  <si>
    <t>-535.4302724527 281.407387129657 -236.140925590697</t>
  </si>
  <si>
    <t>-801.105726040805 31.9413387062095 -552.532159728411</t>
  </si>
  <si>
    <t>-624.983189785264 15.2061026048641 -335.793336408873</t>
  </si>
  <si>
    <t>-802.888927875477 171.373986815219 -96.3066902956352</t>
  </si>
  <si>
    <t>-793.112272758697 181.981415701142 306.98797295906</t>
  </si>
  <si>
    <t>-861.093393194118 207.075280436962 749.332628061687</t>
  </si>
  <si>
    <t>-716.381028336938 226.381122371709 810.756410868504</t>
  </si>
  <si>
    <t>-696.063819605557 -6.76335244664915 308.182970678936</t>
  </si>
  <si>
    <t>-689.410340408106 -19.4960522868025 755.850089737128</t>
  </si>
  <si>
    <t>-582.52296546124 -110.785745458055 828.847288602679</t>
  </si>
  <si>
    <t>9763-20170724T105124.641420600.bin</t>
  </si>
  <si>
    <t>-775.718626875215 78.8991009285742 -93.0306611234779</t>
  </si>
  <si>
    <t>-793.802597226973 71.1373179748698 -207.175030714189</t>
  </si>
  <si>
    <t>-801.067532615973 66.9027884827615 -305.439745163838</t>
  </si>
  <si>
    <t>-804.878862238545 63.7789518479312 -394.400194988535</t>
  </si>
  <si>
    <t>-805.567046083212 61.343714433707 -483.461049634707</t>
  </si>
  <si>
    <t>-803.236137628999 58.5832369629006 -607.99114890077</t>
  </si>
  <si>
    <t>-771.68593262357 60.0513542259496 -684.851082348119</t>
  </si>
  <si>
    <t>-807.728844922558 87.2810557455532 -553.865757529509</t>
  </si>
  <si>
    <t>-820.721722908083 222.863798402607 -535.223364443084</t>
  </si>
  <si>
    <t>-775.827984067822 265.220166069034 -247.50531456475</t>
  </si>
  <si>
    <t>-535.815652043697 282.291332796045 -235.113431033279</t>
  </si>
  <si>
    <t>-800.794841936455 32.3150377296588 -552.517568339637</t>
  </si>
  <si>
    <t>-625.055251882708 16.1695481551503 -335.674685147672</t>
  </si>
  <si>
    <t>-802.66557762667 171.831252282733 -96.2998773416527</t>
  </si>
  <si>
    <t>-793.00048862608 182.232879214301 307.002853121486</t>
  </si>
  <si>
    <t>-861.106728986524 207.214669983347 749.34495624948</t>
  </si>
  <si>
    <t>-716.357138979345 226.212994542271 810.776980574901</t>
  </si>
  <si>
    <t>-695.972873989278 -6.57409570470077 308.185069312793</t>
  </si>
  <si>
    <t>-689.438408849812 -19.4131688926223 755.838409754382</t>
  </si>
  <si>
    <t>-582.693761173966 -110.861792554935 828.845399703671</t>
  </si>
  <si>
    <t>9763-20170724T105124.711605600.bin</t>
  </si>
  <si>
    <t>-775.234053148409 79.6450590419604 -92.9840646192362</t>
  </si>
  <si>
    <t>-793.29391733706 71.9604992899554 -207.137515148077</t>
  </si>
  <si>
    <t>-800.487300339468 67.7201164487251 -305.407152726695</t>
  </si>
  <si>
    <t>-804.215311646586 64.5640294702444 -394.370093141345</t>
  </si>
  <si>
    <t>-804.802542172474 62.0695838406727 -483.429975414627</t>
  </si>
  <si>
    <t>-802.312776700099 59.1984269211393 -607.954615290409</t>
  </si>
  <si>
    <t>-770.693502187734 60.4945021262349 -684.789181307645</t>
  </si>
  <si>
    <t>-806.847044826091 87.9477972144084 -553.859941999954</t>
  </si>
  <si>
    <t>-819.765961207944 223.555128759424 -535.371871677975</t>
  </si>
  <si>
    <t>-776.31188431258 265.994218236201 -247.444989820751</t>
  </si>
  <si>
    <t>-536.438226374862 283.929203701804 -233.665364696955</t>
  </si>
  <si>
    <t>-799.969844794212 32.9760607438393 -552.455013395875</t>
  </si>
  <si>
    <t>-624.222035454826 16.7886155271412 -334.456659043143</t>
  </si>
  <si>
    <t>-801.914345920124 172.476666528298 -96.2222067808684</t>
  </si>
  <si>
    <t>-792.49676726848 182.542850483147 307.094856497055</t>
  </si>
  <si>
    <t>-861.051533508261 207.26115607109 749.379868186099</t>
  </si>
  <si>
    <t>-716.289696772145 226.183247818862 810.807029443735</t>
  </si>
  <si>
    <t>-695.545871282016 -6.18518563850125 308.182036329383</t>
  </si>
  <si>
    <t>-689.352752773981 -19.0003636741724 755.818985812161</t>
  </si>
  <si>
    <t>-583.348129256637 -111.260650364875 828.882843374658</t>
  </si>
  <si>
    <t>9763-20170724T105124.742702500.bin</t>
  </si>
  <si>
    <t>-774.92817557038 79.8744755064313 -92.9680974763986</t>
  </si>
  <si>
    <t>-792.968751343765 72.2182783899871 -207.126457638422</t>
  </si>
  <si>
    <t>-800.130242409374 67.9710716406944 -305.398264825324</t>
  </si>
  <si>
    <t>-803.823912697826 64.7966697247748 -394.361713729959</t>
  </si>
  <si>
    <t>-804.371740564534 62.2717682911475 -483.421129706039</t>
  </si>
  <si>
    <t>-801.821580088343 59.3452762277243 -607.943230188745</t>
  </si>
  <si>
    <t>-770.172523157314 60.5876173093834 -684.766528804706</t>
  </si>
  <si>
    <t>-806.364592740846 88.120886887446 -553.863309304855</t>
  </si>
  <si>
    <t>-819.247413071268 223.741463071745 -535.439135990345</t>
  </si>
  <si>
    <t>-776.492302242345 266.037662110343 -247.386597327634</t>
  </si>
  <si>
    <t>-536.702748684785 284.494728348241 -232.855467730561</t>
  </si>
  <si>
    <t>-799.522977117655 33.14538912131 -552.431020884926</t>
  </si>
  <si>
    <t>-623.501959469884 16.9557150562077 -333.542661004648</t>
  </si>
  <si>
    <t>-801.49898064943 172.686080333805 -96.1858128650266</t>
  </si>
  <si>
    <t>-792.220514978966 182.642324673029 307.137206878932</t>
  </si>
  <si>
    <t>-861.007419615348 207.237416067913 749.387260419906</t>
  </si>
  <si>
    <t>-716.221985299437 225.991577931937 810.810262698724</t>
  </si>
  <si>
    <t>-695.360289587373 -6.13819246907633 308.185584013909</t>
  </si>
  <si>
    <t>-689.408592890676 -18.9962544256384 755.817980703878</t>
  </si>
  <si>
    <t>-583.374253182824 -111.217370534526 828.888344804612</t>
  </si>
  <si>
    <t>9763-20170724T105124.809880700.bin</t>
  </si>
  <si>
    <t>-774.325079815733 80.210035061627 -92.9427479085722</t>
  </si>
  <si>
    <t>-792.296836161198 72.617561324332 -207.116309086964</t>
  </si>
  <si>
    <t>-799.382056805959 68.3737053593186 -305.393673318175</t>
  </si>
  <si>
    <t>-803.0012303831 65.183029743956 -394.359816770338</t>
  </si>
  <si>
    <t>-803.469475549611 62.6219231351504 -483.418563910732</t>
  </si>
  <si>
    <t>-800.803717635124 59.6246539560052 -607.936500227557</t>
  </si>
  <si>
    <t>-769.12085724997 60.7979276635519 -684.74695363596</t>
  </si>
  <si>
    <t>-805.375413881889 88.4337591710064 -553.876676816152</t>
  </si>
  <si>
    <t>-818.264907287572 224.064573535128 -535.52741731484</t>
  </si>
  <si>
    <t>-776.917552347034 266.18049403133 -247.243024862966</t>
  </si>
  <si>
    <t>-537.277694723272 285.64159497856 -231.594768262229</t>
  </si>
  <si>
    <t>-798.578006427756 33.4536608353214 -552.407787531671</t>
  </si>
  <si>
    <t>-622.959430320772 17.445989576586 -332.655762135206</t>
  </si>
  <si>
    <t>-800.684880252923 173.031820187287 -96.1399220889765</t>
  </si>
  <si>
    <t>-791.708560876506 182.769491010824 307.195264732138</t>
  </si>
  <si>
    <t>-860.963636116238 207.275843074292 749.386984052407</t>
  </si>
  <si>
    <t>-716.166037038543 226.016304491376 810.785060492791</t>
  </si>
  <si>
    <t>-695.048901058696 -6.18324463833073 308.211174595015</t>
  </si>
  <si>
    <t>-689.545220602372 -19.0621506712978 755.823462401607</t>
  </si>
  <si>
    <t>-583.392066427278 -111.140478356552 828.901188696099</t>
  </si>
  <si>
    <t>9763-20170724T105124.840479800.bin</t>
  </si>
  <si>
    <t>-774.024749369406 80.4090384073818 -92.919491063596</t>
  </si>
  <si>
    <t>-791.955161840588 72.8530347651699 -207.101862816387</t>
  </si>
  <si>
    <t>-798.99511711301 68.622196923013 -305.38308143159</t>
  </si>
  <si>
    <t>-802.569795114766 65.4363250953725 -394.351141302859</t>
  </si>
  <si>
    <t>-802.990125843562 62.8732230474502 -483.41004780553</t>
  </si>
  <si>
    <t>-800.254012078992 59.8658645131527 -607.926286429694</t>
  </si>
  <si>
    <t>-768.586452608992 61.0138563966575 -684.743407595243</t>
  </si>
  <si>
    <t>-804.853389131866 88.6795779756685 -553.87135079425</t>
  </si>
  <si>
    <t>-817.799928233899 224.29890228556 -535.519084390333</t>
  </si>
  <si>
    <t>-777.404107255515 266.200371772687 -247.068650630236</t>
  </si>
  <si>
    <t>-537.838887847176 286.235247751449 -231.007580115952</t>
  </si>
  <si>
    <t>-798.062527201482 33.6988930070554 -552.394276696604</t>
  </si>
  <si>
    <t>-622.63996554644 17.6310428032486 -332.513828889092</t>
  </si>
  <si>
    <t>-800.310532264445 173.239399249933 -96.1058377533981</t>
  </si>
  <si>
    <t>-791.382367692021 182.831196159937 307.233859733129</t>
  </si>
  <si>
    <t>-860.946614302401 207.284963979611 749.38368480181</t>
  </si>
  <si>
    <t>-716.130996093505 225.942142791775 810.764963546708</t>
  </si>
  <si>
    <t>-694.853570311755 -6.16195511539763 308.217147276491</t>
  </si>
  <si>
    <t>-689.637539276783 -19.1443758534297 755.834331149084</t>
  </si>
  <si>
    <t>-583.555794064045 -111.298763982447 828.920050069766</t>
  </si>
  <si>
    <t>9763-20170724T105124.905653000.bin</t>
  </si>
  <si>
    <t>-773.448997354466 80.5983195867543 -92.8863772590604</t>
  </si>
  <si>
    <t>-791.286605322495 73.1188451809123 -207.088460727323</t>
  </si>
  <si>
    <t>-798.214915271039 68.935305131288 -305.379500215646</t>
  </si>
  <si>
    <t>-801.676740929432 65.7855534048988 -394.353362648253</t>
  </si>
  <si>
    <t>-801.972455628174 63.252111945601 -483.413682189646</t>
  </si>
  <si>
    <t>-799.050258899414 60.2797869212525 -607.926526317263</t>
  </si>
  <si>
    <t>-767.396762492535 61.3855652315697 -684.750067333379</t>
  </si>
  <si>
    <t>-803.734564423907 89.0776380621539 -553.87055727819</t>
  </si>
  <si>
    <t>-816.735603208746 224.691084477012 -535.507323803234</t>
  </si>
  <si>
    <t>-778.505942502438 266.040920215789 -246.682439429112</t>
  </si>
  <si>
    <t>-539.074944264215 286.906955629619 -229.701550377327</t>
  </si>
  <si>
    <t>-796.937778737879 34.097687990296 -552.398595358064</t>
  </si>
  <si>
    <t>-621.92972781964 18.4028112200865 -332.199007405991</t>
  </si>
  <si>
    <t>-799.574401195237 173.418240044734 -96.049788179554</t>
  </si>
  <si>
    <t>-790.893298179461 182.764792259882 307.301108142057</t>
  </si>
  <si>
    <t>-860.805527514364 207.043507329569 749.371140714857</t>
  </si>
  <si>
    <t>-716.011662997038 226.001804710797 810.711337259601</t>
  </si>
  <si>
    <t>-694.562465883284 -6.23788756712634 308.228622392422</t>
  </si>
  <si>
    <t>-689.750266889414 -19.1791512413556 755.835995819455</t>
  </si>
  <si>
    <t>-583.36399544059 -110.984238268537 828.918748994838</t>
  </si>
  <si>
    <t>9763-20170724T105124.946827400.bin</t>
  </si>
  <si>
    <t>-773.185349926425 80.8380569381573 -92.8988764673211</t>
  </si>
  <si>
    <t>-790.974750020613 73.4014431403207 -207.111143810939</t>
  </si>
  <si>
    <t>-797.842245951774 69.2480829452213 -305.407977396476</t>
  </si>
  <si>
    <t>-801.241337512317 66.1236047288869 -394.385015439636</t>
  </si>
  <si>
    <t>-801.466812559001 63.6136436716486 -483.446163276194</t>
  </si>
  <si>
    <t>-798.438882891993 60.672597136321 -607.957234312667</t>
  </si>
  <si>
    <t>-766.758638114812 61.7735381857581 -684.769862503692</t>
  </si>
  <si>
    <t>-803.183315627782 89.4552163863964 -553.898303711046</t>
  </si>
  <si>
    <t>-816.259456865694 225.057299525946 -535.544142321116</t>
  </si>
  <si>
    <t>-779.041676559847 266.156215474329 -246.551195150436</t>
  </si>
  <si>
    <t>-539.694478048243 287.382577672026 -228.852617477051</t>
  </si>
  <si>
    <t>-796.359332119362 34.4783382545997 -552.433842744529</t>
  </si>
  <si>
    <t>-621.307213628488 18.7904947513985 -332.294124551934</t>
  </si>
  <si>
    <t>-799.288735866631 173.692967711305 -96.0529757249311</t>
  </si>
  <si>
    <t>-790.82181262749 182.937149204377 307.304849135374</t>
  </si>
  <si>
    <t>-860.830241405628 207.174748574648 749.349602676506</t>
  </si>
  <si>
    <t>-715.985342090289 225.719023686727 810.695937238747</t>
  </si>
  <si>
    <t>-694.409890335373 -6.21322316266537 308.219206748903</t>
  </si>
  <si>
    <t>-689.817721118395 -19.2133887888751 755.835210127562</t>
  </si>
  <si>
    <t>-583.423026433477 -111.008257460045 828.91863369684</t>
  </si>
  <si>
    <t>9763-20170724T105125.008992800.bin</t>
  </si>
  <si>
    <t>-772.525393479718 81.2718115775212 -92.9147485311646</t>
  </si>
  <si>
    <t>-790.20215990886 73.9058636134537 -207.149110049124</t>
  </si>
  <si>
    <t>-796.996999584036 69.8153167390506 -305.453559089767</t>
  </si>
  <si>
    <t>-800.340531923027 66.7498182052145 -394.434833602193</t>
  </si>
  <si>
    <t>-800.520558216999 64.3024953452864 -483.497876855886</t>
  </si>
  <si>
    <t>-797.439627630233 61.4534282734687 -608.009746406285</t>
  </si>
  <si>
    <t>-765.777227315464 62.5719214482249 -684.829388242037</t>
  </si>
  <si>
    <t>-802.253540846517 90.1902706612223 -553.932608731106</t>
  </si>
  <si>
    <t>-815.599693289412 225.765390260616 -535.511295639447</t>
  </si>
  <si>
    <t>-779.931061453564 266.234045059726 -246.234281199646</t>
  </si>
  <si>
    <t>-540.755973150211 288.24158304495 -227.212708820512</t>
  </si>
  <si>
    <t>-795.337201911692 35.223983717548 -552.503767091256</t>
  </si>
  <si>
    <t>-620.136947684693 19.598286130903 -332.37013134174</t>
  </si>
  <si>
    <t>-798.499076920932 173.936129057859 -96.0501555766813</t>
  </si>
  <si>
    <t>-790.451815327536 183.097577824738 307.318121751367</t>
  </si>
  <si>
    <t>-860.658532649388 206.976542719083 749.317132467133</t>
  </si>
  <si>
    <t>-715.881600853927 226.048366650847 810.662310210917</t>
  </si>
  <si>
    <t>-693.945919596804 -6.20494312829669 308.202792326983</t>
  </si>
  <si>
    <t>-689.877330136728 -19.1442150582391 755.821232772237</t>
  </si>
  <si>
    <t>-583.630338671803 -111.103074734707 828.913104935324</t>
  </si>
  <si>
    <t>9763-20170724T105125.044166300.bin</t>
  </si>
  <si>
    <t>-772.210809443249 81.4676183761574 -92.9151261274001</t>
  </si>
  <si>
    <t>-789.842976434729 74.1253071428766 -207.157854324157</t>
  </si>
  <si>
    <t>-796.610068704946 70.0599930197193 -305.465355088971</t>
  </si>
  <si>
    <t>-799.93257255943 67.0195839126841 -394.448221239375</t>
  </si>
  <si>
    <t>-800.095682882968 64.600118159392 -483.512046907825</t>
  </si>
  <si>
    <t>-796.995582104179 61.7937859052179 -608.024407751874</t>
  </si>
  <si>
    <t>-765.367528638445 62.9363315565811 -684.857853974341</t>
  </si>
  <si>
    <t>-801.840237501403 90.5091674733212 -553.938585455486</t>
  </si>
  <si>
    <t>-815.2917881225 226.063199840816 -535.464935327663</t>
  </si>
  <si>
    <t>-780.423608768028 266.147414184916 -246.036693213504</t>
  </si>
  <si>
    <t>-541.315761366494 288.526291745826 -226.608253265958</t>
  </si>
  <si>
    <t>-794.879230594425 35.5481094445872 -552.526582738397</t>
  </si>
  <si>
    <t>-619.424985285135 19.6913629708149 -332.435279624753</t>
  </si>
  <si>
    <t>-798.214486530899 174.102801935796 -96.0326459842696</t>
  </si>
  <si>
    <t>-790.196100891097 183.184497489372 307.3380374779</t>
  </si>
  <si>
    <t>-860.597874592795 206.901160978077 749.31474553388</t>
  </si>
  <si>
    <t>-715.825643329346 226.045418561789 810.6481820426</t>
  </si>
  <si>
    <t>-693.720691610128 -6.14168116003452 308.193194666703</t>
  </si>
  <si>
    <t>-689.883052500076 -19.0768640246035 755.812793667102</t>
  </si>
  <si>
    <t>-583.802181923702 -111.217889128962 828.916813283036</t>
  </si>
  <si>
    <t>9763-20170724T105125.110353600.bin</t>
  </si>
  <si>
    <t>-771.677743433371 81.7163939215943 -92.9268136420978</t>
  </si>
  <si>
    <t>-789.253263773689 74.4121375014163 -207.180819624648</t>
  </si>
  <si>
    <t>-795.982112441624 70.389992390639 -305.492543283984</t>
  </si>
  <si>
    <t>-799.273892514479 67.3931807561048 -394.478158215798</t>
  </si>
  <si>
    <t>-799.410563050636 65.0230581509902 -483.54337924415</t>
  </si>
  <si>
    <t>-796.277792045716 62.2922157418393 -608.056525279738</t>
  </si>
  <si>
    <t>-764.724877047087 63.5228557748776 -684.919553121208</t>
  </si>
  <si>
    <t>-801.173864783327 90.9702304309401 -553.955531647806</t>
  </si>
  <si>
    <t>-814.811132832562 226.496188865216 -535.37097494196</t>
  </si>
  <si>
    <t>-781.629122789866 265.601589504589 -245.610791505748</t>
  </si>
  <si>
    <t>-542.6887420864 289.01208101522 -225.354601854466</t>
  </si>
  <si>
    <t>-794.13879583515 36.0178399063038 -552.57320828994</t>
  </si>
  <si>
    <t>-618.497735441279 20.1942810956675 -332.480446099201</t>
  </si>
  <si>
    <t>-797.764455946287 174.486046478792 -95.9930931806215</t>
  </si>
  <si>
    <t>-789.777833608426 183.347101083881 307.383109053225</t>
  </si>
  <si>
    <t>-860.67631136604 207.122824477796 749.318558251812</t>
  </si>
  <si>
    <t>-715.844770575465 225.95808941908 810.607745435458</t>
  </si>
  <si>
    <t>-693.368230784085 -6.13227524366789 308.171913239484</t>
  </si>
  <si>
    <t>-689.961505991422 -19.0780910958626 755.789853484496</t>
  </si>
  <si>
    <t>-583.600046027413 -110.895831810836 828.892779800254</t>
  </si>
  <si>
    <t>9763-20170724T105125.145761400.bin</t>
  </si>
  <si>
    <t>-771.354556869258 81.8111061032666 -92.9212973639544</t>
  </si>
  <si>
    <t>-788.904123198871 74.5259460881314 -207.180402954724</t>
  </si>
  <si>
    <t>-795.615792862631 70.5286469418218 -305.494310885151</t>
  </si>
  <si>
    <t>-798.894239875116 67.5584407397928 -394.481285566786</t>
  </si>
  <si>
    <t>-799.019306101345 65.2195278029351 -483.547429613052</t>
  </si>
  <si>
    <t>-795.87266317759 62.537347035895 -608.061270856669</t>
  </si>
  <si>
    <t>-764.364436162543 63.8304138558187 -684.941610889379</t>
  </si>
  <si>
    <t>-800.795879337106 91.1913727323322 -553.950068279743</t>
  </si>
  <si>
    <t>-814.517094301774 226.695769632543 -535.301327859908</t>
  </si>
  <si>
    <t>-782.271405391965 265.4909008086 -245.393821984247</t>
  </si>
  <si>
    <t>-543.396785123693 289.204348557907 -224.717417716317</t>
  </si>
  <si>
    <t>-793.718725438871 36.2438971462475 -552.587540451559</t>
  </si>
  <si>
    <t>-618.067723051286 20.6644698083803 -332.38366935294</t>
  </si>
  <si>
    <t>-797.409084769501 174.528939516895 -95.9650162503405</t>
  </si>
  <si>
    <t>-789.473919515922 183.285780722559 307.414550651384</t>
  </si>
  <si>
    <t>-860.590571529308 206.932312889462 749.313859677318</t>
  </si>
  <si>
    <t>-715.773210421934 225.987599141079 810.568267289915</t>
  </si>
  <si>
    <t>-693.137124552689 -6.16232450215466 308.173429517467</t>
  </si>
  <si>
    <t>-689.97015254468 -19.0050154660748 755.786905505225</t>
  </si>
  <si>
    <t>-583.586781007657 -110.796067769117 828.891541727304</t>
  </si>
  <si>
    <t>9763-20170724T105125.206931600.bin</t>
  </si>
  <si>
    <t>-770.767385061194 82.1654551492359 -92.9308549689196</t>
  </si>
  <si>
    <t>-788.270118668968 74.9191336183771 -207.199692742012</t>
  </si>
  <si>
    <t>-794.940276067917 70.9818292902892 -305.518837261818</t>
  </si>
  <si>
    <t>-798.180365168259 68.0775045911951 -394.509371482667</t>
  </si>
  <si>
    <t>-798.266368031626 65.8169663462149 -483.577449806111</t>
  </si>
  <si>
    <t>-795.063879700618 63.258620839486 -608.092600083917</t>
  </si>
  <si>
    <t>-763.609447191224 64.6872571607446 -684.992452765418</t>
  </si>
  <si>
    <t>-800.057154252428 91.8528851275273 -553.956231063551</t>
  </si>
  <si>
    <t>-813.990359177717 227.315215620619 -535.168078052657</t>
  </si>
  <si>
    <t>-783.358124995993 265.366217922734 -244.987117313696</t>
  </si>
  <si>
    <t>-544.647867807875 289.754934691212 -223.227566682998</t>
  </si>
  <si>
    <t>-792.889311673315 36.9160331478881 -552.642949403017</t>
  </si>
  <si>
    <t>-617.936368591054 22.3001066406016 -332.223657447689</t>
  </si>
  <si>
    <t>-796.854700430875 174.792636880737 -95.9414029694514</t>
  </si>
  <si>
    <t>-789.005351644019 183.398926938425 307.442944050167</t>
  </si>
  <si>
    <t>-860.617463230106 207.009447723154 749.280752118432</t>
  </si>
  <si>
    <t>-715.761316905451 225.96147580422 810.475469476607</t>
  </si>
  <si>
    <t>-692.708853440329 -6.1488052867935 308.16784803117</t>
  </si>
  <si>
    <t>-689.943347695944 -18.7846972066684 755.769571209207</t>
  </si>
  <si>
    <t>-584.006852652397 -111.060599530273 828.912534695092</t>
  </si>
  <si>
    <t>9763-20170724T105125.243022000.bin</t>
  </si>
  <si>
    <t>-770.581536000188 82.3108105908013 -92.9463955951438</t>
  </si>
  <si>
    <t>-788.069241775185 75.0805622487439 -207.218472302001</t>
  </si>
  <si>
    <t>-794.731136285328 71.1806593596468 -305.539796048557</t>
  </si>
  <si>
    <t>-797.965179865627 68.3195005241416 -394.531839651164</t>
  </si>
  <si>
    <t>-798.046422564599 66.1124450940529 -483.601389940082</t>
  </si>
  <si>
    <t>-794.838776820351 63.6393319764104 -608.117945873274</t>
  </si>
  <si>
    <t>-763.418005659457 65.1371507331937 -685.030407174442</t>
  </si>
  <si>
    <t>-799.853259535967 92.1939131729062 -553.962639491839</t>
  </si>
  <si>
    <t>-813.91240888066 227.63052140785 -535.093949777347</t>
  </si>
  <si>
    <t>-783.940986828208 265.390560994652 -244.805943633222</t>
  </si>
  <si>
    <t>-545.288429184865 289.928740518857 -222.586791678024</t>
  </si>
  <si>
    <t>-792.647262737661 37.2612874674517 -552.685982380781</t>
  </si>
  <si>
    <t>-617.699202511164 22.8891155976639 -332.108136736158</t>
  </si>
  <si>
    <t>-796.705397399456 174.940416357151 -95.9444850962035</t>
  </si>
  <si>
    <t>-788.863282774457 183.490646662702 307.441238882901</t>
  </si>
  <si>
    <t>-860.615084266151 207.024184379336 749.25885880752</t>
  </si>
  <si>
    <t>-715.731487600965 225.837579912823 810.431234806395</t>
  </si>
  <si>
    <t>-692.550513478588 -6.15566668883685 308.162177289373</t>
  </si>
  <si>
    <t>-689.960109113511 -18.7376281689924 755.764250406747</t>
  </si>
  <si>
    <t>-583.974288634479 -110.955985428239 828.908287424034</t>
  </si>
  <si>
    <t>9763-20170724T105125.307198400.bin</t>
  </si>
  <si>
    <t>-770.285666674396 82.2365307484652 -92.9596857333287</t>
  </si>
  <si>
    <t>-787.740550326869 75.0182860880857 -207.237600884607</t>
  </si>
  <si>
    <t>-794.370455716965 71.1982381128571 -305.564068924693</t>
  </si>
  <si>
    <t>-797.572923450327 68.4368758384362 -394.560629569224</t>
  </si>
  <si>
    <t>-797.619521435505 66.3581930576763 -483.633180297233</t>
  </si>
  <si>
    <t>-794.359062950967 64.0944804359672 -608.152417226127</t>
  </si>
  <si>
    <t>-762.987586529769 65.7568278233996 -685.081589930545</t>
  </si>
  <si>
    <t>-799.450174200039 92.5509814123548 -553.952574384797</t>
  </si>
  <si>
    <t>-813.805087773353 227.93633757447 -534.928735896866</t>
  </si>
  <si>
    <t>-785.105197792766 264.986725212761 -244.420872679752</t>
  </si>
  <si>
    <t>-546.572354838304 289.851120695104 -221.29647342532</t>
  </si>
  <si>
    <t>-792.137517189335 37.6302519509366 -552.762773485353</t>
  </si>
  <si>
    <t>-617.626753466727 23.7376783828281 -332.265294125645</t>
  </si>
  <si>
    <t>-796.459320799266 174.823142183924 -95.9317102558283</t>
  </si>
  <si>
    <t>-788.3722323298 183.330487149619 307.450104999709</t>
  </si>
  <si>
    <t>-860.495560706854 206.823401272913 749.192468278808</t>
  </si>
  <si>
    <t>-715.643736143772 226.023135092621 810.320044391376</t>
  </si>
  <si>
    <t>-692.363126866353 -6.24215222812768 308.138986031477</t>
  </si>
  <si>
    <t>-690.13525830624 -18.9182874682551 755.758294025825</t>
  </si>
  <si>
    <t>-584.104951908466 -111.082838850464 828.905919585239</t>
  </si>
  <si>
    <t>9763-20170724T105125.343277100.bin</t>
  </si>
  <si>
    <t>-770.190905991946 82.288838248609 -92.960730594422</t>
  </si>
  <si>
    <t>-787.640509697684 75.0721229098431 -207.2396006612</t>
  </si>
  <si>
    <t>-794.265144669482 71.2840220675118 -305.567765849731</t>
  </si>
  <si>
    <t>-797.462146337563 68.5636801332571 -394.565641070315</t>
  </si>
  <si>
    <t>-797.501907836157 66.5382799106869 -483.639364883458</t>
  </si>
  <si>
    <t>-794.230868117757 64.3624455262757 -608.160017218154</t>
  </si>
  <si>
    <t>-762.892919798224 66.113135930173 -685.100804776367</t>
  </si>
  <si>
    <t>-799.355206972714 92.7769148310056 -553.941126236101</t>
  </si>
  <si>
    <t>-813.886697088418 228.130506934606 -534.830924541888</t>
  </si>
  <si>
    <t>-785.849121785861 264.771544463855 -244.206475536732</t>
  </si>
  <si>
    <t>-547.345526994302 289.677084362027 -220.825844814642</t>
  </si>
  <si>
    <t>-791.98535127441 37.8630360775505 -552.788068509504</t>
  </si>
  <si>
    <t>-617.753870066316 24.6264713279459 -332.02499187043</t>
  </si>
  <si>
    <t>-796.43093619992 174.848770337539 -95.9314950065054</t>
  </si>
  <si>
    <t>-788.147786169421 183.258795795083 307.448349869658</t>
  </si>
  <si>
    <t>-860.472253348436 206.814518824908 749.151619646521</t>
  </si>
  <si>
    <t>-715.602370681678 225.909687757511 810.269552213474</t>
  </si>
  <si>
    <t>-692.211199700391 -6.14299154605601 308.122764997994</t>
  </si>
  <si>
    <t>-690.081277069303 -18.7188024441766 755.743160872227</t>
  </si>
  <si>
    <t>-584.379107762429 -111.239988191776 828.915387654031</t>
  </si>
  <si>
    <t>9763-20170724T105125.414466600.bin</t>
  </si>
  <si>
    <t>-770.081324930277 82.1815288015139 -92.9635283230928</t>
  </si>
  <si>
    <t>-787.517533276724 74.9371950932275 -207.24268095623</t>
  </si>
  <si>
    <t>-794.117808311944 71.1979736309308 -305.574356768777</t>
  </si>
  <si>
    <t>-797.286200127572 68.55015005018 -394.575368565049</t>
  </si>
  <si>
    <t>-797.290589490426 66.6261886986003 -483.651460722248</t>
  </si>
  <si>
    <t>-793.961538424656 64.6222049860785 -608.17344812501</t>
  </si>
  <si>
    <t>-762.703748350313 66.6019722566484 -685.141218896655</t>
  </si>
  <si>
    <t>-799.161521556686 92.9548131978966 -553.919003701231</t>
  </si>
  <si>
    <t>-814.036396103058 228.260593598558 -534.675409854025</t>
  </si>
  <si>
    <t>-787.828646525056 263.724005478718 -243.734315696041</t>
  </si>
  <si>
    <t>-549.435116706346 288.987223550708 -219.627560870413</t>
  </si>
  <si>
    <t>-791.691547500762 38.0531023970407 -552.835841411852</t>
  </si>
  <si>
    <t>-617.32127844481 25.1556109975129 -331.390070192795</t>
  </si>
  <si>
    <t>-796.345504834121 174.653816539782 -95.946948481272</t>
  </si>
  <si>
    <t>-787.865774550659 183.021666877861 307.429744966664</t>
  </si>
  <si>
    <t>-860.429226264975 206.810016855495 749.061690554248</t>
  </si>
  <si>
    <t>-715.548358304493 225.884260570406 810.159832660549</t>
  </si>
  <si>
    <t>-692.160717677144 -6.28859429671752 308.135857272567</t>
  </si>
  <si>
    <t>-690.274227020404 -18.9525834429799 755.744247284196</t>
  </si>
  <si>
    <t>-584.108478935928 -110.958966907951 828.894489068711</t>
  </si>
  <si>
    <t>9763-20170724T105125.445113700.bin</t>
  </si>
  <si>
    <t>-770.029228066787 82.1908626605778 -92.9912346201503</t>
  </si>
  <si>
    <t>-787.435249858425 74.9442284968186 -207.274929140775</t>
  </si>
  <si>
    <t>-794.020750382077 71.2265501709223 -305.608258032681</t>
  </si>
  <si>
    <t>-797.179510474298 68.6075469697698 -394.610554316629</t>
  </si>
  <si>
    <t>-797.178065959238 66.7220066890825 -483.687421723632</t>
  </si>
  <si>
    <t>-793.844717281971 64.7824922701127 -608.210277865197</t>
  </si>
  <si>
    <t>-762.652648517363 66.878412604957 -685.201802144129</t>
  </si>
  <si>
    <t>-799.069882915921 93.0838945471055 -553.942095761897</t>
  </si>
  <si>
    <t>-814.085017335248 228.360020654651 -534.634474366253</t>
  </si>
  <si>
    <t>-788.825250413047 263.2119654663 -243.535731583788</t>
  </si>
  <si>
    <t>-550.478685042892 288.476059450676 -218.968811197317</t>
  </si>
  <si>
    <t>-791.553279173693 38.1881641260968 -552.885755961227</t>
  </si>
  <si>
    <t>-617.351135161519 25.3914515448375 -331.068560618872</t>
  </si>
  <si>
    <t>-796.336720625264 174.633133085455 -95.9747910705269</t>
  </si>
  <si>
    <t>-787.840523932014 182.958596540651 307.402422848145</t>
  </si>
  <si>
    <t>-860.377942455651 206.751239246116 749.01365226466</t>
  </si>
  <si>
    <t>-715.512321622312 225.958926885732 810.106503678389</t>
  </si>
  <si>
    <t>-692.136210181736 -6.30255833157776 308.132714917899</t>
  </si>
  <si>
    <t>-690.279906868053 -18.8861058266968 755.739844721103</t>
  </si>
  <si>
    <t>-584.022675054872 -110.792019082653 828.883497870145</t>
  </si>
  <si>
    <t>9763-20170724T105125.510287600.bin</t>
  </si>
  <si>
    <t>-770.017028119339 82.382910054449 -93.0714295393934</t>
  </si>
  <si>
    <t>-787.389832376844 75.1015632272022 -207.357942064068</t>
  </si>
  <si>
    <t>-794.008000341727 71.4124791755044 -305.690216618114</t>
  </si>
  <si>
    <t>-797.219910317385 68.8417875694697 -394.691957287152</t>
  </si>
  <si>
    <t>-797.294089635636 67.0281166368293 -483.770258141304</t>
  </si>
  <si>
    <t>-794.089677910765 65.2134602677791 -608.29849911147</t>
  </si>
  <si>
    <t>-763.11501099989 67.5148761995647 -685.37187061239</t>
  </si>
  <si>
    <t>-799.287764702679 93.4564901653073 -553.997093660867</t>
  </si>
  <si>
    <t>-814.478839616764 228.677899202417 -534.477823987071</t>
  </si>
  <si>
    <t>-790.461494612794 262.38274848883 -243.138932588759</t>
  </si>
  <si>
    <t>-552.266907904758 287.976302457751 -217.464484344894</t>
  </si>
  <si>
    <t>-791.711695174146 38.567669725782 -553.002380473357</t>
  </si>
  <si>
    <t>-617.877506527513 25.7544295541006 -330.802204196276</t>
  </si>
  <si>
    <t>-796.433253062881 174.706281939241 -96.0759580674107</t>
  </si>
  <si>
    <t>-788.075976885457 183.044669907028 307.30383966412</t>
  </si>
  <si>
    <t>-860.321622968548 206.799044732651 748.92404356948</t>
  </si>
  <si>
    <t>-715.464927262786 225.990311297013 810.042819042495</t>
  </si>
  <si>
    <t>-692.122558151832 -6.15127790218071 308.092195898239</t>
  </si>
  <si>
    <t>-690.336082508845 -18.8633419370699 755.715632058736</t>
  </si>
  <si>
    <t>-584.204316645353 -110.902410650605 828.874088515376</t>
  </si>
  <si>
    <t>9763-20170724T105125.543393000.bin</t>
  </si>
  <si>
    <t>-770.128546157582 82.3785727008562 -93.1313276843865</t>
  </si>
  <si>
    <t>-787.483245536767 75.0801445884124 -207.419399839285</t>
  </si>
  <si>
    <t>-794.144237587684 71.4172639057522 -305.749718065212</t>
  </si>
  <si>
    <t>-797.417349584235 68.8867468248936 -394.750423113859</t>
  </si>
  <si>
    <t>-797.574990060255 67.130521088942 -483.829897977727</t>
  </si>
  <si>
    <t>-794.509932030764 65.414049949741 -608.362875190746</t>
  </si>
  <si>
    <t>-763.672681449964 67.8152049325217 -685.488250490423</t>
  </si>
  <si>
    <t>-799.660349627803 93.6123122573763 -554.033940877796</t>
  </si>
  <si>
    <t>-814.901737129039 228.809490722723 -534.385497592748</t>
  </si>
  <si>
    <t>-791.123722364429 261.894854871984 -242.955920765878</t>
  </si>
  <si>
    <t>-553.014957704869 287.789523078229 -216.79282357348</t>
  </si>
  <si>
    <t>-792.057166582137 38.7263397771771 -553.090216722781</t>
  </si>
  <si>
    <t>-618.220979822818 25.9921917939671 -330.595263044483</t>
  </si>
  <si>
    <t>-796.586483316314 174.713417552888 -96.1519673986179</t>
  </si>
  <si>
    <t>-788.258823816349 183.037870440166 307.228777765065</t>
  </si>
  <si>
    <t>-860.251582324585 206.799990182143 748.862674140274</t>
  </si>
  <si>
    <t>-715.422491518049 226.038155882258 810.032123374771</t>
  </si>
  <si>
    <t>-692.245482644728 -6.1594547095649 308.055943382213</t>
  </si>
  <si>
    <t>-690.420095076789 -18.9656632689264 755.704784916232</t>
  </si>
  <si>
    <t>-584.045872994417 -110.736043307311 828.848735065135</t>
  </si>
  <si>
    <t>9763-20170724T105125.611573700.bin</t>
  </si>
  <si>
    <t>-770.358152783281 82.3941236089722 -93.211532544843</t>
  </si>
  <si>
    <t>-787.711688108511 75.0741310387957 -207.498508032881</t>
  </si>
  <si>
    <t>-794.447381597634 71.4506436524348 -305.825222784082</t>
  </si>
  <si>
    <t>-797.816897342095 68.9796947039561 -394.824013436301</t>
  </si>
  <si>
    <t>-798.099725598461 67.3076876221069 -483.904713145517</t>
  </si>
  <si>
    <t>-795.239162365144 65.7365133473152 -608.444477218902</t>
  </si>
  <si>
    <t>-764.681677458374 68.2772999179297 -685.676747461769</t>
  </si>
  <si>
    <t>-800.340763935358 93.8657064330409 -554.075120563241</t>
  </si>
  <si>
    <t>-815.782361047367 229.025388928824 -534.278990852789</t>
  </si>
  <si>
    <t>-792.437486061154 261.43667893 -242.738650019731</t>
  </si>
  <si>
    <t>-554.436059833445 287.683782927883 -215.957037618811</t>
  </si>
  <si>
    <t>-792.655111067246 38.9901034252109 -553.206129409148</t>
  </si>
  <si>
    <t>-619.051578518448 26.9478546514786 -330.267133627283</t>
  </si>
  <si>
    <t>-796.914606396719 174.702226750661 -96.2564841451742</t>
  </si>
  <si>
    <t>-788.623607537226 183.134153346758 307.122796180642</t>
  </si>
  <si>
    <t>-860.17741855639 206.815893022463 748.855127930087</t>
  </si>
  <si>
    <t>-715.329435307677 225.830234872644 810.050018211258</t>
  </si>
  <si>
    <t>-692.46138635383 -6.06712801632239 307.987924999459</t>
  </si>
  <si>
    <t>-690.514625001332 -19.076969987266 755.655167023531</t>
  </si>
  <si>
    <t>-584.301259591153 -111.005474958045 828.834063308159</t>
  </si>
  <si>
    <t>9763-20170724T105125.642308200.bin</t>
  </si>
  <si>
    <t>-770.48637776838 82.4326872792321 -93.2280311802857</t>
  </si>
  <si>
    <t>-787.862064946638 75.1060688041989 -207.511138526881</t>
  </si>
  <si>
    <t>-794.637109270628 71.5043784688166 -305.836155108341</t>
  </si>
  <si>
    <t>-798.050670264618 69.0648806487727 -394.834052320619</t>
  </si>
  <si>
    <t>-798.385292917574 67.4367243674365 -483.915234511587</t>
  </si>
  <si>
    <t>-795.60490689357 65.9401704447248 -608.457806257861</t>
  </si>
  <si>
    <t>-765.1931015909 68.5522308787142 -685.745128640406</t>
  </si>
  <si>
    <t>-800.698375917889 94.0331315160865 -554.068911190461</t>
  </si>
  <si>
    <t>-816.266375199704 229.165028833131 -534.215026297756</t>
  </si>
  <si>
    <t>-793.257438122486 261.359636827918 -242.624057456589</t>
  </si>
  <si>
    <t>-555.279550375161 287.707081151714 -215.731298881863</t>
  </si>
  <si>
    <t>-792.958591895108 39.164438067882 -553.236801821026</t>
  </si>
  <si>
    <t>-619.515095387961 27.2243903278929 -330.07490503087</t>
  </si>
  <si>
    <t>-797.047884450054 174.712415825561 -96.2568408825313</t>
  </si>
  <si>
    <t>-788.753593113296 183.228276741615 307.120580826902</t>
  </si>
  <si>
    <t>-860.205430712963 206.915982303433 748.870860342208</t>
  </si>
  <si>
    <t>-715.318798431686 225.667061508118 810.055290854454</t>
  </si>
  <si>
    <t>-692.524651151953 -5.93689301991071 307.954272844711</t>
  </si>
  <si>
    <t>-690.420998841588 -18.8440056395577 755.614700853213</t>
  </si>
  <si>
    <t>-584.404245305551 -110.976300033003 828.822675464363</t>
  </si>
  <si>
    <t>9763-20170724T105125.710489900.bin</t>
  </si>
  <si>
    <t>-770.77046055309 82.3002299717073 -93.2270891641472</t>
  </si>
  <si>
    <t>-788.190403925877 74.9683133903295 -207.503144780113</t>
  </si>
  <si>
    <t>-795.084680110177 71.4505515050137 -305.822745092113</t>
  </si>
  <si>
    <t>-798.637424696147 69.1243927644578 -394.818301379293</t>
  </si>
  <si>
    <t>-799.141959686788 67.6493590783057 -483.901560812882</t>
  </si>
  <si>
    <t>-796.631037262866 66.4097638849905 -608.452596972533</t>
  </si>
  <si>
    <t>-766.497852937402 69.2004853009796 -685.842675481772</t>
  </si>
  <si>
    <t>-801.654350978225 94.3834352273816 -553.99567499917</t>
  </si>
  <si>
    <t>-817.456921992011 229.458487336909 -533.971171104096</t>
  </si>
  <si>
    <t>-795.245448938785 261.076522136367 -242.255422642901</t>
  </si>
  <si>
    <t>-557.366308148748 287.945530740268 -215.007601923643</t>
  </si>
  <si>
    <t>-793.817456109883 39.526811448465 -553.291756171687</t>
  </si>
  <si>
    <t>-621.04098009035 28.0890897553822 -329.242653828287</t>
  </si>
  <si>
    <t>-797.353260666977 174.564415588528 -96.2166548622774</t>
  </si>
  <si>
    <t>-788.832880431536 183.153365363939 307.154564643148</t>
  </si>
  <si>
    <t>-860.20154947412 206.946078834573 748.907774522766</t>
  </si>
  <si>
    <t>-715.30987879511 225.838344436036 810.037201313917</t>
  </si>
  <si>
    <t>-692.696562996671 -5.92575185972146 307.936915651472</t>
  </si>
  <si>
    <t>-690.481639005761 -18.8231384910696 755.598800270424</t>
  </si>
  <si>
    <t>-584.62223980283 -111.125430968106 828.820300603185</t>
  </si>
  <si>
    <t>9763-20170724T105125.744591500.bin</t>
  </si>
  <si>
    <t>-770.895408749647 82.2260904953255 -93.2066791511206</t>
  </si>
  <si>
    <t>-788.342018170464 74.8937786362037 -207.478555538936</t>
  </si>
  <si>
    <t>-795.298347493908 71.4242940352681 -305.79569994153</t>
  </si>
  <si>
    <t>-798.921879531162 69.1623530996701 -394.789983894492</t>
  </si>
  <si>
    <t>-799.511923778682 67.7728441429722 -483.873931625059</t>
  </si>
  <si>
    <t>-797.135191105683 66.6760999136648 -608.429019959175</t>
  </si>
  <si>
    <t>-767.148066533137 69.5424605232383 -685.873022080503</t>
  </si>
  <si>
    <t>-802.119967224623 94.5845818745156 -553.93519882065</t>
  </si>
  <si>
    <t>-818.046077687126 229.642263379308 -533.838876639872</t>
  </si>
  <si>
    <t>-796.395307636231 260.9157961826 -242.043687503701</t>
  </si>
  <si>
    <t>-558.548800930932 288.009525680633 -214.733134945244</t>
  </si>
  <si>
    <t>-794.242274086272 39.7328116810247 -553.301856427413</t>
  </si>
  <si>
    <t>-621.986554961419 28.3655194823734 -329.193146937171</t>
  </si>
  <si>
    <t>-797.467655550252 174.485102539615 -96.2029018207069</t>
  </si>
  <si>
    <t>-788.938749447653 183.099070273162 307.167531207377</t>
  </si>
  <si>
    <t>-860.198223087951 206.965672535429 748.922582427462</t>
  </si>
  <si>
    <t>-715.312896574744 225.956683670572 810.036044377455</t>
  </si>
  <si>
    <t>-692.77709514566 -5.91116264151947 307.93668550393</t>
  </si>
  <si>
    <t>-690.47891885569 -18.7471203136427 755.592687654456</t>
  </si>
  <si>
    <t>-584.550674540256 -110.974233159903 828.809380070665</t>
  </si>
  <si>
    <t>9763-20170724T105125.806755500.bin</t>
  </si>
  <si>
    <t>-771.129345114868 82.1292320851801 -93.1789127635483</t>
  </si>
  <si>
    <t>-788.659882590024 74.7486048005542 -207.43482543848</t>
  </si>
  <si>
    <t>-795.731076311022 71.3049815314482 -305.74455554815</t>
  </si>
  <si>
    <t>-799.47506202053 69.0948873847055 -394.73516315871</t>
  </si>
  <si>
    <t>-800.201656602417 67.7874476637896 -483.819519683294</t>
  </si>
  <si>
    <t>-798.032000271769 66.837784922546 -608.379515521368</t>
  </si>
  <si>
    <t>-768.316457358711 69.8110964363891 -685.924158233576</t>
  </si>
  <si>
    <t>-802.963242238847 94.6764808887738 -553.845175042798</t>
  </si>
  <si>
    <t>-819.130066185899 229.696246447561 -533.682824066369</t>
  </si>
  <si>
    <t>-798.818404505933 260.21794466028 -241.711793092062</t>
  </si>
  <si>
    <t>-560.937410030723 287.194056641191 -214.586267129536</t>
  </si>
  <si>
    <t>-795.010281676125 39.8348903943838 -553.288508608913</t>
  </si>
  <si>
    <t>-623.05153130535 28.9726228968914 -328.798468765817</t>
  </si>
  <si>
    <t>-797.687908276449 174.358338732879 -96.2123320419062</t>
  </si>
  <si>
    <t>-789.207087432846 183.068666656463 307.157062296008</t>
  </si>
  <si>
    <t>-860.111937059139 206.840442161285 748.95017638078</t>
  </si>
  <si>
    <t>-715.227092922163 225.915855426266 810.038578868147</t>
  </si>
  <si>
    <t>-692.909387168225 -5.78818731816386 307.939711099539</t>
  </si>
  <si>
    <t>-690.38808091893 -18.4969636182771 755.560123527681</t>
  </si>
  <si>
    <t>-584.684394142988 -110.952720043037 828.813000476238</t>
  </si>
  <si>
    <t>9763-20170724T105125.847377700.bin</t>
  </si>
  <si>
    <t>-771.295835143579 82.1138034540134 -93.1920842558978</t>
  </si>
  <si>
    <t>-788.88474355347 74.6839034736884 -207.43589631639</t>
  </si>
  <si>
    <t>-796.021497090216 71.2288492679045 -305.740368563659</t>
  </si>
  <si>
    <t>-799.830696161903 69.0213254624475 -394.728515843033</t>
  </si>
  <si>
    <t>-800.628165311785 67.7302282958533 -483.812260966199</t>
  </si>
  <si>
    <t>-798.563243121228 66.8186389973698 -608.374536018002</t>
  </si>
  <si>
    <t>-768.952661922699 69.8333305671808 -685.957696336693</t>
  </si>
  <si>
    <t>-803.479915244943 94.6360845292902 -553.827967759996</t>
  </si>
  <si>
    <t>-819.821834888425 229.634806098179 -533.642734681419</t>
  </si>
  <si>
    <t>-800.185491812053 259.578672029035 -241.565700971764</t>
  </si>
  <si>
    <t>-562.285965169237 286.241237636814 -214.293148602131</t>
  </si>
  <si>
    <t>-795.463797571269 39.8034767460722 -553.293765190032</t>
  </si>
  <si>
    <t>-623.49013152404 29.3455882306253 -328.680574314188</t>
  </si>
  <si>
    <t>-797.882152057256 174.412944815339 -96.2478695163749</t>
  </si>
  <si>
    <t>-789.403329209234 183.149725486585 307.121071047676</t>
  </si>
  <si>
    <t>-860.146735245733 206.958390286539 748.939341718455</t>
  </si>
  <si>
    <t>-715.210141048565 225.627957517342 810.030383557104</t>
  </si>
  <si>
    <t>-693.137578866473 -5.69438862944367 307.946127937257</t>
  </si>
  <si>
    <t>-690.369818019754 -18.4639436436239 755.546896440742</t>
  </si>
  <si>
    <t>-584.63437091857 -110.87065282335 828.815715154843</t>
  </si>
  <si>
    <t>9763-20170724T105125.908541300.bin</t>
  </si>
  <si>
    <t>-771.615745616257 82.2767907478114 -93.3190395827839</t>
  </si>
  <si>
    <t>-789.32069409848 74.7120213952517 -207.535955471018</t>
  </si>
  <si>
    <t>-796.603706724047 71.2285366711128 -305.828880496919</t>
  </si>
  <si>
    <t>-800.562391207468 69.0301978997334 -394.810562438404</t>
  </si>
  <si>
    <t>-801.525976134783 67.7846538344318 -483.893524913234</t>
  </si>
  <si>
    <t>-799.709711382414 66.9754925772911 -608.460119331782</t>
  </si>
  <si>
    <t>-770.300165318718 70.1057001535876 -686.115193847041</t>
  </si>
  <si>
    <t>-804.587117392889 94.7378375731819 -553.881933083297</t>
  </si>
  <si>
    <t>-821.196833197574 229.669555891169 -533.561082063525</t>
  </si>
  <si>
    <t>-802.748429303479 258.379254733294 -241.28277586177</t>
  </si>
  <si>
    <t>-564.778394493725 284.033941752468 -213.659904089043</t>
  </si>
  <si>
    <t>-796.430817496943 39.9253288623991 -553.40700138156</t>
  </si>
  <si>
    <t>-623.868276611686 29.6135219783901 -327.900250742798</t>
  </si>
  <si>
    <t>-798.364722512785 174.513724986389 -96.3924252622809</t>
  </si>
  <si>
    <t>-789.756909460091 183.357190690095 306.971419636258</t>
  </si>
  <si>
    <t>-860.124698571311 207.002742963058 748.870846769826</t>
  </si>
  <si>
    <t>-715.185509336827 225.675906376417 809.954967267977</t>
  </si>
  <si>
    <t>-693.481988168043 -5.47935454094022 307.885163542977</t>
  </si>
  <si>
    <t>-690.380356675573 -18.5341363665927 755.456594017956</t>
  </si>
  <si>
    <t>-584.494488817682 -110.714107025277 828.793796770307</t>
  </si>
  <si>
    <t>9763-20170724T105125.941713000.bin</t>
  </si>
  <si>
    <t>-771.695571671983 82.4510664257923 -93.421792897093</t>
  </si>
  <si>
    <t>-789.4566941262 74.822099176617 -207.625770765908</t>
  </si>
  <si>
    <t>-796.818305504187 71.3388214393165 -305.912777699389</t>
  </si>
  <si>
    <t>-800.859167554257 69.1619605812298 -394.891257208082</t>
  </si>
  <si>
    <t>-801.915193536259 67.9598361877459 -483.973760069481</t>
  </si>
  <si>
    <t>-800.238844812797 67.2341278290723 -608.542878715454</t>
  </si>
  <si>
    <t>-770.90117710473 70.4392451492677 -686.222073110157</t>
  </si>
  <si>
    <t>-805.082166686063 94.9557839949414 -553.941064821114</t>
  </si>
  <si>
    <t>-821.773775428774 229.868969586202 -533.532472653451</t>
  </si>
  <si>
    <t>-803.831027232156 257.81208210966 -241.148384625987</t>
  </si>
  <si>
    <t>-565.865525444731 282.996222847568 -213.058009481161</t>
  </si>
  <si>
    <t>-796.870806720343 40.1510887378308 -553.511255566329</t>
  </si>
  <si>
    <t>-623.93684456904 29.6639543341651 -327.602307938369</t>
  </si>
  <si>
    <t>-798.579920980076 174.613346930325 -96.4955291019777</t>
  </si>
  <si>
    <t>-789.890072569826 183.456497535406 306.866495509867</t>
  </si>
  <si>
    <t>-860.101568422481 206.988880011955 748.813623821973</t>
  </si>
  <si>
    <t>-715.161951995784 225.672551751537 809.89321561178</t>
  </si>
  <si>
    <t>-693.4264836903 -5.19813992416425 307.809220462735</t>
  </si>
  <si>
    <t>-690.257865777678 -18.3090560022367 755.395869630631</t>
  </si>
  <si>
    <t>-584.759775561398 -110.883926009287 828.794606543771</t>
  </si>
  <si>
    <t>9763-20170724T105126.010888100.bin</t>
  </si>
  <si>
    <t>-771.923926415487 82.2113360089172 -93.6380894805581</t>
  </si>
  <si>
    <t>-789.738692398364 74.4583736191194 -207.825375434644</t>
  </si>
  <si>
    <t>-797.215345793052 70.9574554331205 -306.10316680734</t>
  </si>
  <si>
    <t>-801.385501472242 68.7991390086543 -395.076115012689</t>
  </si>
  <si>
    <t>-802.595862411663 67.6508480738366 -484.157349388177</t>
  </si>
  <si>
    <t>-801.16011177762 67.0378232142352 -608.730097561289</t>
  </si>
  <si>
    <t>-771.9593134328 70.3704041685014 -686.455393902794</t>
  </si>
  <si>
    <t>-805.95419035685 94.701595877199 -554.094502742362</t>
  </si>
  <si>
    <t>-822.953593277933 229.580425483719 -533.632653002341</t>
  </si>
  <si>
    <t>-805.869910423062 256.461726327208 -241.097691175189</t>
  </si>
  <si>
    <t>-567.8757099035 280.607029378699 -212.34700558268</t>
  </si>
  <si>
    <t>-797.629673748566 39.9135625415827 -553.728922983391</t>
  </si>
  <si>
    <t>-624.708781639735 29.5401612218363 -327.613487530648</t>
  </si>
  <si>
    <t>-799.049483613291 174.530073462485 -96.7499190581235</t>
  </si>
  <si>
    <t>-790.428469050329 183.526751714506 306.610213015165</t>
  </si>
  <si>
    <t>-860.087027218749 207.064612462657 748.677180734407</t>
  </si>
  <si>
    <t>-715.140101056275 225.679908190347 809.760587936657</t>
  </si>
  <si>
    <t>-693.520672244545 -5.05306309859907 307.646407966943</t>
  </si>
  <si>
    <t>-690.311585271257 -18.4634121357547 755.274377764553</t>
  </si>
  <si>
    <t>-584.392582579392 -110.510726420717 828.73018824153</t>
  </si>
  <si>
    <t>9763-20170724T105126.042626800.bin</t>
  </si>
  <si>
    <t>-772.031074965626 82.1224572114104 -93.7342580752736</t>
  </si>
  <si>
    <t>-789.860467918708 74.3091611157736 -207.915222616719</t>
  </si>
  <si>
    <t>-797.382940357865 70.778610957185 -306.188368134536</t>
  </si>
  <si>
    <t>-801.607660882373 68.6018039045648 -395.158347406068</t>
  </si>
  <si>
    <t>-802.885255143761 67.4438528460496 -484.238462831554</t>
  </si>
  <si>
    <t>-801.556395594524 66.8266836816558 -608.812384221021</t>
  </si>
  <si>
    <t>-772.424492109022 70.1851293095251 -686.562540111724</t>
  </si>
  <si>
    <t>-806.33771617249 94.4870439856152 -554.173975184946</t>
  </si>
  <si>
    <t>-823.55180527316 229.338515913886 -533.728147785678</t>
  </si>
  <si>
    <t>-806.867470429006 255.689504827977 -241.121933903771</t>
  </si>
  <si>
    <t>-568.877696586336 279.553268904098 -212.101164609353</t>
  </si>
  <si>
    <t>-797.944409983537 39.7093987376381 -553.813007599171</t>
  </si>
  <si>
    <t>-624.958181950364 29.5337711294444 -327.886977527476</t>
  </si>
  <si>
    <t>-799.293814108048 174.439824188906 -96.8700954727204</t>
  </si>
  <si>
    <t>-790.697142923789 183.535981830932 306.488336525997</t>
  </si>
  <si>
    <t>-860.020197384588 206.966564311173 748.610490011635</t>
  </si>
  <si>
    <t>-715.116615099727 225.924141919373 809.691133696632</t>
  </si>
  <si>
    <t>-693.55821551372 -4.97435934017062 307.582814102008</t>
  </si>
  <si>
    <t>-690.195037693122 -18.2346934046971 755.20828935149</t>
  </si>
  <si>
    <t>-584.639059033505 -110.651999698768 828.72213355005</t>
  </si>
  <si>
    <t>9763-20170724T105126.110808200.bin</t>
  </si>
  <si>
    <t>-772.424318895212 82.0922641350455 -93.8833195589629</t>
  </si>
  <si>
    <t>-790.266024345305 74.1293432943332 -208.051953972814</t>
  </si>
  <si>
    <t>-797.860428013111 70.5014625240053 -306.315933639584</t>
  </si>
  <si>
    <t>-802.173192210316 68.2473895310225 -395.279850584359</t>
  </si>
  <si>
    <t>-803.561980887573 67.0234828974724 -484.35740282794</t>
  </si>
  <si>
    <t>-802.412154989486 66.3263235669544 -608.932645731662</t>
  </si>
  <si>
    <t>-773.460387802644 69.6888424969582 -686.749915347105</t>
  </si>
  <si>
    <t>-807.176769889853 94.0122964897014 -554.305831092436</t>
  </si>
  <si>
    <t>-824.905146428182 228.795022118629 -533.900101552792</t>
  </si>
  <si>
    <t>-809.18774075902 254.225304615585 -241.158817445229</t>
  </si>
  <si>
    <t>-571.18439300481 278.092150067785 -212.251370889831</t>
  </si>
  <si>
    <t>-798.659439690813 39.2539165537019 -553.920710587194</t>
  </si>
  <si>
    <t>-626.142950458876 30.0572397268049 -328.36479870556</t>
  </si>
  <si>
    <t>-799.946790137133 174.37948498219 -97.0905347194092</t>
  </si>
  <si>
    <t>-791.274626861987 183.652981251043 306.262274164022</t>
  </si>
  <si>
    <t>-859.976774154341 206.953219297994 748.473410119809</t>
  </si>
  <si>
    <t>-715.062209478515 225.814326810296 809.558312179317</t>
  </si>
  <si>
    <t>-694.118430298763 -4.72223998338291 307.51968810973</t>
  </si>
  <si>
    <t>-690.092997122588 -18.0514359704478 755.105781137769</t>
  </si>
  <si>
    <t>-584.507169461267 -110.388887047498 828.677118297062</t>
  </si>
  <si>
    <t>9763-20170724T105126.142900900.bin</t>
  </si>
  <si>
    <t>-772.663858574866 82.1827534255676 -93.970321625574</t>
  </si>
  <si>
    <t>-790.46898059352 74.1151927340886 -208.137374412673</t>
  </si>
  <si>
    <t>-798.060670164238 70.4593250672781 -306.400521332508</t>
  </si>
  <si>
    <t>-802.381393878369 68.2040999928604 -395.364009846017</t>
  </si>
  <si>
    <t>-803.787618895181 67.0044022260661 -484.441665993677</t>
  </si>
  <si>
    <t>-802.67211805765 66.3672533197246 -609.017541025025</t>
  </si>
  <si>
    <t>-773.824760081395 69.73661159224 -686.873237424731</t>
  </si>
  <si>
    <t>-807.452934909192 94.0219957297097 -554.376324459716</t>
  </si>
  <si>
    <t>-825.389943149569 228.77107783063 -533.965782389639</t>
  </si>
  <si>
    <t>-810.276715882246 253.825209980164 -241.160237768485</t>
  </si>
  <si>
    <t>-572.283581647851 277.839437140257 -212.290242964589</t>
  </si>
  <si>
    <t>-798.872938859095 39.2732239594391 -554.019408435752</t>
  </si>
  <si>
    <t>-626.182921586678 30.1874633836171 -328.350208786765</t>
  </si>
  <si>
    <t>-800.241577565311 174.410866253442 -97.2427069656902</t>
  </si>
  <si>
    <t>-791.65250400546 183.784008902911 306.109595241109</t>
  </si>
  <si>
    <t>-859.954977769414 206.923777954898 748.389718952284</t>
  </si>
  <si>
    <t>-715.031811340855 225.725167537965 809.47229231046</t>
  </si>
  <si>
    <t>-694.802760850895 -4.42375049184102 307.549814546927</t>
  </si>
  <si>
    <t>-690.149590075887 -18.0920521642347 755.100243303601</t>
  </si>
  <si>
    <t>-584.554792802707 -110.422163621186 828.667819520092</t>
  </si>
  <si>
    <t>9763-20170724T105126.209075900.bin</t>
  </si>
  <si>
    <t>-773.230881306618 82.963205021161 -94.2480118522431</t>
  </si>
  <si>
    <t>-790.913596704028 74.7495756667859 -208.423595565987</t>
  </si>
  <si>
    <t>-798.424197446851 71.0804897241683 -306.692552134538</t>
  </si>
  <si>
    <t>-802.679849109807 68.8593601002326 -395.660124221313</t>
  </si>
  <si>
    <t>-804.028612892004 67.7414697170923 -484.739586044875</t>
  </si>
  <si>
    <t>-802.839720899014 67.2701152879304 -609.315719533934</t>
  </si>
  <si>
    <t>-774.179210638214 70.6444247910647 -687.240027113234</t>
  </si>
  <si>
    <t>-807.734828941447 94.8390852496859 -554.64116905786</t>
  </si>
  <si>
    <t>-826.0386965578 229.535286534624 -534.165445349723</t>
  </si>
  <si>
    <t>-811.970215881218 254.051410926571 -241.26236572142</t>
  </si>
  <si>
    <t>-574.050076295245 278.525567746026 -212.178434129794</t>
  </si>
  <si>
    <t>-798.990995618532 40.1159388897399 -554.350594436293</t>
  </si>
  <si>
    <t>-626.44289616405 31.3246430861047 -328.175595102833</t>
  </si>
  <si>
    <t>-800.947689295605 174.916548864507 -97.6418235521721</t>
  </si>
  <si>
    <t>-792.664139588285 184.355008546014 305.715283542129</t>
  </si>
  <si>
    <t>-859.808944665 206.815345654897 748.148208191445</t>
  </si>
  <si>
    <t>-714.926701742808 225.577743851066 809.339812263308</t>
  </si>
  <si>
    <t>-696.137734147121 -3.56317450775146 307.567511489873</t>
  </si>
  <si>
    <t>-690.13268504074 -17.8715589053704 755.079928859234</t>
  </si>
  <si>
    <t>-584.865612721055 -110.578798262604 828.642919349521</t>
  </si>
  <si>
    <t>9763-20170724T105126.241788900.bin</t>
  </si>
  <si>
    <t>-773.630619964262 83.275759362125 -94.404419437265</t>
  </si>
  <si>
    <t>-791.234102787752 75.0357140800243 -208.59043518132</t>
  </si>
  <si>
    <t>-798.687995373617 71.3544437328305 -306.863152904981</t>
  </si>
  <si>
    <t>-802.897089601191 69.1269863367079 -395.832686073741</t>
  </si>
  <si>
    <t>-804.204081939978 68.0084386885837 -484.912858362865</t>
  </si>
  <si>
    <t>-802.962025654217 67.5430500577686 -609.488429378097</t>
  </si>
  <si>
    <t>-774.40340209763 70.9029668726148 -687.450855744722</t>
  </si>
  <si>
    <t>-807.917956697348 95.1033691789337 -554.81508566307</t>
  </si>
  <si>
    <t>-826.44563724713 229.776330358071 -534.350645200426</t>
  </si>
  <si>
    <t>-812.778334799703 253.934138200546 -241.398775525591</t>
  </si>
  <si>
    <t>-574.900701397061 278.630686626705 -212.155675885188</t>
  </si>
  <si>
    <t>-799.099308353048 40.3922726228222 -554.522654360954</t>
  </si>
  <si>
    <t>-626.866948506882 32.1973859288109 -328.009319082395</t>
  </si>
  <si>
    <t>-801.403627455418 175.097097625758 -97.8314708142449</t>
  </si>
  <si>
    <t>-793.114401437917 184.541976256008 305.525403416161</t>
  </si>
  <si>
    <t>-859.692412399863 206.680958103873 748.062172694492</t>
  </si>
  <si>
    <t>-714.858268464861 225.628953131905 809.310199770755</t>
  </si>
  <si>
    <t>-696.625339733802 -3.30580006421269 307.501109158112</t>
  </si>
  <si>
    <t>-690.142837076254 -17.8438474361706 755.05126106954</t>
  </si>
  <si>
    <t>-584.932138670249 -110.610181667308 828.620222208436</t>
  </si>
  <si>
    <t>9763-20170724T105126.311975600.bin</t>
  </si>
  <si>
    <t>-774.462724971845 83.2789218668579 -94.6082981177815</t>
  </si>
  <si>
    <t>-791.933654736495 75.0130173203854 -208.812731689425</t>
  </si>
  <si>
    <t>-799.259555423871 71.2854046334007 -307.093433332639</t>
  </si>
  <si>
    <t>-803.347865331293 69.0059272342553 -396.067261074713</t>
  </si>
  <si>
    <t>-804.52918025567 67.825634311765 -485.148362607373</t>
  </si>
  <si>
    <t>-803.10691493196 67.2637820564805 -609.721522263018</t>
  </si>
  <si>
    <t>-774.705381554461 70.5394729774848 -687.744824818371</t>
  </si>
  <si>
    <t>-808.184049318401 94.8596463196964 -555.077189145128</t>
  </si>
  <si>
    <t>-827.072908309142 229.507890535437 -534.7667908232</t>
  </si>
  <si>
    <t>-814.533111919382 252.999238549935 -241.71013671017</t>
  </si>
  <si>
    <t>-576.698828526498 277.646179556899 -212.074431208183</t>
  </si>
  <si>
    <t>-799.281401624496 40.1624155568509 -554.728773621083</t>
  </si>
  <si>
    <t>-627.686138663471 32.8640359791077 -327.678931389195</t>
  </si>
  <si>
    <t>-802.335998467925 175.137067066581 -98.0888867330056</t>
  </si>
  <si>
    <t>-794.015456330342 184.737248357451 305.263651769093</t>
  </si>
  <si>
    <t>-859.620022125011 206.737529604388 747.975110248656</t>
  </si>
  <si>
    <t>-714.796675727992 225.542024994792 809.293251403102</t>
  </si>
  <si>
    <t>-697.363961511031 -3.2333555792618 307.358861347347</t>
  </si>
  <si>
    <t>-690.253703220215 -17.9535072996937 754.988657510783</t>
  </si>
  <si>
    <t>-584.596216547603 -110.224452414471 828.540382616437</t>
  </si>
  <si>
    <t>9763-20170724T105126.339550300.bin</t>
  </si>
  <si>
    <t>-774.774579219656 83.1476676859775 -94.6422141484103</t>
  </si>
  <si>
    <t>-792.212205403559 74.8738728108015 -208.851162063016</t>
  </si>
  <si>
    <t>-799.491240307508 71.1201273989489 -307.134329529333</t>
  </si>
  <si>
    <t>-803.529509511854 68.8079676187492 -396.109596693244</t>
  </si>
  <si>
    <t>-804.653704975991 67.5857234080245 -485.190936911002</t>
  </si>
  <si>
    <t>-803.143965958453 66.9551034673502 -609.762786357958</t>
  </si>
  <si>
    <t>-774.794886378174 70.1624233827392 -687.808122822682</t>
  </si>
  <si>
    <t>-808.263914544762 94.5802733805076 -555.137221606779</t>
  </si>
  <si>
    <t>-827.220882016867 229.222355011307 -534.901389274637</t>
  </si>
  <si>
    <t>-815.287725673834 252.593977151244 -241.809985120609</t>
  </si>
  <si>
    <t>-577.436909055951 276.84587429849 -211.981819518597</t>
  </si>
  <si>
    <t>-799.352542471904 39.8847788291314 -554.752376790079</t>
  </si>
  <si>
    <t>-627.663530520282 32.4516560913053 -327.267922620142</t>
  </si>
  <si>
    <t>-802.676414106481 175.041409057602 -98.1419172714611</t>
  </si>
  <si>
    <t>-794.445951610133 184.763279356893 305.209576327848</t>
  </si>
  <si>
    <t>-859.612884980905 206.807459245596 747.969030108181</t>
  </si>
  <si>
    <t>-714.79034053491 225.536869946133 809.311639600313</t>
  </si>
  <si>
    <t>-697.496491993385 -3.21548722986381 307.319742864324</t>
  </si>
  <si>
    <t>-690.242403094172 -17.8625983166721 754.962111132976</t>
  </si>
  <si>
    <t>-584.782286696969 -110.350913033211 828.524147418175</t>
  </si>
  <si>
    <t>9763-20170724T105126.410129800.bin</t>
  </si>
  <si>
    <t>-775.167909326223 82.7554804732813 -94.6353905204244</t>
  </si>
  <si>
    <t>-792.564939524872 74.4598031465605 -208.84901037641</t>
  </si>
  <si>
    <t>-799.768136287631 70.694121269569 -307.137346586623</t>
  </si>
  <si>
    <t>-803.720183963667 68.3713641114327 -396.115978744932</t>
  </si>
  <si>
    <t>-804.740385934982 67.1375352170646 -485.198470684626</t>
  </si>
  <si>
    <t>-803.066385415791 66.4881411112599 -609.768148466239</t>
  </si>
  <si>
    <t>-774.73343939554 69.5640975063388 -687.824620412365</t>
  </si>
  <si>
    <t>-808.244792383541 94.123791955406 -555.153381556291</t>
  </si>
  <si>
    <t>-827.287487404283 228.753968600148 -534.953483216081</t>
  </si>
  <si>
    <t>-816.608702887616 251.816354346473 -241.789195173547</t>
  </si>
  <si>
    <t>-578.777896396153 275.703709138904 -211.510968006825</t>
  </si>
  <si>
    <t>-799.361216700538 39.4239065850843 -554.748886739069</t>
  </si>
  <si>
    <t>-627.66635340061 31.1793858564968 -327.019771319581</t>
  </si>
  <si>
    <t>-803.180319541845 174.805165957999 -98.17865548097</t>
  </si>
  <si>
    <t>-795.004758957968 184.765611994437 305.168138189567</t>
  </si>
  <si>
    <t>-859.5957383041 206.896200223185 748.004553118383</t>
  </si>
  <si>
    <t>-714.779775839185 225.596398798493 809.371763060591</t>
  </si>
  <si>
    <t>-697.803377188653 -3.30288675153906 307.309507570101</t>
  </si>
  <si>
    <t>-690.324951490914 -17.9252676882572 754.921707899917</t>
  </si>
  <si>
    <t>-584.680703887495 -110.201280402606 828.486059894161</t>
  </si>
  <si>
    <t>9763-20170724T105126.444755800.bin</t>
  </si>
  <si>
    <t>-775.300898404907 82.7531439970037 -94.6217672891272</t>
  </si>
  <si>
    <t>-792.675769920697 74.4504983473905 -208.838190573157</t>
  </si>
  <si>
    <t>-799.847119375484 70.6860918921459 -307.128892554723</t>
  </si>
  <si>
    <t>-803.765435622595 68.3672605282723 -396.109287934732</t>
  </si>
  <si>
    <t>-804.74631408254 67.1400237214893 -485.192215232389</t>
  </si>
  <si>
    <t>-803.011780926162 66.5026111749721 -609.761123960603</t>
  </si>
  <si>
    <t>-774.692596581163 69.533369650414 -687.824319977529</t>
  </si>
  <si>
    <t>-808.215364356005 94.1333054151398 -555.146333770276</t>
  </si>
  <si>
    <t>-827.335165742323 228.754745170263 -534.90821750078</t>
  </si>
  <si>
    <t>-817.243454190151 251.680744449455 -241.712388765604</t>
  </si>
  <si>
    <t>-579.398136499198 275.481178681919 -211.479586479698</t>
  </si>
  <si>
    <t>-799.334947026548 39.432850995265 -554.742814331025</t>
  </si>
  <si>
    <t>-627.981865618965 31.4992992407499 -326.794186622722</t>
  </si>
  <si>
    <t>-803.389825457818 174.800579893353 -98.1780650137439</t>
  </si>
  <si>
    <t>-795.107975789821 184.829890836515 305.164799682229</t>
  </si>
  <si>
    <t>-859.568751886411 206.891046149888 748.03134891026</t>
  </si>
  <si>
    <t>-714.751137317349 225.574536841307 809.399523724122</t>
  </si>
  <si>
    <t>-697.903225769654 -3.09528662774187 307.321612839781</t>
  </si>
  <si>
    <t>-690.211375492763 -17.6383441924702 754.907527581849</t>
  </si>
  <si>
    <t>-585.138646952256 -110.534081350924 828.510365419391</t>
  </si>
  <si>
    <t>9763-20170724T105126.509929700.bin</t>
  </si>
  <si>
    <t>-775.553433804006 82.5293393367881 -94.5700920758841</t>
  </si>
  <si>
    <t>-792.94071771914 74.2246847887859 -208.784444243196</t>
  </si>
  <si>
    <t>-800.048104104928 70.4569182408895 -307.079620667732</t>
  </si>
  <si>
    <t>-803.878686769068 68.1340750690931 -396.063839007691</t>
  </si>
  <si>
    <t>-804.742279349604 66.9016499855798 -485.147927740843</t>
  </si>
  <si>
    <t>-802.812986970961 66.2554303112549 -609.713896707363</t>
  </si>
  <si>
    <t>-774.480343977388 69.2506941236622 -687.77351978966</t>
  </si>
  <si>
    <t>-808.113304957423 93.8881935517247 -555.109338989282</t>
  </si>
  <si>
    <t>-827.486478946428 228.468486098094 -534.825810041402</t>
  </si>
  <si>
    <t>-818.86425694297 250.631200546374 -241.524567694739</t>
  </si>
  <si>
    <t>-581.04048978126 274.497466158883 -211.174225926141</t>
  </si>
  <si>
    <t>-799.21068658591 39.1914169181466 -554.687624831572</t>
  </si>
  <si>
    <t>-628.763510932436 32.2067425529206 -326.489687656645</t>
  </si>
  <si>
    <t>-803.614404347768 174.495619879443 -98.1235527716018</t>
  </si>
  <si>
    <t>-795.16254952986 184.569825119472 305.214719177238</t>
  </si>
  <si>
    <t>-859.483108220057 206.791987188039 748.070872885151</t>
  </si>
  <si>
    <t>-714.676992000348 225.537374542876 809.447445667143</t>
  </si>
  <si>
    <t>-698.281813229801 -3.26714028900187 307.378134922285</t>
  </si>
  <si>
    <t>-690.38827794236 -17.8239307040592 754.938575094971</t>
  </si>
  <si>
    <t>-585.123827685502 -110.518571448686 828.521366356881</t>
  </si>
  <si>
    <t>9763-20170724T105126.543173400.bin</t>
  </si>
  <si>
    <t>-775.551219753613 82.4050696289364 -94.560049235292</t>
  </si>
  <si>
    <t>-792.934633931702 74.096333105997 -208.774803514272</t>
  </si>
  <si>
    <t>-800.003895120903 70.3265004793404 -307.072727864073</t>
  </si>
  <si>
    <t>-803.786100877295 68.0019352014092 -396.058838935046</t>
  </si>
  <si>
    <t>-804.587511180979 66.7679114317611 -485.143473088608</t>
  </si>
  <si>
    <t>-802.556740537532 66.1195198696846 -609.707803328065</t>
  </si>
  <si>
    <t>-774.212597781788 69.1358548879859 -687.762600120728</t>
  </si>
  <si>
    <t>-807.909681546221 93.7519041886619 -555.10836190686</t>
  </si>
  <si>
    <t>-827.361916641045 228.306483795724 -534.78625448455</t>
  </si>
  <si>
    <t>-819.542199170789 250.095532051611 -241.434408695929</t>
  </si>
  <si>
    <t>-581.712590863695 273.883705526292 -211.068680340228</t>
  </si>
  <si>
    <t>-798.991046571183 39.0578069926626 -554.678109233053</t>
  </si>
  <si>
    <t>-628.372979890486 31.9774434589372 -326.294548815381</t>
  </si>
  <si>
    <t>-803.555365142832 174.260360700224 -98.1038668202964</t>
  </si>
  <si>
    <t>-795.08768551951 184.357743549564 305.233530716335</t>
  </si>
  <si>
    <t>-859.39982992179 206.655127810645 748.079948291316</t>
  </si>
  <si>
    <t>-714.618426006392 225.57533185126 809.461558875893</t>
  </si>
  <si>
    <t>-698.329472008124 -3.28435661488197 307.385657588246</t>
  </si>
  <si>
    <t>-690.381783868712 -17.7402189153686 754.949057244919</t>
  </si>
  <si>
    <t>-585.310009180711 -110.649042804855 828.536910334806</t>
  </si>
  <si>
    <t>9763-20170724T105126.611355100.bin</t>
  </si>
  <si>
    <t>-775.337657375362 81.9912157052418 -94.5432966229606</t>
  </si>
  <si>
    <t>-792.73625950326 73.6647136684755 -208.754459607005</t>
  </si>
  <si>
    <t>-799.774950803779 69.9065918495871 -307.054837661603</t>
  </si>
  <si>
    <t>-803.511274088162 67.6018947777764 -396.043403550142</t>
  </si>
  <si>
    <t>-804.248293802403 66.3967174181012 -485.129159157691</t>
  </si>
  <si>
    <t>-802.107593243585 65.7968505035967 -609.691917432098</t>
  </si>
  <si>
    <t>-773.72843523741 68.8775971852583 -687.731427363741</t>
  </si>
  <si>
    <t>-807.526633758136 93.4049907244219 -555.08651994936</t>
  </si>
  <si>
    <t>-827.089733154628 227.926715793402 -534.643297957218</t>
  </si>
  <si>
    <t>-820.437096355892 248.889235694768 -241.202514609825</t>
  </si>
  <si>
    <t>-582.717371603799 272.883604006508 -210.14631278044</t>
  </si>
  <si>
    <t>-798.572485505076 38.7166553558734 -554.669378247721</t>
  </si>
  <si>
    <t>-627.696100797794 31.3309447233935 -326.046082117014</t>
  </si>
  <si>
    <t>-803.344230308358 173.768837017494 -98.0819565832286</t>
  </si>
  <si>
    <t>-794.956838091056 183.984093577526 305.254085934891</t>
  </si>
  <si>
    <t>-859.362264181862 206.676949510988 748.064785189037</t>
  </si>
  <si>
    <t>-714.59464023347 225.637750191927 809.466149207836</t>
  </si>
  <si>
    <t>-698.265280865689 -3.45280894113853 307.412146387089</t>
  </si>
  <si>
    <t>-690.464924548162 -17.7922607157827 754.970658929383</t>
  </si>
  <si>
    <t>-585.443121535363 -110.756272262902 828.560421776028</t>
  </si>
  <si>
    <t>9763-20170724T105126.642973200.bin</t>
  </si>
  <si>
    <t>-775.189424635571 81.7013861034625 -94.5439055760659</t>
  </si>
  <si>
    <t>-792.590358142877 73.3462247799916 -208.7525158327</t>
  </si>
  <si>
    <t>-799.625892842288 69.5903483565241 -307.053425545301</t>
  </si>
  <si>
    <t>-803.356505105496 67.2973371938672 -396.04247626991</t>
  </si>
  <si>
    <t>-804.084765317127 66.1132429908332 -485.128441736779</t>
  </si>
  <si>
    <t>-801.92848850862 65.5531739420678 -609.691127482627</t>
  </si>
  <si>
    <t>-773.529120809797 68.6682169525675 -687.721917622754</t>
  </si>
  <si>
    <t>-807.376666307791 93.1402766171668 -555.078089240058</t>
  </si>
  <si>
    <t>-827.079731137426 227.629861944314 -534.53132479831</t>
  </si>
  <si>
    <t>-820.580309563056 248.219424811328 -241.060688200876</t>
  </si>
  <si>
    <t>-582.915146594428 272.470451583982 -209.786720099909</t>
  </si>
  <si>
    <t>-798.377984390103 38.4590610098198 -554.676483935125</t>
  </si>
  <si>
    <t>-627.370358987934 31.0096676991043 -326.077112023186</t>
  </si>
  <si>
    <t>-803.276509217618 173.506871285138 -98.082020833293</t>
  </si>
  <si>
    <t>-794.876990366374 183.787868050879 305.252115267844</t>
  </si>
  <si>
    <t>-859.344063784324 206.678388231411 748.049933448919</t>
  </si>
  <si>
    <t>-714.559268605931 225.469400974572 809.462963589492</t>
  </si>
  <si>
    <t>-698.241675775906 -3.60019609320284 307.427259909385</t>
  </si>
  <si>
    <t>-690.532058596916 -17.8857688283449 754.975745678214</t>
  </si>
  <si>
    <t>-585.204636773328 -110.512366918661 828.553909944786</t>
  </si>
  <si>
    <t>9763-20170724T105126.708149200.bin</t>
  </si>
  <si>
    <t>-774.954450413579 81.3257431231102 -94.5541254599901</t>
  </si>
  <si>
    <t>-792.381083798731 72.9081068153794 -208.754264579578</t>
  </si>
  <si>
    <t>-799.432074912053 69.1250021276874 -307.05299205547</t>
  </si>
  <si>
    <t>-803.172758221371 66.8159637538859 -396.041299613167</t>
  </si>
  <si>
    <t>-803.907305927541 65.6255091508674 -485.127134470307</t>
  </si>
  <si>
    <t>-801.755419684174 65.0657557231189 -609.689918866245</t>
  </si>
  <si>
    <t>-773.339297985762 68.2319995267783 -687.712403320809</t>
  </si>
  <si>
    <t>-807.269855915806 92.6413278172822 -555.077704975287</t>
  </si>
  <si>
    <t>-827.431284306651 227.039937156763 -534.374760721152</t>
  </si>
  <si>
    <t>-820.765307951901 247.021160616618 -240.865891756428</t>
  </si>
  <si>
    <t>-583.18640868979 271.984882678383 -209.498299707809</t>
  </si>
  <si>
    <t>-798.134994875402 37.9829315820634 -554.674328670562</t>
  </si>
  <si>
    <t>-627.016525134256 31.23207427138 -325.647355705338</t>
  </si>
  <si>
    <t>-803.240947021989 173.090822761691 -98.0810485774002</t>
  </si>
  <si>
    <t>-794.802177510993 183.476764402143 305.249581706456</t>
  </si>
  <si>
    <t>-859.280252254134 206.586405566875 748.022580636043</t>
  </si>
  <si>
    <t>-714.497455328674 225.430438878509 809.424035216396</t>
  </si>
  <si>
    <t>-698.170064140143 -3.80571657227233 307.453966699141</t>
  </si>
  <si>
    <t>-690.580503138367 -17.8867377875868 754.995300554248</t>
  </si>
  <si>
    <t>-585.196174262816 -110.451143390074 828.570462088743</t>
  </si>
  <si>
    <t>9763-20170724T105126.743752300.bin</t>
  </si>
  <si>
    <t>-774.767633298707 81.2304402978095 -94.5786699238947</t>
  </si>
  <si>
    <t>-792.194344298115 72.7959085160142 -208.777599698111</t>
  </si>
  <si>
    <t>-799.233185147143 68.9946431980532 -307.076430574465</t>
  </si>
  <si>
    <t>-802.957882678025 66.666564779111 -396.064954086539</t>
  </si>
  <si>
    <t>-803.671524574866 65.4546226289244 -485.150628342575</t>
  </si>
  <si>
    <t>-801.485245960781 64.8621038012388 -609.712592805919</t>
  </si>
  <si>
    <t>-773.05550247431 68.0494762646408 -687.729349072997</t>
  </si>
  <si>
    <t>-807.044076570835 92.4471535998762 -555.109688797811</t>
  </si>
  <si>
    <t>-827.42694631728 226.807916268953 -534.378778289802</t>
  </si>
  <si>
    <t>-820.778721262698 246.650796337658 -240.8599249064</t>
  </si>
  <si>
    <t>-583.246606416583 272.008531581223 -209.45254399234</t>
  </si>
  <si>
    <t>-797.850556009383 37.7985817863007 -554.688442146782</t>
  </si>
  <si>
    <t>-626.926977275003 31.7089280781684 -325.591871616835</t>
  </si>
  <si>
    <t>-803.132774881774 172.904276774245 -98.0915761382038</t>
  </si>
  <si>
    <t>-794.75996502544 183.348020469166 305.238909323984</t>
  </si>
  <si>
    <t>-859.215538386333 206.453657876741 748.006622673926</t>
  </si>
  <si>
    <t>-714.477060423258 225.69618962008 809.388805884328</t>
  </si>
  <si>
    <t>-698.041593028736 -3.86605022156027 307.447712676768</t>
  </si>
  <si>
    <t>-690.564865153478 -17.8246028322362 754.995589260224</t>
  </si>
  <si>
    <t>-585.234893620152 -110.44534462015 828.577284266231</t>
  </si>
  <si>
    <t>9763-20170724T105126.809928700.bin</t>
  </si>
  <si>
    <t>-774.472709385326 81.0978592803856 -94.639437320851</t>
  </si>
  <si>
    <t>-791.864662733215 72.6342197810452 -208.841497924895</t>
  </si>
  <si>
    <t>-798.872018150385 68.7950360737655 -307.141114214546</t>
  </si>
  <si>
    <t>-802.567443844692 66.4263371469287 -396.129668920937</t>
  </si>
  <si>
    <t>-803.25109650745 65.167450095792 -485.215122865389</t>
  </si>
  <si>
    <t>-801.02259907891 64.5029766509074 -609.775828538537</t>
  </si>
  <si>
    <t>-772.588712707181 67.7589054477692 -687.788294121729</t>
  </si>
  <si>
    <t>-806.658033089036 92.1098008041706 -555.191794537077</t>
  </si>
  <si>
    <t>-827.42356475964 226.413208156702 -534.494129898264</t>
  </si>
  <si>
    <t>-821.087995516604 246.485468698374 -240.984002062361</t>
  </si>
  <si>
    <t>-583.665754162948 272.440214115656 -209.236451943268</t>
  </si>
  <si>
    <t>-797.348608071269 37.4811677495641 -554.733909573674</t>
  </si>
  <si>
    <t>-625.990271813188 31.5626341091856 -325.689452518622</t>
  </si>
  <si>
    <t>-802.971577156325 172.838616407559 -98.135681292113</t>
  </si>
  <si>
    <t>-794.621130126699 183.336984409022 305.193763358195</t>
  </si>
  <si>
    <t>-859.289537434988 206.649140768658 747.941505282239</t>
  </si>
  <si>
    <t>-714.499855763968 225.508465840713 809.321995187611</t>
  </si>
  <si>
    <t>-697.890390547582 -4.01516272992058 307.420594680896</t>
  </si>
  <si>
    <t>-690.645587288612 -17.9367324777982 754.988157839389</t>
  </si>
  <si>
    <t>-584.897263071252 -110.093217411935 828.552892800751</t>
  </si>
  <si>
    <t>9763-20170724T105126.841517900.bin</t>
  </si>
  <si>
    <t>-774.346167660219 81.1222921330125 -94.6673033390525</t>
  </si>
  <si>
    <t>-791.705929427966 72.6518596305541 -208.87374403698</t>
  </si>
  <si>
    <t>-798.681147661741 68.8021511058505 -307.175325975914</t>
  </si>
  <si>
    <t>-802.345592719216 66.4208642053434 -396.164778103518</t>
  </si>
  <si>
    <t>-802.9962170962 65.146265311439 -485.250147309303</t>
  </si>
  <si>
    <t>-800.719544515859 64.4566030553963 -609.809966528699</t>
  </si>
  <si>
    <t>-772.274843569691 67.7448539939751 -687.817123453313</t>
  </si>
  <si>
    <t>-806.392204606801 92.0717319624582 -555.233875898801</t>
  </si>
  <si>
    <t>-827.268533879241 226.36157853599 -534.567807748092</t>
  </si>
  <si>
    <t>-821.369294718096 246.491191324544 -241.052752776761</t>
  </si>
  <si>
    <t>-584.023344621884 272.770089600449 -209.003286704943</t>
  </si>
  <si>
    <t>-797.050785909677 37.4486559475172 -554.760750077025</t>
  </si>
  <si>
    <t>-625.930840059123 31.374497364993 -325.993855449666</t>
  </si>
  <si>
    <t>-802.941218196833 172.838079984831 -98.1555449126469</t>
  </si>
  <si>
    <t>-794.531137560844 183.354837041733 305.172344523446</t>
  </si>
  <si>
    <t>-859.282804542388 206.664292452343 747.897396003339</t>
  </si>
  <si>
    <t>-714.489791489 225.468798341537 809.286984625759</t>
  </si>
  <si>
    <t>-697.713833692102 -3.96996880914185 307.397560693761</t>
  </si>
  <si>
    <t>-690.611909243729 -17.8400872234633 754.975045772748</t>
  </si>
  <si>
    <t>-585.111971550424 -110.267549204625 828.556485933357</t>
  </si>
  <si>
    <t>9763-20170724T105126.907134000.bin</t>
  </si>
  <si>
    <t>-774.018033937035 80.9959369298799 -94.7152712311131</t>
  </si>
  <si>
    <t>-791.318122666134 72.4988160059224 -208.92876586302</t>
  </si>
  <si>
    <t>-798.231260092819 68.6341775751216 -307.233985304715</t>
  </si>
  <si>
    <t>-801.83491517355 66.2418051751135 -396.225901869123</t>
  </si>
  <si>
    <t>-802.420409837221 64.9594318988625 -485.311402180208</t>
  </si>
  <si>
    <t>-800.047752928074 64.2617735612123 -609.86937070053</t>
  </si>
  <si>
    <t>-771.520094166073 67.5736164944374 -687.84518067927</t>
  </si>
  <si>
    <t>-805.800132599629 91.8737954762205 -555.300193115007</t>
  </si>
  <si>
    <t>-826.909425524585 226.141292084547 -534.64645418402</t>
  </si>
  <si>
    <t>-821.922841923079 246.481469585441 -241.12896316442</t>
  </si>
  <si>
    <t>-584.669076727587 272.914728536552 -208.529007181459</t>
  </si>
  <si>
    <t>-796.383589106274 37.2637601358263 -554.814982408972</t>
  </si>
  <si>
    <t>-625.30150845203 31.5591290688117 -325.952053855882</t>
  </si>
  <si>
    <t>-802.687577056139 172.632837507175 -98.2287351489307</t>
  </si>
  <si>
    <t>-794.342723300595 183.191500668925 305.099371915752</t>
  </si>
  <si>
    <t>-859.203202480025 206.545578208308 747.804647269441</t>
  </si>
  <si>
    <t>-714.454343229897 225.702077976904 809.189136868298</t>
  </si>
  <si>
    <t>-697.497701596412 -4.01124923575389 307.373727614756</t>
  </si>
  <si>
    <t>-690.601691705214 -17.7564324358932 754.952929564135</t>
  </si>
  <si>
    <t>-585.165133546237 -110.245396498262 828.547600622088</t>
  </si>
  <si>
    <t>9763-20170724T105126.942779000.bin</t>
  </si>
  <si>
    <t>-773.881451196727 81.0008217247694 -94.7433774395347</t>
  </si>
  <si>
    <t>-791.158448131237 72.5136587615652 -208.961098761929</t>
  </si>
  <si>
    <t>-798.050224140043 68.636044722221 -307.267358767086</t>
  </si>
  <si>
    <t>-801.634923492811 66.2236021292492 -396.259325552774</t>
  </si>
  <si>
    <t>-802.201761819083 64.9133360925989 -485.344796838716</t>
  </si>
  <si>
    <t>-799.804079658009 64.1692462996073 -609.902017584473</t>
  </si>
  <si>
    <t>-771.217433070457 67.4665414938552 -687.856930087282</t>
  </si>
  <si>
    <t>-805.600410753798 91.7960225473257 -555.344982159354</t>
  </si>
  <si>
    <t>-826.90894679215 226.023861619953 -534.665841146282</t>
  </si>
  <si>
    <t>-822.455915552066 246.45490119907 -241.145853280189</t>
  </si>
  <si>
    <t>-585.205858424939 272.626508752789 -208.308213487429</t>
  </si>
  <si>
    <t>-796.117848242114 37.1975629476622 -554.836214142873</t>
  </si>
  <si>
    <t>-625.148098366897 32.1392879752636 -325.465869526855</t>
  </si>
  <si>
    <t>-802.562340946528 172.657877967358 -98.2571201939461</t>
  </si>
  <si>
    <t>-794.306875134765 183.216981525763 305.072816653905</t>
  </si>
  <si>
    <t>-859.201149305464 206.578427637085 747.757757120402</t>
  </si>
  <si>
    <t>-714.439340786339 225.611854151328 809.150251063624</t>
  </si>
  <si>
    <t>-697.426405536017 -4.09061648048464 307.363582662229</t>
  </si>
  <si>
    <t>-690.643126818392 -17.8041630205569 754.94493576676</t>
  </si>
  <si>
    <t>-585.03016632508 -110.098126809919 828.531821031333</t>
  </si>
  <si>
    <t>9763-20170724T105127.012966400.bin</t>
  </si>
  <si>
    <t>-773.561193407447 81.0682137295598 -94.7730131376637</t>
  </si>
  <si>
    <t>-790.778768619905 72.5890479320226 -209.000397990938</t>
  </si>
  <si>
    <t>-797.610490765324 68.6970774112501 -307.310238670977</t>
  </si>
  <si>
    <t>-801.1374517187 66.2625852282331 -396.303929062671</t>
  </si>
  <si>
    <t>-801.643845225798 64.9224421698818 -485.389194721373</t>
  </si>
  <si>
    <t>-799.158994052068 64.1281661960709 -609.944448597224</t>
  </si>
  <si>
    <t>-770.439392389654 67.3502987727709 -687.853543893399</t>
  </si>
  <si>
    <t>-805.063279797229 91.764591196538 -555.403914226397</t>
  </si>
  <si>
    <t>-826.851708562358 225.903106249666 -534.692384047665</t>
  </si>
  <si>
    <t>-824.254144881457 245.947172620311 -241.123406174448</t>
  </si>
  <si>
    <t>-586.942153692445 271.310066525454 -208.099211483876</t>
  </si>
  <si>
    <t>-795.441685499912 37.1907133233492 -554.863950071734</t>
  </si>
  <si>
    <t>-624.714052341899 32.9608626081658 -324.277570495194</t>
  </si>
  <si>
    <t>-802.389036149988 172.661915921356 -98.266939903378</t>
  </si>
  <si>
    <t>-794.132173758476 183.167772777049 305.064309104601</t>
  </si>
  <si>
    <t>-859.219611946703 206.632181299824 747.713196423993</t>
  </si>
  <si>
    <t>-714.455578669855 225.695788852285 809.091321370602</t>
  </si>
  <si>
    <t>-697.141486895405 -4.12639919931917 307.331408194561</t>
  </si>
  <si>
    <t>-690.619918698881 -17.6882195952112 754.934757690662</t>
  </si>
  <si>
    <t>-585.092410113736 -110.076826268595 828.525671668897</t>
  </si>
  <si>
    <t>9763-20170724T105127.043067900.bin</t>
  </si>
  <si>
    <t>-773.361656228566 80.965891120271 -94.7922103704154</t>
  </si>
  <si>
    <t>-790.553897558865 72.4834671787621 -209.023149989939</t>
  </si>
  <si>
    <t>-797.368886374998 68.5971422046657 -307.334324100041</t>
  </si>
  <si>
    <t>-800.882171232704 66.1707007453026 -396.328933266673</t>
  </si>
  <si>
    <t>-801.376767444467 64.8416402447012 -485.41439297718</t>
  </si>
  <si>
    <t>-798.877273002431 64.0670094745012 -609.969416296312</t>
  </si>
  <si>
    <t>-770.073090057438 67.2171215202206 -687.85026323283</t>
  </si>
  <si>
    <t>-804.825985314126 91.6880963704232 -555.425977664847</t>
  </si>
  <si>
    <t>-826.862973087406 225.778523858832 -534.654127475865</t>
  </si>
  <si>
    <t>-825.341033210806 245.332485031262 -241.044641496343</t>
  </si>
  <si>
    <t>-588.031939072657 270.426531445882 -207.795811227588</t>
  </si>
  <si>
    <t>-795.128447659856 37.1277788592124 -554.89193054555</t>
  </si>
  <si>
    <t>-624.238383877299 32.800251368167 -323.799591121662</t>
  </si>
  <si>
    <t>-802.2778637782 172.528854048988 -98.2764343418007</t>
  </si>
  <si>
    <t>-794.122433082998 183.074018514486 305.055872091166</t>
  </si>
  <si>
    <t>-859.181665177817 206.53978051257 747.692087750365</t>
  </si>
  <si>
    <t>-714.412349192895 225.590464538282 809.061535099933</t>
  </si>
  <si>
    <t>-697.043593750431 -4.21070939915558 307.327846502509</t>
  </si>
  <si>
    <t>-690.677314159349 -17.7753050648821 754.932383032126</t>
  </si>
  <si>
    <t>-585.176507357148 -110.192078650075 828.526124192279</t>
  </si>
  <si>
    <t>9763-20170724T105127.110246400.bin</t>
  </si>
  <si>
    <t>-772.891261431754 80.8461312530683 -94.8613159556467</t>
  </si>
  <si>
    <t>-789.990463046588 72.3644040414538 -209.106153383061</t>
  </si>
  <si>
    <t>-796.77349665367 68.5380683505791 -307.421985637878</t>
  </si>
  <si>
    <t>-800.275787103099 66.1881454818868 -396.4189691452</t>
  </si>
  <si>
    <t>-800.776694164878 64.9595811278762 -485.505928584699</t>
  </si>
  <si>
    <t>-798.30358805099 64.3501791186961 -610.062475073804</t>
  </si>
  <si>
    <t>-769.220072993896 67.3507585928501 -687.845333799463</t>
  </si>
  <si>
    <t>-804.305165344441 91.887272895869 -555.482272019674</t>
  </si>
  <si>
    <t>-826.751965520227 225.869403173373 -534.468033957088</t>
  </si>
  <si>
    <t>-827.198780963482 244.217289376356 -240.777172833797</t>
  </si>
  <si>
    <t>-589.997507079812 269.167568539711 -206.660910023203</t>
  </si>
  <si>
    <t>-794.478428985462 37.3493941234021 -555.02036465885</t>
  </si>
  <si>
    <t>-623.885831860855 32.6616554209049 -323.907982193741</t>
  </si>
  <si>
    <t>-802.007939016374 172.382600892577 -98.3234097799638</t>
  </si>
  <si>
    <t>-794.249108031542 182.981781643811 305.015327115568</t>
  </si>
  <si>
    <t>-859.184578953851 206.551847583946 747.647848673285</t>
  </si>
  <si>
    <t>-714.403507616706 225.524666370168 809.013738514885</t>
  </si>
  <si>
    <t>-696.860602143332 -4.26300570148373 307.304523997488</t>
  </si>
  <si>
    <t>-690.691841297715 -17.74441093428 754.914046004615</t>
  </si>
  <si>
    <t>-585.294368585327 -110.273338810417 828.51481357142</t>
  </si>
  <si>
    <t>9763-20170724T105127.141830700.bin</t>
  </si>
  <si>
    <t>-772.723903747532 80.7805332312853 -94.8898154156822</t>
  </si>
  <si>
    <t>-789.779111129841 72.3014375275275 -209.141447050832</t>
  </si>
  <si>
    <t>-796.565128476458 68.5065468184562 -307.458309231261</t>
  </si>
  <si>
    <t>-800.086141909177 66.1972789175848 -396.455630988598</t>
  </si>
  <si>
    <t>-800.621522785401 65.0223623418585 -485.543062031668</t>
  </si>
  <si>
    <t>-798.212781907598 64.5027159290032 -610.101261108219</t>
  </si>
  <si>
    <t>-768.978110310848 67.4725979140983 -687.828661275676</t>
  </si>
  <si>
    <t>-804.229718464237 91.9926313630924 -555.498965382348</t>
  </si>
  <si>
    <t>-826.883422248198 225.923716772624 -534.34967179615</t>
  </si>
  <si>
    <t>-828.050954222979 243.717627204861 -240.626578880698</t>
  </si>
  <si>
    <t>-590.920928355119 268.692469279156 -206.03644030563</t>
  </si>
  <si>
    <t>-794.315889093317 37.4702140972158 -555.07982104998</t>
  </si>
  <si>
    <t>-623.725138583584 33.034577237918 -323.90779495834</t>
  </si>
  <si>
    <t>-801.926068178683 172.322771282755 -98.3562105350817</t>
  </si>
  <si>
    <t>-794.305887272613 182.968199314439 304.983920697797</t>
  </si>
  <si>
    <t>-859.193229646276 206.581878878737 747.624149945298</t>
  </si>
  <si>
    <t>-714.397996894432 225.439323571514 808.992434033226</t>
  </si>
  <si>
    <t>-696.803950785064 -4.30470379329245 307.285296317735</t>
  </si>
  <si>
    <t>-690.69704358707 -17.717979100752 754.905709477694</t>
  </si>
  <si>
    <t>-584.999049790864 -109.917752692764 828.488429434939</t>
  </si>
  <si>
    <t>9763-20170724T105127.215085900.bin</t>
  </si>
  <si>
    <t>-772.421325923492 80.6798032259751 -94.9163785483877</t>
  </si>
  <si>
    <t>-789.431052438725 72.2233929498634 -209.176506619414</t>
  </si>
  <si>
    <t>-796.209068610539 68.4681412942957 -307.495471325606</t>
  </si>
  <si>
    <t>-799.735227116889 66.2040424577997 -396.493593796686</t>
  </si>
  <si>
    <t>-800.288934695825 65.0859302886661 -485.581771180233</t>
  </si>
  <si>
    <t>-797.919803481656 64.6590900034255 -610.141096161606</t>
  </si>
  <si>
    <t>-768.381586885453 67.6472385601442 -687.752847009472</t>
  </si>
  <si>
    <t>-804.016007484002 92.0906578653551 -555.518111785195</t>
  </si>
  <si>
    <t>-827.254610331739 225.900847237049 -534.258191688925</t>
  </si>
  <si>
    <t>-829.660772403915 243.231993455292 -240.515098139091</t>
  </si>
  <si>
    <t>-592.636850641612 268.033706835154 -205.083139160239</t>
  </si>
  <si>
    <t>-793.908668889592 37.6032767615091 -555.139084643204</t>
  </si>
  <si>
    <t>-623.757375066249 34.4460718998841 -323.783756902306</t>
  </si>
  <si>
    <t>-801.736040110734 172.188810375698 -98.3691104360026</t>
  </si>
  <si>
    <t>-794.23924581729 182.843133513328 304.973099092768</t>
  </si>
  <si>
    <t>-859.196954727113 206.587075502157 747.599060292296</t>
  </si>
  <si>
    <t>-714.396759456345 225.430551179317 808.959631307251</t>
  </si>
  <si>
    <t>-696.766306675515 -4.39271667464186 307.275194314128</t>
  </si>
  <si>
    <t>-690.669970403563 -17.593619254882 754.889990547702</t>
  </si>
  <si>
    <t>-585.008886936291 -109.833795003572 828.475330183664</t>
  </si>
  <si>
    <t>9763-20170724T105127.242952900.bin</t>
  </si>
  <si>
    <t>-772.297501264906 80.5446255998079 -94.9341441236152</t>
  </si>
  <si>
    <t>-789.282545094984 72.0907791535349 -209.198251786578</t>
  </si>
  <si>
    <t>-796.044759446715 68.347767849466 -307.518678367328</t>
  </si>
  <si>
    <t>-799.558957807305 66.0990107153357 -396.517715461523</t>
  </si>
  <si>
    <t>-800.102971400944 65.0015190250849 -485.606124062549</t>
  </si>
  <si>
    <t>-797.722924045979 64.6096683113331 -610.165340660847</t>
  </si>
  <si>
    <t>-768.091668833639 67.6486711965074 -687.739675837504</t>
  </si>
  <si>
    <t>-803.868227091587 92.017500213296 -555.53615139788</t>
  </si>
  <si>
    <t>-827.356947617103 225.783448672921 -534.268366450044</t>
  </si>
  <si>
    <t>-830.46753205748 242.840019623236 -240.515703894187</t>
  </si>
  <si>
    <t>-593.464304421786 267.579515410206 -204.902996269291</t>
  </si>
  <si>
    <t>-793.672225007094 37.5466280475773 -555.169911165759</t>
  </si>
  <si>
    <t>-623.539884240512 34.6862275460473 -323.903394727397</t>
  </si>
  <si>
    <t>-801.608898511222 171.99586833564 -98.3690262095266</t>
  </si>
  <si>
    <t>-794.163788883651 182.673066767786 304.973514514513</t>
  </si>
  <si>
    <t>-859.147440078259 206.471898713863 747.581883400307</t>
  </si>
  <si>
    <t>-714.382358112574 225.616602058833 808.931933025581</t>
  </si>
  <si>
    <t>-696.775986438848 -4.59159998520818 307.269085972327</t>
  </si>
  <si>
    <t>-690.816655534455 -17.8791163882254 754.893265752473</t>
  </si>
  <si>
    <t>-585.013192394826 -109.953343117125 828.481566225038</t>
  </si>
  <si>
    <t>9763-20170724T105127.314142100.bin</t>
  </si>
  <si>
    <t>-772.051120706517 80.2033751296901 -94.9726652969866</t>
  </si>
  <si>
    <t>-788.980224439543 71.7754124261276 -209.246934756772</t>
  </si>
  <si>
    <t>-795.734921271918 68.0671866720613 -307.569206297276</t>
  </si>
  <si>
    <t>-799.258533788028 65.8553199175226 -396.568815013103</t>
  </si>
  <si>
    <t>-799.828653499298 64.8019265106038 -485.657510119213</t>
  </si>
  <si>
    <t>-797.502476572408 64.4797603757183 -610.218133860586</t>
  </si>
  <si>
    <t>-767.745684351526 67.6405531104595 -687.739349096881</t>
  </si>
  <si>
    <t>-803.689500916675 91.8447624354556 -555.571901623125</t>
  </si>
  <si>
    <t>-827.619074748035 225.528090019613 -534.247230695476</t>
  </si>
  <si>
    <t>-832.203238375391 242.033718897006 -240.482410178069</t>
  </si>
  <si>
    <t>-595.266098523511 267.099605452393 -204.657512194621</t>
  </si>
  <si>
    <t>-793.362821795503 37.398264950534 -555.238313371183</t>
  </si>
  <si>
    <t>-623.376020021083 34.6419965308617 -324.238540807784</t>
  </si>
  <si>
    <t>-801.337634232566 171.664987739427 -98.3729931348755</t>
  </si>
  <si>
    <t>-794.096041962802 182.404666142279 304.971651553278</t>
  </si>
  <si>
    <t>-859.08812398109 206.295513953018 747.539703838748</t>
  </si>
  <si>
    <t>-714.365814981532 225.798269294129 808.878020878775</t>
  </si>
  <si>
    <t>-696.727163222686 -4.96627082144892 307.239261256486</t>
  </si>
  <si>
    <t>-690.97647876408 -18.219123166909 754.86625818149</t>
  </si>
  <si>
    <t>-584.921262827175 -109.967612142515 828.499108479028</t>
  </si>
  <si>
    <t>9763-20170724T105127.340716700.bin</t>
  </si>
  <si>
    <t>-771.93533284571 80.0965127783261 -94.9898638356399</t>
  </si>
  <si>
    <t>-788.838075742668 71.6583280279517 -209.267248488859</t>
  </si>
  <si>
    <t>-795.602168777681 67.9651627973863 -307.589437182197</t>
  </si>
  <si>
    <t>-799.146855503202 65.7766506178598 -396.588879649605</t>
  </si>
  <si>
    <t>-799.750374606183 64.7571654811038 -485.677846379647</t>
  </si>
  <si>
    <t>-797.483766335922 64.4943458533639 -610.239425778719</t>
  </si>
  <si>
    <t>-767.673239460696 67.7236591386593 -687.737433701099</t>
  </si>
  <si>
    <t>-803.677632062151 91.8269538706745 -555.577990661915</t>
  </si>
  <si>
    <t>-827.817140200655 225.46120146771 -534.195058226571</t>
  </si>
  <si>
    <t>-833.057949393073 241.700310230734 -240.426200221945</t>
  </si>
  <si>
    <t>-596.140608097779 266.915188487602 -204.576023796324</t>
  </si>
  <si>
    <t>-793.284722978576 37.3929806622714 -555.274024430427</t>
  </si>
  <si>
    <t>-623.150643283913 34.6647268891954 -324.415703108503</t>
  </si>
  <si>
    <t>-801.24527848304 171.578564136114 -98.393048562534</t>
  </si>
  <si>
    <t>-794.111073822746 182.347226266918 304.952686059662</t>
  </si>
  <si>
    <t>-859.10550569105 206.335373801229 747.511320464931</t>
  </si>
  <si>
    <t>-714.39272334755 225.900768461723 808.852167751283</t>
  </si>
  <si>
    <t>-696.692877511399 -5.0599596743657 307.237967847758</t>
  </si>
  <si>
    <t>-690.99899120792 -18.2610223941692 754.867067316451</t>
  </si>
  <si>
    <t>-584.811711695691 -109.855324064743 828.501660878257</t>
  </si>
  <si>
    <t>9763-20170724T105127.408948200.bin</t>
  </si>
  <si>
    <t>-771.712812375054 80.0441422160611 -95.0318543983058</t>
  </si>
  <si>
    <t>-788.604619282858 71.6028574867698 -209.310584044627</t>
  </si>
  <si>
    <t>-795.40898058123 67.9333027996768 -307.630964601192</t>
  </si>
  <si>
    <t>-799.009708906423 65.7775873312228 -396.628882932765</t>
  </si>
  <si>
    <t>-799.689404829368 64.8046632120781 -485.717790686927</t>
  </si>
  <si>
    <t>-797.55040029703 64.6219769508109 -610.281754773663</t>
  </si>
  <si>
    <t>-767.660830231644 67.9729653779179 -687.744197788071</t>
  </si>
  <si>
    <t>-803.770690119474 91.9034963083795 -555.597867074117</t>
  </si>
  <si>
    <t>-828.363854645651 225.431024266017 -534.065010570846</t>
  </si>
  <si>
    <t>-834.57094719743 241.371452717698 -240.298715458039</t>
  </si>
  <si>
    <t>-597.701034220688 266.756759259672 -204.256041170203</t>
  </si>
  <si>
    <t>-793.212705955977 37.5010775637093 -555.336849274675</t>
  </si>
  <si>
    <t>-622.956543608393 35.5718285187652 -324.029824750215</t>
  </si>
  <si>
    <t>-801.198413646707 171.531777949919 -98.4407059094243</t>
  </si>
  <si>
    <t>-794.137708940461 182.296694231728 304.906405525678</t>
  </si>
  <si>
    <t>-859.142804998316 206.428072780624 747.453134208252</t>
  </si>
  <si>
    <t>-714.403422148896 225.733613919263 808.813912253782</t>
  </si>
  <si>
    <t>-696.558194212924 -4.98814471739797 307.195709438227</t>
  </si>
  <si>
    <t>-690.930286425409 -18.1141075446283 754.841912916027</t>
  </si>
  <si>
    <t>-585.131246826307 -110.124990801739 828.515881407136</t>
  </si>
  <si>
    <t>9763-20170724T105127.439529600.bin</t>
  </si>
  <si>
    <t>-771.601369287151 79.9933465945844 -95.0478872998156</t>
  </si>
  <si>
    <t>-788.483904787834 71.5444802136433 -209.327427823617</t>
  </si>
  <si>
    <t>-795.293053243833 67.8821598995078 -307.647695530874</t>
  </si>
  <si>
    <t>-798.903001443137 65.7384174559013 -396.645583985141</t>
  </si>
  <si>
    <t>-799.597041075552 64.7838695062417 -485.734561318535</t>
  </si>
  <si>
    <t>-797.48333976334 64.6339028298555 -610.299050911082</t>
  </si>
  <si>
    <t>-767.560527506972 68.0402772006996 -687.746169133962</t>
  </si>
  <si>
    <t>-803.73224900788 91.8933577740804 -555.607271116684</t>
  </si>
  <si>
    <t>-828.563262308599 225.374250287424 -534.029043852659</t>
  </si>
  <si>
    <t>-835.399736033755 241.077797731052 -240.263930747677</t>
  </si>
  <si>
    <t>-598.551753075449 266.540332189627 -204.132083598019</t>
  </si>
  <si>
    <t>-793.094739150421 37.506459567084 -555.36138478632</t>
  </si>
  <si>
    <t>-623.282436511748 36.2568481537855 -323.868749346509</t>
  </si>
  <si>
    <t>-801.147006076174 171.465911607936 -98.4476753289746</t>
  </si>
  <si>
    <t>-794.092438475795 182.221023198303 304.899828815397</t>
  </si>
  <si>
    <t>-859.138947252431 206.410333661858 747.438289632691</t>
  </si>
  <si>
    <t>-714.411312708967 225.80624662303 808.797821832773</t>
  </si>
  <si>
    <t>-696.463874744179 -5.01578877012503 307.173600639602</t>
  </si>
  <si>
    <t>-690.900023822503 -18.0363255539551 754.835436290977</t>
  </si>
  <si>
    <t>-585.098128497879 -110.043430501357 828.509943936951</t>
  </si>
  <si>
    <t>9763-20170724T105127.511251600.bin</t>
  </si>
  <si>
    <t>-771.398370720876 79.8266793435571 -95.0733931909296</t>
  </si>
  <si>
    <t>-788.287410931622 71.3688172258155 -209.351265006658</t>
  </si>
  <si>
    <t>-795.111813983923 67.7401772532003 -307.671821891954</t>
  </si>
  <si>
    <t>-798.73920309626 65.6437088897596 -396.670132800928</t>
  </si>
  <si>
    <t>-799.454150351213 64.7543320178668 -485.759603996489</t>
  </si>
  <si>
    <t>-797.372934529942 64.7152451797585 -610.324810018844</t>
  </si>
  <si>
    <t>-767.438369558241 68.2570964028862 -687.761106641733</t>
  </si>
  <si>
    <t>-803.684220716741 91.9109609271504 -555.6084016268</t>
  </si>
  <si>
    <t>-828.996464084064 225.277809284891 -533.942886559504</t>
  </si>
  <si>
    <t>-837.343408954704 240.374294778766 -240.185193357368</t>
  </si>
  <si>
    <t>-600.566917227067 266.203062959685 -203.844627679247</t>
  </si>
  <si>
    <t>-792.893284591505 37.5539293338659 -555.411124543906</t>
  </si>
  <si>
    <t>-622.897691826222 36.3019940639422 -324.137798745154</t>
  </si>
  <si>
    <t>-801.031061302789 171.275015756735 -98.4585515668189</t>
  </si>
  <si>
    <t>-794.046457559466 182.117760751579 304.887852880088</t>
  </si>
  <si>
    <t>-859.156390055077 206.400900431559 747.406911769083</t>
  </si>
  <si>
    <t>-714.403433458813 225.608322374927 808.766166838893</t>
  </si>
  <si>
    <t>-696.211899848493 -5.13254247733448 307.147119792901</t>
  </si>
  <si>
    <t>-690.848980399525 -17.9244648640822 754.814358757585</t>
  </si>
  <si>
    <t>-584.942825123138 -109.807897244179 828.493297849485</t>
  </si>
  <si>
    <t>9763-20170724T105127.543863800.bin</t>
  </si>
  <si>
    <t>-771.348572450519 79.6687903568322 -95.0808089778014</t>
  </si>
  <si>
    <t>-788.257736274589 71.1989386653288 -209.354996947136</t>
  </si>
  <si>
    <t>-795.113388539209 67.5933628865398 -307.674047506065</t>
  </si>
  <si>
    <t>-798.774110618494 65.5311878704367 -396.671786492488</t>
  </si>
  <si>
    <t>-799.527357977592 64.6903274766555 -485.761470325211</t>
  </si>
  <si>
    <t>-797.504909043175 64.7341974971384 -610.327503314912</t>
  </si>
  <si>
    <t>-767.620117871935 68.3639569216407 -687.779112852367</t>
  </si>
  <si>
    <t>-803.826214135672 91.8863226688015 -555.590742615684</t>
  </si>
  <si>
    <t>-829.317170806261 225.211368483205 -533.854428167481</t>
  </si>
  <si>
    <t>-838.26920451963 239.961536945284 -240.096949500725</t>
  </si>
  <si>
    <t>-601.548999738613 266.00814287338 -203.546162251384</t>
  </si>
  <si>
    <t>-792.963444789241 37.543536566101 -555.433588580985</t>
  </si>
  <si>
    <t>-622.881257890104 36.2101921107446 -324.456613079292</t>
  </si>
  <si>
    <t>-801.069985243701 171.136808435403 -98.4583382250097</t>
  </si>
  <si>
    <t>-793.991984596631 181.959093086886 304.88695163028</t>
  </si>
  <si>
    <t>-859.09345721734 206.234682583051 747.399011264081</t>
  </si>
  <si>
    <t>-714.380801909707 225.771742920437 808.748794284637</t>
  </si>
  <si>
    <t>-696.143901575534 -5.24746891416248 307.135086894352</t>
  </si>
  <si>
    <t>-690.869362883482 -17.9658021919238 754.803396175938</t>
  </si>
  <si>
    <t>-584.735191364265 -109.593693242624 828.472476463767</t>
  </si>
  <si>
    <t>9763-20170724T105127.613052600.bin</t>
  </si>
  <si>
    <t>-771.298355717567 79.6496964364073 -95.1268158544052</t>
  </si>
  <si>
    <t>-788.214730045979 71.1760683877669 -209.399560051199</t>
  </si>
  <si>
    <t>-795.088337021974 67.63596053524 -307.719825806853</t>
  </si>
  <si>
    <t>-798.769033734499 65.6604481645584 -396.718615912994</t>
  </si>
  <si>
    <t>-799.546447884725 64.9362575616731 -485.809081653565</t>
  </si>
  <si>
    <t>-797.56141665335 65.1754604069472 -610.375521152249</t>
  </si>
  <si>
    <t>-767.668237737914 68.9668110498587 -687.816218112784</t>
  </si>
  <si>
    <t>-803.963606422397 92.2220259437222 -555.596091944776</t>
  </si>
  <si>
    <t>-829.974403115582 225.425597557797 -533.724774703839</t>
  </si>
  <si>
    <t>-839.620243497883 239.5815722235 -239.959947687917</t>
  </si>
  <si>
    <t>-603.038931401646 266.102766978875 -202.854592700107</t>
  </si>
  <si>
    <t>-792.906170217784 37.9183039682302 -555.52403436793</t>
  </si>
  <si>
    <t>-622.9434863118 37.1360535419883 -324.707963374902</t>
  </si>
  <si>
    <t>-801.22468426058 171.059800496535 -98.4718846116727</t>
  </si>
  <si>
    <t>-794.05013166595 181.913796849205 304.870845681636</t>
  </si>
  <si>
    <t>-859.138073311201 206.298078496237 747.377106381509</t>
  </si>
  <si>
    <t>-714.413396750857 225.727809344244 808.732774024933</t>
  </si>
  <si>
    <t>-695.936247102395 -5.09902162243793 307.093356263596</t>
  </si>
  <si>
    <t>-690.775555938747 -17.7070284550848 754.782438242985</t>
  </si>
  <si>
    <t>-585.086391397532 -109.836199271876 828.466390592914</t>
  </si>
  <si>
    <t>9763-20170724T105127.645144300.bin</t>
  </si>
  <si>
    <t>-771.376967307843 79.5751078482178 -95.1183993919927</t>
  </si>
  <si>
    <t>-788.306502039751 71.0857061920212 -209.38803831165</t>
  </si>
  <si>
    <t>-795.177476733423 67.5768385402923 -307.709647412648</t>
  </si>
  <si>
    <t>-798.849734457656 65.6474484890196 -396.709736164396</t>
  </si>
  <si>
    <t>-799.612248503046 64.9881377848822 -485.800962420319</t>
  </si>
  <si>
    <t>-797.600235614417 65.3382972991462 -610.366777081573</t>
  </si>
  <si>
    <t>-767.647440552765 69.2113123993779 -687.78027241099</t>
  </si>
  <si>
    <t>-804.079471337097 92.3226412894212 -555.565542645309</t>
  </si>
  <si>
    <t>-830.428448361717 225.445095268994 -533.587692784991</t>
  </si>
  <si>
    <t>-840.155664240009 239.332767207495 -239.812739358905</t>
  </si>
  <si>
    <t>-603.606819326409 266.000321469565 -202.606579766441</t>
  </si>
  <si>
    <t>-792.891845959527 38.0457280630083 -555.537420089075</t>
  </si>
  <si>
    <t>-623.255377977065 37.9183957983653 -324.566980612523</t>
  </si>
  <si>
    <t>-801.422829739569 171.03613418978 -98.4588239278376</t>
  </si>
  <si>
    <t>-794.152536703424 181.89175637018 304.882231803241</t>
  </si>
  <si>
    <t>-859.163954880074 206.325476627841 747.390506918725</t>
  </si>
  <si>
    <t>-714.42629571244 225.676792773151 808.740541050043</t>
  </si>
  <si>
    <t>-695.964676467473 -5.25952636317538 307.093197412899</t>
  </si>
  <si>
    <t>-690.88649188586 -17.9108752351094 754.792466963406</t>
  </si>
  <si>
    <t>-584.687867276268 -109.487133115674 828.432794666105</t>
  </si>
  <si>
    <t>9763-20170724T105127.710318500.bin</t>
  </si>
  <si>
    <t>-771.383422487284 79.4976977338429 -95.1360163374811</t>
  </si>
  <si>
    <t>-788.357148642099 70.9577937458303 -209.395364084617</t>
  </si>
  <si>
    <t>-795.236509588078 67.4777401142046 -307.717383562978</t>
  </si>
  <si>
    <t>-798.902975676524 65.6011150708125 -396.718962799114</t>
  </si>
  <si>
    <t>-799.646283461236 65.0224578012148 -485.810752018013</t>
  </si>
  <si>
    <t>-797.592351821966 65.5144901169233 -610.375385794545</t>
  </si>
  <si>
    <t>-767.54444182438 69.5710696873807 -687.742681817179</t>
  </si>
  <si>
    <t>-804.207071077863 92.4120550638374 -555.547627593177</t>
  </si>
  <si>
    <t>-831.142304199267 225.374253169697 -533.344025741788</t>
  </si>
  <si>
    <t>-841.171679018925 238.687056987512 -239.552666471407</t>
  </si>
  <si>
    <t>-604.677114929762 265.759830215178 -202.292800976194</t>
  </si>
  <si>
    <t>-792.7851195575 38.1837286422087 -555.573597388668</t>
  </si>
  <si>
    <t>-622.825914022377 38.2289087041877 -324.744737525017</t>
  </si>
  <si>
    <t>-801.720341464587 170.825624937034 -98.4576454212961</t>
  </si>
  <si>
    <t>-794.279675279269 181.809137190684 304.876778593801</t>
  </si>
  <si>
    <t>-859.134769712212 206.243691463058 747.384000076951</t>
  </si>
  <si>
    <t>-714.406738110694 225.62007144725 808.748691584207</t>
  </si>
  <si>
    <t>-695.657743807439 -5.23473792679215 307.05462088585</t>
  </si>
  <si>
    <t>-690.816644954181 -17.7213518507892 754.767759749591</t>
  </si>
  <si>
    <t>-584.837571959531 -109.549663834533 828.410660205827</t>
  </si>
  <si>
    <t>9763-20170724T105127.741902400.bin</t>
  </si>
  <si>
    <t>-771.341044814617 79.3187056905574 -95.1435129262062</t>
  </si>
  <si>
    <t>-788.327018379051 70.7437086950247 -209.398277129441</t>
  </si>
  <si>
    <t>-795.219412704132 67.2705057199805 -307.719641885387</t>
  </si>
  <si>
    <t>-798.897656372147 65.4133492513511 -396.721284854561</t>
  </si>
  <si>
    <t>-799.652212475975 64.8678537711562 -485.813124038277</t>
  </si>
  <si>
    <t>-797.613366872568 65.4205593006748 -610.377734389071</t>
  </si>
  <si>
    <t>-767.518016514999 69.5849795280676 -687.720852513874</t>
  </si>
  <si>
    <t>-804.272713129111 92.2806276999663 -555.536993856511</t>
  </si>
  <si>
    <t>-831.433302963505 225.182707647817 -533.246831373456</t>
  </si>
  <si>
    <t>-841.608381111911 238.277338149594 -239.450675108744</t>
  </si>
  <si>
    <t>-605.165701272141 265.504325242285 -201.975278887026</t>
  </si>
  <si>
    <t>-792.748501675175 38.0739490541209 -555.588935765059</t>
  </si>
  <si>
    <t>-622.493181831656 37.9986833512 -325.014899369516</t>
  </si>
  <si>
    <t>-801.865989137618 170.652417092377 -98.4554142519985</t>
  </si>
  <si>
    <t>-794.294258535019 181.693710920771 304.87497437019</t>
  </si>
  <si>
    <t>-859.11915952547 206.208209324571 747.37818121238</t>
  </si>
  <si>
    <t>-714.405018516114 225.661581851325 808.751447752448</t>
  </si>
  <si>
    <t>-695.499830392059 -5.25894858011247 307.037048285094</t>
  </si>
  <si>
    <t>-690.803233056517 -17.6726887083521 754.756672271739</t>
  </si>
  <si>
    <t>-584.79620590755 -109.473914365792 828.393320455686</t>
  </si>
  <si>
    <t>9763-20170724T105127.810589500.bin</t>
  </si>
  <si>
    <t>-771.355866451149 78.9041084813059 -95.1751484697375</t>
  </si>
  <si>
    <t>-788.338939117004 70.2792026981972 -209.426718574225</t>
  </si>
  <si>
    <t>-795.259151554583 66.8290806297944 -307.746819484095</t>
  </si>
  <si>
    <t>-798.972887038249 65.0176041976638 -396.747848707082</t>
  </si>
  <si>
    <t>-799.773548763596 64.5441166838173 -485.839834719418</t>
  </si>
  <si>
    <t>-797.809441568589 65.2255755159251 -610.404976677134</t>
  </si>
  <si>
    <t>-767.623102343857 69.6230039103261 -687.699781639691</t>
  </si>
  <si>
    <t>-804.555991854087 92.0030603138398 -555.534614558695</t>
  </si>
  <si>
    <t>-832.310684747806 224.752062847602 -533.09753016296</t>
  </si>
  <si>
    <t>-842.532588422415 237.739799347799 -239.298227810238</t>
  </si>
  <si>
    <t>-606.163605448905 265.240168169754 -201.558498282341</t>
  </si>
  <si>
    <t>-792.791637912169 37.8481774574786 -555.64545109777</t>
  </si>
  <si>
    <t>-622.36289757108 38.2694932489471 -325.163638876765</t>
  </si>
  <si>
    <t>-802.192479207233 170.312444257992 -98.4699171168703</t>
  </si>
  <si>
    <t>-794.488647016997 181.418161895247 304.856298810093</t>
  </si>
  <si>
    <t>-859.144083042679 206.231934775096 747.39096593477</t>
  </si>
  <si>
    <t>-714.451888628536 225.810089189762 808.776255973981</t>
  </si>
  <si>
    <t>-695.337045593702 -5.40685547394992 307.011267769435</t>
  </si>
  <si>
    <t>-690.898920054731 -17.8279824251831 754.740699363326</t>
  </si>
  <si>
    <t>-584.557706466111 -109.264056346335 828.349889121884</t>
  </si>
  <si>
    <t>9763-20170724T105127.842679100.bin</t>
  </si>
  <si>
    <t>-771.400252591753 78.8365790953153 -95.1819678216406</t>
  </si>
  <si>
    <t>-788.362396293036 70.2045911720008 -209.436051243916</t>
  </si>
  <si>
    <t>-795.279384102216 66.7806206646628 -307.757391972246</t>
  </si>
  <si>
    <t>-798.996038783436 65.0058770158612 -396.758849376051</t>
  </si>
  <si>
    <t>-799.805467099383 64.5840717590306 -485.851179834116</t>
  </si>
  <si>
    <t>-797.860226342145 65.354206832041 -610.415994617049</t>
  </si>
  <si>
    <t>-767.631071544805 69.8638387860026 -687.687666218747</t>
  </si>
  <si>
    <t>-804.676791934072 92.0756699144008 -555.527034456274</t>
  </si>
  <si>
    <t>-832.854566941644 224.735030786897 -533.027160237099</t>
  </si>
  <si>
    <t>-842.927387932679 237.598735722339 -239.217088115955</t>
  </si>
  <si>
    <t>-606.56549941038 265.257865301859 -201.548796933972</t>
  </si>
  <si>
    <t>-792.755497876461 37.955149113621 -555.675472102411</t>
  </si>
  <si>
    <t>-622.429571363385 38.8913193164669 -325.097926790381</t>
  </si>
  <si>
    <t>-802.429376024322 170.282115840963 -98.4612655145952</t>
  </si>
  <si>
    <t>-794.608818094115 181.378625602969 304.862868136952</t>
  </si>
  <si>
    <t>-859.164345888302 206.232254903734 747.408641698562</t>
  </si>
  <si>
    <t>-714.445509524895 225.615867961006 808.79270237669</t>
  </si>
  <si>
    <t>-695.347999506183 -5.37865180643826 307.001737335038</t>
  </si>
  <si>
    <t>-690.869069939459 -17.7380500776226 754.732733995649</t>
  </si>
  <si>
    <t>-584.555837639325 -109.209328229834 828.338657930302</t>
  </si>
  <si>
    <t>9763-20170724T105127.909585000.bin</t>
  </si>
  <si>
    <t>-771.465076325962 78.9123838057253 -95.1882121530534</t>
  </si>
  <si>
    <t>-788.386136141403 70.299375748541 -209.449875912471</t>
  </si>
  <si>
    <t>-795.313230513063 66.9200892633035 -307.772076509188</t>
  </si>
  <si>
    <t>-799.058009244388 65.1984927975818 -396.773482085487</t>
  </si>
  <si>
    <t>-799.915158377489 64.8459259078588 -485.865468777724</t>
  </si>
  <si>
    <t>-798.057527426899 65.7317419486455 -610.431023733745</t>
  </si>
  <si>
    <t>-767.794212067951 70.4394401711659 -687.677323666988</t>
  </si>
  <si>
    <t>-804.975823961444 92.3709152358467 -555.514629538663</t>
  </si>
  <si>
    <t>-833.888157327643 224.840159849622 -532.862387893943</t>
  </si>
  <si>
    <t>-844.145705536344 237.371015617445 -239.044455326878</t>
  </si>
  <si>
    <t>-607.814084197139 265.645742699087 -201.644271438487</t>
  </si>
  <si>
    <t>-792.774336019826 38.3130319942029 -555.717028199348</t>
  </si>
  <si>
    <t>-622.383234650803 39.8850915138366 -325.238534190466</t>
  </si>
  <si>
    <t>-802.655632552795 170.260517600746 -98.4357269275378</t>
  </si>
  <si>
    <t>-794.956818598137 181.466566254236 304.887726322886</t>
  </si>
  <si>
    <t>-859.260667341284 206.350426748171 747.456971769845</t>
  </si>
  <si>
    <t>-714.482423504731 225.287321782245 808.840377663779</t>
  </si>
  <si>
    <t>-695.361527199014 -5.29150538854833 306.970881292821</t>
  </si>
  <si>
    <t>-690.839078821442 -17.6307919577766 754.712825166424</t>
  </si>
  <si>
    <t>-584.574492452654 -109.16161067103 828.31458683012</t>
  </si>
  <si>
    <t>9763-20170724T105127.943678500.bin</t>
  </si>
  <si>
    <t>-771.474191798343 78.867547766328 -95.2004222884117</t>
  </si>
  <si>
    <t>-788.35370897226 70.2669829232063 -209.469156297455</t>
  </si>
  <si>
    <t>-795.286678303686 66.9134349617284 -307.791779942671</t>
  </si>
  <si>
    <t>-799.053425573066 65.2220396317887 -396.79278861667</t>
  </si>
  <si>
    <t>-799.949741457714 64.9081425413399 -485.884717284101</t>
  </si>
  <si>
    <t>-798.164843639946 65.8577092456364 -610.450753232397</t>
  </si>
  <si>
    <t>-767.875881498213 70.6642894106062 -687.680936449958</t>
  </si>
  <si>
    <t>-805.102587818691 92.4570856609921 -555.517557495239</t>
  </si>
  <si>
    <t>-834.296124228784 224.860732299774 -532.806726600258</t>
  </si>
  <si>
    <t>-844.797083512778 237.21902395349 -238.990004628003</t>
  </si>
  <si>
    <t>-608.540468905885 265.826759467654 -201.370515956608</t>
  </si>
  <si>
    <t>-792.798030057903 38.4226553794622 -555.753087144143</t>
  </si>
  <si>
    <t>-622.19865371657 40.2860119165525 -325.24414149685</t>
  </si>
  <si>
    <t>-802.681098123293 170.117321218801 -98.4251101185949</t>
  </si>
  <si>
    <t>-795.090059591538 181.365521425314 304.899308433105</t>
  </si>
  <si>
    <t>-859.205473938482 206.186906811515 747.478286226835</t>
  </si>
  <si>
    <t>-714.472687223505 225.488777926853 808.855317537784</t>
  </si>
  <si>
    <t>-695.351914850949 -5.32498349108573 306.966903075601</t>
  </si>
  <si>
    <t>-690.827715131148 -17.580375797919 754.708799515953</t>
  </si>
  <si>
    <t>-584.41328397899 -108.950214420302 828.294291663199</t>
  </si>
  <si>
    <t>9763-20170724T105128.010866600.bin</t>
  </si>
  <si>
    <t>-771.466745434119 78.7315477589148 -95.1740869117817</t>
  </si>
  <si>
    <t>-788.274706073354 70.1429897249252 -209.45422816798</t>
  </si>
  <si>
    <t>-795.213455853321 66.8186014568914 -307.777483863612</t>
  </si>
  <si>
    <t>-799.012281388726 65.1617436355291 -396.777848236777</t>
  </si>
  <si>
    <t>-799.968029200387 64.8922535683419 -485.869028641063</t>
  </si>
  <si>
    <t>-798.29467153524 65.9153409423493 -610.436260792936</t>
  </si>
  <si>
    <t>-768.001017444533 70.8782621948351 -687.654663220255</t>
  </si>
  <si>
    <t>-805.254357675665 92.4659577416721 -555.482169939775</t>
  </si>
  <si>
    <t>-834.874201039599 224.763390884969 -532.733445663469</t>
  </si>
  <si>
    <t>-846.243953117763 236.854655932877 -238.938127620977</t>
  </si>
  <si>
    <t>-610.135817297806 265.992138249485 -200.796727696988</t>
  </si>
  <si>
    <t>-792.807608035853 38.4643353459219 -555.758535030997</t>
  </si>
  <si>
    <t>-622.152312628532 40.6186643649467 -325.502031483484</t>
  </si>
  <si>
    <t>-802.851589667095 169.937745547724 -98.3930817272272</t>
  </si>
  <si>
    <t>-795.171144910654 181.261417855211 304.92746993921</t>
  </si>
  <si>
    <t>-859.22045280422 206.140059776983 747.522403581441</t>
  </si>
  <si>
    <t>-714.509545219391 225.622445044389 808.894544115951</t>
  </si>
  <si>
    <t>-695.303722640032 -5.42901345703717 306.957373322772</t>
  </si>
  <si>
    <t>-690.919293352923 -17.7204514501027 754.707584175034</t>
  </si>
  <si>
    <t>-584.445697362741 -109.028236611231 828.284427394289</t>
  </si>
  <si>
    <t>9763-20170724T105128.039945500.bin</t>
  </si>
  <si>
    <t>-771.408520709775 78.723066702443 -95.1540439592633</t>
  </si>
  <si>
    <t>-788.217230294553 70.123195321461 -209.433271955889</t>
  </si>
  <si>
    <t>-795.178419080623 66.7911745207875 -307.754579800774</t>
  </si>
  <si>
    <t>-799.00619503168 65.1280562792529 -396.753657562805</t>
  </si>
  <si>
    <t>-799.999517584506 64.8535139250021 -485.844501305424</t>
  </si>
  <si>
    <t>-798.38787477122 65.8711207202521 -610.412497723305</t>
  </si>
  <si>
    <t>-768.111625904731 70.8767913977533 -687.635001011498</t>
  </si>
  <si>
    <t>-805.347418242977 92.4177233842931 -555.456603325217</t>
  </si>
  <si>
    <t>-835.146440775246 224.681201514617 -532.713740370553</t>
  </si>
  <si>
    <t>-847.013584878481 236.634387757736 -238.932493039422</t>
  </si>
  <si>
    <t>-610.977969708712 265.970641170124 -200.495778201972</t>
  </si>
  <si>
    <t>-792.846693519837 38.4287608624315 -555.73589658209</t>
  </si>
  <si>
    <t>-622.071573726555 40.7014264037014 -325.530942793211</t>
  </si>
  <si>
    <t>-802.894898051789 169.937882563272 -98.3813696429638</t>
  </si>
  <si>
    <t>-795.258229721391 181.28743399204 304.939285736353</t>
  </si>
  <si>
    <t>-859.294598854438 206.26922692457 747.538824354278</t>
  </si>
  <si>
    <t>-714.527233087657 225.303680948054 808.917785101556</t>
  </si>
  <si>
    <t>-695.200868502071 -5.33701821318459 306.960697124188</t>
  </si>
  <si>
    <t>-690.782528203035 -17.4208399567572 754.694994722953</t>
  </si>
  <si>
    <t>-584.643921766741 -109.10175712442 828.291915378343</t>
  </si>
  <si>
    <t>9763-20170724T105128.110665400.bin</t>
  </si>
  <si>
    <t>-771.187140954135 78.3921326743305 -95.1591988391145</t>
  </si>
  <si>
    <t>-788.045018670156 69.7656705949389 -209.429217496799</t>
  </si>
  <si>
    <t>-795.071025273315 66.4003121929213 -307.744758616532</t>
  </si>
  <si>
    <t>-798.966347265095 64.7018604691857 -396.740247040676</t>
  </si>
  <si>
    <t>-800.036218181585 64.3875415202656 -485.83001076356</t>
  </si>
  <si>
    <t>-798.54125806764 65.3446481460105 -610.40002828783</t>
  </si>
  <si>
    <t>-768.295928085845 70.3661266422441 -687.633566488525</t>
  </si>
  <si>
    <t>-805.481759909951 91.9105045107178 -555.450889610118</t>
  </si>
  <si>
    <t>-835.541170841919 224.11182947374 -532.741273779241</t>
  </si>
  <si>
    <t>-848.638475476618 235.691978023757 -238.997127161777</t>
  </si>
  <si>
    <t>-612.731615074433 265.289648541106 -199.973259714612</t>
  </si>
  <si>
    <t>-792.916428964354 37.9363440374325 -555.714841088897</t>
  </si>
  <si>
    <t>-621.994764967653 40.2256413811406 -325.468252009483</t>
  </si>
  <si>
    <t>-802.749339589923 169.573471279926 -98.3638143526083</t>
  </si>
  <si>
    <t>-795.286805887234 181.026440752116 304.957224349587</t>
  </si>
  <si>
    <t>-859.225458857368 206.05919381965 747.548866672439</t>
  </si>
  <si>
    <t>-714.521168942875 225.548379437782 808.934153453521</t>
  </si>
  <si>
    <t>-694.965424763436 -5.42267193661587 306.955599672427</t>
  </si>
  <si>
    <t>-690.766324618719 -17.3726857248359 754.684517025617</t>
  </si>
  <si>
    <t>-584.665353004824 -109.089830524855 828.290299822786</t>
  </si>
  <si>
    <t>9763-20170724T105128.141750000.bin</t>
  </si>
  <si>
    <t>-771.043161092527 78.2953586792084 -95.1751851320352</t>
  </si>
  <si>
    <t>-787.917131138314 69.6605355344436 -209.442115929741</t>
  </si>
  <si>
    <t>-794.977972061079 66.2922421382393 -307.755146390703</t>
  </si>
  <si>
    <t>-798.913449737589 64.5930880820345 -396.748847986695</t>
  </si>
  <si>
    <t>-800.031987208208 64.28048309935 -485.838052651639</t>
  </si>
  <si>
    <t>-798.613955375171 65.2430885105084 -610.408815239809</t>
  </si>
  <si>
    <t>-768.380263914118 70.2638865765107 -687.647061759604</t>
  </si>
  <si>
    <t>-805.538516490561 91.8023276732247 -555.454696059124</t>
  </si>
  <si>
    <t>-835.713099951633 223.981371417615 -532.744299496728</t>
  </si>
  <si>
    <t>-849.51516540549 235.408952362188 -239.026539436104</t>
  </si>
  <si>
    <t>-613.691155265919 265.074423074722 -199.55608182336</t>
  </si>
  <si>
    <t>-792.937413909547 37.8365773267863 -555.728288934944</t>
  </si>
  <si>
    <t>-622.011106906828 40.1986660127016 -325.486571438773</t>
  </si>
  <si>
    <t>-802.700332302685 169.50896752951 -98.3657848272385</t>
  </si>
  <si>
    <t>-795.211593773475 180.949235269066 304.955075924722</t>
  </si>
  <si>
    <t>-859.252088951792 206.107556949245 747.54559255957</t>
  </si>
  <si>
    <t>-714.516250045813 225.295906445547 808.951389482696</t>
  </si>
  <si>
    <t>-694.835308232438 -5.39849220412543 306.940321761395</t>
  </si>
  <si>
    <t>-690.698588466122 -17.2083597089827 754.677252782442</t>
  </si>
  <si>
    <t>-584.834091978876 -109.186303731067 828.298323924174</t>
  </si>
  <si>
    <t>9763-20170724T105128.214975200.bin</t>
  </si>
  <si>
    <t>-770.866298075442 77.9182919719067 -95.1861498767137</t>
  </si>
  <si>
    <t>-787.79184580725 69.3068546415261 -209.447267528057</t>
  </si>
  <si>
    <t>-794.928688201806 65.9391079508964 -307.754845488784</t>
  </si>
  <si>
    <t>-798.94615035295 64.2340616024151 -396.744683231985</t>
  </si>
  <si>
    <t>-800.160915472884 63.9102965470752 -485.832574464287</t>
  </si>
  <si>
    <t>-798.89209969402 64.8522525012629 -610.405072025432</t>
  </si>
  <si>
    <t>-768.673433580806 69.8258275389426 -687.652392645982</t>
  </si>
  <si>
    <t>-805.775693043939 91.4148407118294 -555.447334509025</t>
  </si>
  <si>
    <t>-836.10991827336 223.551769484614 -532.705406591601</t>
  </si>
  <si>
    <t>-851.603516221628 234.593335904992 -239.057303615953</t>
  </si>
  <si>
    <t>-615.920123787826 264.089574085642 -198.632974230261</t>
  </si>
  <si>
    <t>-793.12510823032 37.4606554995182 -555.726482000794</t>
  </si>
  <si>
    <t>-622.161533621334 39.9564500757692 -325.234583066612</t>
  </si>
  <si>
    <t>-802.457191359958 169.102715996265 -98.3351619812859</t>
  </si>
  <si>
    <t>-794.83238792009 180.455059531353 304.98565655351</t>
  </si>
  <si>
    <t>-859.144499330029 205.845494495816 747.518487158298</t>
  </si>
  <si>
    <t>-714.508597614576 225.704913498902 808.946032205762</t>
  </si>
  <si>
    <t>-694.666107271826 -5.83951522827329 306.923305378037</t>
  </si>
  <si>
    <t>-690.745682350262 -17.3004717352167 754.663789656446</t>
  </si>
  <si>
    <t>-584.277091957189 -108.598494909229 828.260154729992</t>
  </si>
  <si>
    <t>9763-20170724T105128.243552700.bin</t>
  </si>
  <si>
    <t>-770.722879431867 77.8119660115826 -95.1858165523355</t>
  </si>
  <si>
    <t>-787.681046199465 69.2265918634355 -209.44404814088</t>
  </si>
  <si>
    <t>-794.850991898916 65.8621158340547 -307.749205241365</t>
  </si>
  <si>
    <t>-798.900967958622 64.1531360966042 -396.737566482962</t>
  </si>
  <si>
    <t>-800.150700727866 63.8185352777784 -485.825070964429</t>
  </si>
  <si>
    <t>-798.934467096318 64.7385084679815 -610.398249056168</t>
  </si>
  <si>
    <t>-768.717527041212 69.671794595843 -687.648557801022</t>
  </si>
  <si>
    <t>-805.783595960307 91.3134211393142 -555.442138862794</t>
  </si>
  <si>
    <t>-836.073157763575 223.458011890121 -532.713443670953</t>
  </si>
  <si>
    <t>-852.545081518649 234.202594964206 -239.107599640946</t>
  </si>
  <si>
    <t>-616.965866514316 263.544520558768 -197.969411465813</t>
  </si>
  <si>
    <t>-793.155765066239 37.353900950922 -555.717306508685</t>
  </si>
  <si>
    <t>-622.214073866713 39.7752536642306 -325.126302508212</t>
  </si>
  <si>
    <t>-802.210792001332 169.010043062007 -98.3060768989056</t>
  </si>
  <si>
    <t>-794.539050035271 180.310558484598 305.015344175264</t>
  </si>
  <si>
    <t>-859.165529762196 205.889703618789 747.496478524753</t>
  </si>
  <si>
    <t>-714.500589169793 225.474657008144 808.943687481341</t>
  </si>
  <si>
    <t>-694.520359971495 -6.00068357508758 306.901926099163</t>
  </si>
  <si>
    <t>-690.780213557504 -17.3765479844201 754.65445970025</t>
  </si>
  <si>
    <t>-584.329861412298 -108.687167521303 828.261538333884</t>
  </si>
  <si>
    <t>9763-20170724T105128.310333100.bin</t>
  </si>
  <si>
    <t>-770.392551159139 77.6554012699842 -95.1210224325725</t>
  </si>
  <si>
    <t>-787.434915862282 69.1516901989751 -209.372868450821</t>
  </si>
  <si>
    <t>-794.656106314985 65.8112185965595 -307.675232578532</t>
  </si>
  <si>
    <t>-798.745376870896 64.107588471823 -396.661740463057</t>
  </si>
  <si>
    <t>-800.02790883482 63.7604671008428 -485.748648473144</t>
  </si>
  <si>
    <t>-798.85028761393 64.6449025628447 -610.322542144967</t>
  </si>
  <si>
    <t>-768.603025371807 69.471207698557 -687.567755526526</t>
  </si>
  <si>
    <t>-805.606189369551 91.253277811411 -555.370995157899</t>
  </si>
  <si>
    <t>-835.531126305286 223.522825336912 -532.819859188052</t>
  </si>
  <si>
    <t>-853.731896848877 234.403253845222 -239.321132729047</t>
  </si>
  <si>
    <t>-617.973122845827 263.724520820432 -199.208560601766</t>
  </si>
  <si>
    <t>-793.130791464469 37.2582873973206 -555.636427257113</t>
  </si>
  <si>
    <t>-622.233101850231 39.2437898369387 -325.160802795153</t>
  </si>
  <si>
    <t>-801.602750321519 168.857181643439 -98.1687270793287</t>
  </si>
  <si>
    <t>-793.360408242613 179.754628304733 305.152492283863</t>
  </si>
  <si>
    <t>-859.205228752749 205.885235678618 747.474935993411</t>
  </si>
  <si>
    <t>-714.525901173029 225.369167579737 808.920702590628</t>
  </si>
  <si>
    <t>-694.244130198063 -6.19736234364245 306.873860888508</t>
  </si>
  <si>
    <t>-690.681018937676 -17.1715501090505 754.634618659689</t>
  </si>
  <si>
    <t>-584.592239012953 -108.875722176597 828.274332043741</t>
  </si>
  <si>
    <t>9763-20170724T105128.343933700.bin</t>
  </si>
  <si>
    <t>-770.3197724695 77.401863318503 -95.0823711775485</t>
  </si>
  <si>
    <t>-787.40575867043 68.957580546235 -209.332005558132</t>
  </si>
  <si>
    <t>-794.644455388591 65.6196365582273 -307.633208772371</t>
  </si>
  <si>
    <t>-798.742425761398 63.8989816756591 -396.618997051817</t>
  </si>
  <si>
    <t>-800.026117992505 63.5149176013481 -485.705695753339</t>
  </si>
  <si>
    <t>-798.843215187855 64.3256611431782 -610.280052074116</t>
  </si>
  <si>
    <t>-768.55651475226 69.0655588422453 -687.515370540823</t>
  </si>
  <si>
    <t>-805.530224709486 90.9827756274769 -555.343831576072</t>
  </si>
  <si>
    <t>-835.045216698299 223.354043944172 -532.927285965313</t>
  </si>
  <si>
    <t>-853.62251332371 235.101364123225 -239.485437953576</t>
  </si>
  <si>
    <t>-617.526403301886 263.785681022893 -200.927157965217</t>
  </si>
  <si>
    <t>-793.197477318771 36.9548669060644 -555.578428366512</t>
  </si>
  <si>
    <t>-622.265765793685 38.5897903493155 -325.123047249502</t>
  </si>
  <si>
    <t>-801.450123786981 168.677743720729 -98.0724235507166</t>
  </si>
  <si>
    <t>-792.518493730972 179.356327494426 305.239949981387</t>
  </si>
  <si>
    <t>-859.223676411271 205.813917658722 747.469715853433</t>
  </si>
  <si>
    <t>-714.52170011163 225.205673598699 808.891336677705</t>
  </si>
  <si>
    <t>-694.18872046543 -6.42111516377918 306.870605980817</t>
  </si>
  <si>
    <t>-690.65615688277 -17.1317104346067 754.625645018329</t>
  </si>
  <si>
    <t>-584.35882992894 -108.594826904026 828.264446668697</t>
  </si>
  <si>
    <t>9763-20170724T105128.411148900.bin</t>
  </si>
  <si>
    <t>-769.816045174831 76.5990574943858 -94.9451198536053</t>
  </si>
  <si>
    <t>-787.002506517079 68.2658252092765 -209.187845313115</t>
  </si>
  <si>
    <t>-794.268183160368 64.9433990042285 -307.487507155927</t>
  </si>
  <si>
    <t>-798.368314448758 63.2061569184577 -396.472937178552</t>
  </si>
  <si>
    <t>-799.631416400776 62.7709290550351 -485.559717240282</t>
  </si>
  <si>
    <t>-798.395637976982 63.4724017818655 -610.134231073854</t>
  </si>
  <si>
    <t>-767.998218628218 67.9762952701651 -687.340044008437</t>
  </si>
  <si>
    <t>-804.89637812355 90.2247678530391 -555.221872873595</t>
  </si>
  <si>
    <t>-833.114233940927 222.927064007813 -533.099919144618</t>
  </si>
  <si>
    <t>-850.425478655542 237.198466346458 -239.692574744153</t>
  </si>
  <si>
    <t>-613.62241987966 264.188953894895 -204.383916108092</t>
  </si>
  <si>
    <t>-792.982609731159 36.1028287772158 -555.408622177332</t>
  </si>
  <si>
    <t>-621.673210279891 36.3017609689009 -325.129193994135</t>
  </si>
  <si>
    <t>-800.325828750479 167.926850944095 -97.9001487544786</t>
  </si>
  <si>
    <t>-790.794507732791 178.578205039349 305.399204603998</t>
  </si>
  <si>
    <t>-859.155413320727 205.420426500721 747.367668421533</t>
  </si>
  <si>
    <t>-714.51457881061 225.462689802153 808.724099467183</t>
  </si>
  <si>
    <t>-693.78751536312 -7.30598547454679 306.877883063718</t>
  </si>
  <si>
    <t>-690.71638226255 -17.2685801119239 754.623492592445</t>
  </si>
  <si>
    <t>-584.166831770379 -108.430945228097 828.270804244289</t>
  </si>
  <si>
    <t>9763-20170724T105128.442222900.bin</t>
  </si>
  <si>
    <t>-769.447716695716 76.1753427672784 -94.8872888599464</t>
  </si>
  <si>
    <t>-786.712744657206 67.8865733854516 -209.121390118497</t>
  </si>
  <si>
    <t>-794.013071363133 64.5569042167551 -307.418320392733</t>
  </si>
  <si>
    <t>-798.131600936411 62.7951612015647 -396.402387230756</t>
  </si>
  <si>
    <t>-799.399837596595 62.3140620196857 -485.488967683378</t>
  </si>
  <si>
    <t>-798.156979821831 62.9280431792959 -610.063792285672</t>
  </si>
  <si>
    <t>-767.716956439111 67.2649926369265 -687.262375554627</t>
  </si>
  <si>
    <t>-804.512901822685 89.7510371688918 -555.16897051582</t>
  </si>
  <si>
    <t>-831.849278252527 222.66105112735 -533.183199443686</t>
  </si>
  <si>
    <t>-847.072820451368 238.966645950515 -239.766141477617</t>
  </si>
  <si>
    <t>-609.87221481739 264.918625553834 -206.400920387068</t>
  </si>
  <si>
    <t>-792.895089523839 35.5645863995144 -555.320100362206</t>
  </si>
  <si>
    <t>-621.298931149869 34.7734391032038 -325.208816510902</t>
  </si>
  <si>
    <t>-799.625987537528 167.597222192498 -97.8468516253323</t>
  </si>
  <si>
    <t>-790.282321992901 178.29034919536 305.455778760368</t>
  </si>
  <si>
    <t>-859.173398025878 205.320147282298 747.315893184679</t>
  </si>
  <si>
    <t>-714.51642049872 225.356349859031 808.636425936761</t>
  </si>
  <si>
    <t>-693.611819853757 -7.90402768000627 306.904609440132</t>
  </si>
  <si>
    <t>-690.840062120221 -17.5306754170613 754.642177282374</t>
  </si>
  <si>
    <t>-583.61359242111 -107.926410952266 828.252042188805</t>
  </si>
  <si>
    <t>9763-20170724T105128.510911300.bin</t>
  </si>
  <si>
    <t>-768.309002286909 75.5319893641233 -94.8599955112676</t>
  </si>
  <si>
    <t>-785.643764180616 67.295459733323 -209.087253957028</t>
  </si>
  <si>
    <t>-793.032288542074 63.9460079510989 -307.377076195637</t>
  </si>
  <si>
    <t>-797.24128988189 62.1402341966177 -396.355929389038</t>
  </si>
  <si>
    <t>-798.60908984426 61.5821748268161 -485.440573157459</t>
  </si>
  <si>
    <t>-797.514033647921 62.050292194439 -610.017424291092</t>
  </si>
  <si>
    <t>-767.067406079679 65.9956565548657 -687.234291812286</t>
  </si>
  <si>
    <t>-803.426117396814 89.0160300779119 -555.142940016429</t>
  </si>
  <si>
    <t>-828.483433251729 222.389640198611 -533.280622565237</t>
  </si>
  <si>
    <t>-836.165598171237 243.554951164954 -239.879416300028</t>
  </si>
  <si>
    <t>-598.020914460066 266.591014540855 -211.465878220188</t>
  </si>
  <si>
    <t>-792.565784123463 34.6725726369962 -555.251550672312</t>
  </si>
  <si>
    <t>-620.354414212522 31.6354174013384 -325.608243122792</t>
  </si>
  <si>
    <t>-797.837136502173 167.048034714253 -97.8791517283798</t>
  </si>
  <si>
    <t>-789.544592829435 177.843157503757 305.443727776841</t>
  </si>
  <si>
    <t>-859.153330243448 205.051358588903 747.154953500796</t>
  </si>
  <si>
    <t>-714.505128944082 225.32579534974 808.417931738364</t>
  </si>
  <si>
    <t>-693.207897946334 -8.56030339951394 306.954839193993</t>
  </si>
  <si>
    <t>-690.765355979077 -17.3623842023364 754.648157708873</t>
  </si>
  <si>
    <t>-583.875175646006 -108.129687194575 828.289895848749</t>
  </si>
  <si>
    <t>9763-20170724T105128.542499500.bin</t>
  </si>
  <si>
    <t>-767.712127216838 75.3900358886935 -94.9040219012322</t>
  </si>
  <si>
    <t>-785.047944655433 67.1849703846217 -209.133477746307</t>
  </si>
  <si>
    <t>-792.486112870964 63.8288417021133 -307.419080865675</t>
  </si>
  <si>
    <t>-796.759706372074 62.0036314493498 -396.394591655198</t>
  </si>
  <si>
    <t>-798.209770194067 61.4085927885465 -485.477657435161</t>
  </si>
  <si>
    <t>-797.248340348742 61.8050461196356 -610.055787268513</t>
  </si>
  <si>
    <t>-766.840368390059 65.526501957861 -687.299071240991</t>
  </si>
  <si>
    <t>-802.86803352758 88.8479804829233 -555.18863931656</t>
  </si>
  <si>
    <t>-826.537860460864 222.464260109155 -533.379017730419</t>
  </si>
  <si>
    <t>-828.711841559162 246.775150912721 -240.129166791858</t>
  </si>
  <si>
    <t>-590.264514870029 268.747014868615 -213.46574209869</t>
  </si>
  <si>
    <t>-792.47483612585 34.4132036666342 -555.281630127192</t>
  </si>
  <si>
    <t>-620.00116646541 30.1465250088381 -325.929401100254</t>
  </si>
  <si>
    <t>-796.85351374675 166.933607569242 -97.9545304726996</t>
  </si>
  <si>
    <t>-789.274204544364 177.725423986941 305.382477806049</t>
  </si>
  <si>
    <t>-859.1745828949 205.015714540883 747.050261026394</t>
  </si>
  <si>
    <t>-714.522423455584 225.331813920882 808.289942363373</t>
  </si>
  <si>
    <t>-693.086272610569 -8.83053005418492 306.984737983462</t>
  </si>
  <si>
    <t>-690.726412797281 -17.2786881067559 754.656154760558</t>
  </si>
  <si>
    <t>-583.778254551686 -107.980359309276 828.294448063343</t>
  </si>
  <si>
    <t>9763-20170724T105128.608680800.bin</t>
  </si>
  <si>
    <t>-766.668257616523 75.3550943059224 -95.0015901397645</t>
  </si>
  <si>
    <t>-784.015022208696 67.2707208252523 -209.238008344484</t>
  </si>
  <si>
    <t>-791.540766982948 63.9327642136543 -307.517573869645</t>
  </si>
  <si>
    <t>-795.924714044711 62.091305141988 -396.487487969868</t>
  </si>
  <si>
    <t>-797.514475727334 61.4384606595333 -485.567682264992</t>
  </si>
  <si>
    <t>-796.778180384707 61.7072534908059 -610.147780068954</t>
  </si>
  <si>
    <t>-766.533324119421 64.9574321248208 -687.476369450536</t>
  </si>
  <si>
    <t>-801.798123654199 88.8971898787997 -555.295158654665</t>
  </si>
  <si>
    <t>-822.230164479892 223.083958079079 -533.561772865958</t>
  </si>
  <si>
    <t>-809.909166858364 252.905839324431 -241.072318853424</t>
  </si>
  <si>
    <t>-570.643772424649 271.070658456899 -219.325011692863</t>
  </si>
  <si>
    <t>-792.406266667337 34.2807304199732 -555.357399736478</t>
  </si>
  <si>
    <t>-619.577154212456 27.3174769308987 -326.560101410548</t>
  </si>
  <si>
    <t>-795.08991916889 167.060271618025 -98.0921280502814</t>
  </si>
  <si>
    <t>-788.57503366126 177.548371816049 305.271466493738</t>
  </si>
  <si>
    <t>-859.235203649596 204.962550339783 746.857759632965</t>
  </si>
  <si>
    <t>-714.557178291987 225.293468812023 808.031144462036</t>
  </si>
  <si>
    <t>-692.875677403253 -9.12369088641094 306.952952137973</t>
  </si>
  <si>
    <t>-690.629387845536 -17.0640833558814 754.660484331825</t>
  </si>
  <si>
    <t>-584.135281036843 -108.272263119049 828.331200650276</t>
  </si>
  <si>
    <t>9763-20170724T105128.642772900.bin</t>
  </si>
  <si>
    <t>-766.171008950525 75.1016480465476 -95.0323270440532</t>
  </si>
  <si>
    <t>-783.511569658665 67.1024927482849 -209.275685275779</t>
  </si>
  <si>
    <t>-791.042738762833 63.8021224803645 -307.55610100815</t>
  </si>
  <si>
    <t>-795.43569903528 61.9807171075361 -396.525945357165</t>
  </si>
  <si>
    <t>-797.037643695886 61.3299593810552 -485.606009253466</t>
  </si>
  <si>
    <t>-796.321069638703 61.5798636743693 -610.186300828674</t>
  </si>
  <si>
    <t>-766.179533124979 64.5861930143799 -687.565073649333</t>
  </si>
  <si>
    <t>-801.070756368632 88.8217671597122 -555.335227892569</t>
  </si>
  <si>
    <t>-819.717175615288 223.25015861745 -533.582530815162</t>
  </si>
  <si>
    <t>-798.698849862594 256.259580602005 -241.932366355711</t>
  </si>
  <si>
    <t>-559.155615904563 272.24728354765 -221.579813808786</t>
  </si>
  <si>
    <t>-792.201994409871 34.1180459696557 -555.393921485621</t>
  </si>
  <si>
    <t>-619.440161091692 25.6181693518997 -326.892024998677</t>
  </si>
  <si>
    <t>-794.074817521306 166.942189094562 -98.1280144551007</t>
  </si>
  <si>
    <t>-788.136685796509 177.372175915683 305.246033486439</t>
  </si>
  <si>
    <t>-859.301614202473 205.026223277535 746.749776917652</t>
  </si>
  <si>
    <t>-714.582112588182 225.146853912287 807.89487277158</t>
  </si>
  <si>
    <t>-692.837262272398 -9.52409138739586 306.940002774994</t>
  </si>
  <si>
    <t>-690.701770915951 -17.1967983838792 754.675470483639</t>
  </si>
  <si>
    <t>-583.963312280549 -108.133389513295 828.328076572342</t>
  </si>
  <si>
    <t>9763-20170724T105128.712459300.bin</t>
  </si>
  <si>
    <t>-765.058389380622 74.5336895596636 -95.0800042155953</t>
  </si>
  <si>
    <t>-782.323735631483 66.6889807454509 -209.345461285354</t>
  </si>
  <si>
    <t>-789.785918383112 63.4771806749036 -307.634115200659</t>
  </si>
  <si>
    <t>-794.113561768391 61.7178200344965 -396.608367438285</t>
  </si>
  <si>
    <t>-795.64429152969 61.1003681517941 -485.6899001115</t>
  </si>
  <si>
    <t>-794.821195496335 61.3618062634107 -610.269430329431</t>
  </si>
  <si>
    <t>-764.910374104025 63.8751813024812 -687.755297875911</t>
  </si>
  <si>
    <t>-799.078848352558 88.6806290108477 -555.416168524122</t>
  </si>
  <si>
    <t>-813.865346274663 223.572317723817 -533.428085017315</t>
  </si>
  <si>
    <t>-773.70848738319 262.302870840785 -244.501523460995</t>
  </si>
  <si>
    <t>-533.538548205151 272.264800924354 -228.069307490052</t>
  </si>
  <si>
    <t>-791.288005230294 33.8129662976025 -555.479867988732</t>
  </si>
  <si>
    <t>-618.627612939 22.1911363399031 -327.25119449901</t>
  </si>
  <si>
    <t>-792.127136932119 166.556653658079 -98.180428234278</t>
  </si>
  <si>
    <t>-787.003080711949 176.860428410751 305.207919095555</t>
  </si>
  <si>
    <t>-859.345711311528 204.93240310708 746.527687538155</t>
  </si>
  <si>
    <t>-714.62037621988 225.218550498742 807.604111274278</t>
  </si>
  <si>
    <t>-692.367621674019 -10.3070146946491 306.93702382967</t>
  </si>
  <si>
    <t>-690.611910720696 -17.0229938740142 754.66969885804</t>
  </si>
  <si>
    <t>-584.471260403423 -108.617867789506 828.37095901482</t>
  </si>
  <si>
    <t>9763-20170724T105128.745549900.bin</t>
  </si>
  <si>
    <t>-764.470637092739 74.2203949839093 -95.0779874245472</t>
  </si>
  <si>
    <t>-781.67527369571 66.4511712558783 -209.357793995962</t>
  </si>
  <si>
    <t>-789.084443480459 63.2772204097441 -307.651790103198</t>
  </si>
  <si>
    <t>-793.362735510739 61.5405617751592 -396.628809730226</t>
  </si>
  <si>
    <t>-794.842007566473 60.9284684815143 -485.711293828973</t>
  </si>
  <si>
    <t>-793.94325004445 61.1767991393958 -610.290215517235</t>
  </si>
  <si>
    <t>-764.139767985338 63.433009362092 -687.825312262726</t>
  </si>
  <si>
    <t>-797.963921814186 88.5384792765178 -555.440538147659</t>
  </si>
  <si>
    <t>-810.784557348258 223.607771089452 -533.292849503942</t>
  </si>
  <si>
    <t>-760.420942173503 264.156482119495 -246.220423089527</t>
  </si>
  <si>
    <t>-520.100448177715 271.858206896217 -230.805788063972</t>
  </si>
  <si>
    <t>-790.713776624356 33.5966945691328 -555.497830000023</t>
  </si>
  <si>
    <t>-618.320824153196 20.5799495019376 -327.301877406037</t>
  </si>
  <si>
    <t>-791.17565834426 166.303774100305 -98.2048139217978</t>
  </si>
  <si>
    <t>-786.392166200716 176.59979158144 305.187986610975</t>
  </si>
  <si>
    <t>-859.359790321049 204.866808957889 746.404728375399</t>
  </si>
  <si>
    <t>-714.643908481961 225.342761122849 807.440526710606</t>
  </si>
  <si>
    <t>-692.378699355035 -10.5965943021108 306.94796235155</t>
  </si>
  <si>
    <t>-690.558772316375 -16.9205955955088 754.655728172561</t>
  </si>
  <si>
    <t>-584.568912305768 -108.66934747984 828.382456728587</t>
  </si>
  <si>
    <t>9763-20170724T105128.812732700.bin</t>
  </si>
  <si>
    <t>-763.790483718881 74.38250508244 -95.1851899789669</t>
  </si>
  <si>
    <t>-780.838640532862 66.7035106897324 -209.494598557403</t>
  </si>
  <si>
    <t>-788.133378298409 63.4969932629385 -307.795952340431</t>
  </si>
  <si>
    <t>-792.316288590775 61.685004114395 -396.776054212874</t>
  </si>
  <si>
    <t>-793.706074898488 60.9421617022795 -485.858839834517</t>
  </si>
  <si>
    <t>-792.688646620411 60.9441625758668 -610.437360893555</t>
  </si>
  <si>
    <t>-763.104885803419 62.6386873153908 -688.070805587751</t>
  </si>
  <si>
    <t>-796.253558242058 88.4764008220791 -555.641494613267</t>
  </si>
  <si>
    <t>-805.456045547923 223.812496415821 -533.266800614531</t>
  </si>
  <si>
    <t>-733.972628945372 265.836649670728 -250.927896046405</t>
  </si>
  <si>
    <t>-493.556605908726 270.421930922325 -235.763933306894</t>
  </si>
  <si>
    <t>-790.019298666249 33.4101669039619 -555.591462831081</t>
  </si>
  <si>
    <t>-618.038606617011 18.1365374269808 -327.18965513387</t>
  </si>
  <si>
    <t>-790.00176658123 166.637253619498 -98.4198955954053</t>
  </si>
  <si>
    <t>-786.124901904418 176.857644389208 304.984560536471</t>
  </si>
  <si>
    <t>-859.516621405912 205.074471921445 746.143732341631</t>
  </si>
  <si>
    <t>-714.693779725595 224.923859815833 807.133033909905</t>
  </si>
  <si>
    <t>-692.711929601428 -10.8570322410512 306.957716879142</t>
  </si>
  <si>
    <t>-690.562653430499 -16.9218953744903 754.634773450932</t>
  </si>
  <si>
    <t>-584.640792690286 -108.722409102917 828.394864166895</t>
  </si>
  <si>
    <t>9763-20170724T105128.843827900.bin</t>
  </si>
  <si>
    <t>-763.578846228071 74.7089586128184 -95.2857148364631</t>
  </si>
  <si>
    <t>-780.530580101419 67.0624075839114 -209.611502801519</t>
  </si>
  <si>
    <t>-787.753502174288 63.8172629474818 -307.916988831829</t>
  </si>
  <si>
    <t>-791.875886561494 61.942818499934 -396.89853622592</t>
  </si>
  <si>
    <t>-793.209463352164 61.1054633050096 -485.981589587672</t>
  </si>
  <si>
    <t>-792.118048851675 60.9396485968782 -610.55908788475</t>
  </si>
  <si>
    <t>-762.614555746731 62.3637336969898 -688.228577188839</t>
  </si>
  <si>
    <t>-795.485346009485 88.5707747787396 -555.800642483083</t>
  </si>
  <si>
    <t>-803.003528728694 223.985592161995 -533.368086130055</t>
  </si>
  <si>
    <t>-721.685992686462 265.978778208874 -253.698139004723</t>
  </si>
  <si>
    <t>-481.346990438162 269.951850295086 -237.198937973206</t>
  </si>
  <si>
    <t>-789.711296309435 33.454408437487 -555.676736107096</t>
  </si>
  <si>
    <t>-618.04411114263 17.3523703890248 -327.122668892359</t>
  </si>
  <si>
    <t>-789.576656013785 166.941287374147 -98.5640478535661</t>
  </si>
  <si>
    <t>-786.01832150445 177.067046060988 304.845723643039</t>
  </si>
  <si>
    <t>-859.492620086808 204.996746487348 746.017821992276</t>
  </si>
  <si>
    <t>-714.710843888377 225.23016776608 806.978202592097</t>
  </si>
  <si>
    <t>-692.886732850621 -10.8169780615829 306.950079196075</t>
  </si>
  <si>
    <t>-690.55715518736 -16.8788363132101 754.631865443693</t>
  </si>
  <si>
    <t>-584.646205815236 -108.68971897074 828.394522547926</t>
  </si>
  <si>
    <t>9763-20170724T105128.905824300.bin</t>
  </si>
  <si>
    <t>-763.353398809961 75.2897063919527 -95.4334942755709</t>
  </si>
  <si>
    <t>-780.04016592548 67.7393480038202 -209.804733291773</t>
  </si>
  <si>
    <t>-787.057944649441 64.3791516532056 -308.121176655707</t>
  </si>
  <si>
    <t>-791.006110067573 62.319688542668 -397.106616420741</t>
  </si>
  <si>
    <t>-792.176707492824 61.2078815696964 -486.188664712114</t>
  </si>
  <si>
    <t>-790.871156309882 60.5606483097963 -610.762748254784</t>
  </si>
  <si>
    <t>-761.487488219381 61.4169557873267 -688.486032392592</t>
  </si>
  <si>
    <t>-793.92870851865 88.4424711816903 -556.11337076288</t>
  </si>
  <si>
    <t>-798.639724770349 224.028676971343 -533.863849481781</t>
  </si>
  <si>
    <t>-701.665327530136 264.934460014162 -259.065927976523</t>
  </si>
  <si>
    <t>-461.660409535414 269.199062127159 -238.321384258286</t>
  </si>
  <si>
    <t>-788.962712803528 33.248335536867 -555.774592544478</t>
  </si>
  <si>
    <t>-618.071130724657 16.1545476026201 -326.884286568981</t>
  </si>
  <si>
    <t>-788.974207901299 167.512638105019 -98.79954609829</t>
  </si>
  <si>
    <t>-785.8007887205 177.365731128774 304.620251719173</t>
  </si>
  <si>
    <t>-859.525239032731 205.084185516281 745.783705548219</t>
  </si>
  <si>
    <t>-714.704334267904 225.104152923115 806.721431740088</t>
  </si>
  <si>
    <t>-693.139090049699 -10.6344046497038 306.910516035831</t>
  </si>
  <si>
    <t>-690.557713043822 -16.7925653611001 754.625113079266</t>
  </si>
  <si>
    <t>-584.983030757448 -108.976162796623 828.405006998899</t>
  </si>
  <si>
    <t>9763-20170724T105128.943927800.bin</t>
  </si>
  <si>
    <t>-763.10714366138 75.5047534602631 -95.4697690571753</t>
  </si>
  <si>
    <t>-779.666401648624 68.0193794631716 -209.863605517893</t>
  </si>
  <si>
    <t>-786.572821553023 64.5859873166103 -308.185452055492</t>
  </si>
  <si>
    <t>-790.421380676106 62.4076101827036 -397.172446807011</t>
  </si>
  <si>
    <t>-791.494703708593 61.1203699760595 -486.25348921335</t>
  </si>
  <si>
    <t>-790.056235875103 60.1665494163469 -610.824121815052</t>
  </si>
  <si>
    <t>-760.710039654884 60.7252121284973 -688.564244108352</t>
  </si>
  <si>
    <t>-792.990842915979 88.1985294327692 -556.244651846975</t>
  </si>
  <si>
    <t>-796.585547944297 223.865384243811 -534.29439703847</t>
  </si>
  <si>
    <t>-694.637873077563 263.821350894177 -261.161746898025</t>
  </si>
  <si>
    <t>-454.833920404976 268.632321645148 -238.31968164136</t>
  </si>
  <si>
    <t>-788.387449251316 32.9740828378051 -555.768693942678</t>
  </si>
  <si>
    <t>-617.863222409762 15.526350472961 -326.705162100363</t>
  </si>
  <si>
    <t>-788.462384940663 167.656171716459 -98.8722505205227</t>
  </si>
  <si>
    <t>-785.66034745014 177.417724783753 304.55255685959</t>
  </si>
  <si>
    <t>-859.495428015886 205.034494154728 745.68492548706</t>
  </si>
  <si>
    <t>-714.678909481363 225.13776044942 806.605571335225</t>
  </si>
  <si>
    <t>-693.128331226843 -10.7207397379098 306.898929979571</t>
  </si>
  <si>
    <t>-690.599719035487 -16.8279491383769 754.617700721424</t>
  </si>
  <si>
    <t>-584.95401757743 -108.934144006301 828.392310947104</t>
  </si>
  <si>
    <t>9763-20170724T105129.022910900.bin</t>
  </si>
  <si>
    <t>-762.384509206313 75.9514143515569 -95.5275497398878</t>
  </si>
  <si>
    <t>-778.713565253327 68.6626700625925 -209.967341286312</t>
  </si>
  <si>
    <t>-785.407011231322 65.1309847693119 -308.300339166305</t>
  </si>
  <si>
    <t>-789.062510524002 62.7570050476265 -397.290404446629</t>
  </si>
  <si>
    <t>-789.945245984089 61.1631332066772 -486.368666001952</t>
  </si>
  <si>
    <t>-788.245859825849 59.6621000363575 -610.930536366669</t>
  </si>
  <si>
    <t>-758.935288160887 59.6768941864395 -688.686071201913</t>
  </si>
  <si>
    <t>-791.024959227207 87.9547496392318 -556.477714030304</t>
  </si>
  <si>
    <t>-793.103122235104 223.761816570277 -535.174253207485</t>
  </si>
  <si>
    <t>-687.323282720976 261.202024177669 -263.144813428893</t>
  </si>
  <si>
    <t>-447.972759306359 267.607301376009 -236.28993672584</t>
  </si>
  <si>
    <t>-786.962563648946 32.690499888693 -555.756334209207</t>
  </si>
  <si>
    <t>-616.963905791682 14.6853735803156 -326.428075359543</t>
  </si>
  <si>
    <t>-787.25796319714 168.187476439916 -98.9386080804627</t>
  </si>
  <si>
    <t>-785.384212887208 177.797445727362 304.495151142094</t>
  </si>
  <si>
    <t>-859.557314258446 205.23038312093 745.54167534996</t>
  </si>
  <si>
    <t>-714.696976573959 225.067725551306 806.445483954308</t>
  </si>
  <si>
    <t>-693.054385550007 -10.617299205391 306.860893100288</t>
  </si>
  <si>
    <t>-690.604017833584 -16.7624961941181 754.594756833638</t>
  </si>
  <si>
    <t>-585.241046315659 -109.179187312823 828.385594886082</t>
  </si>
  <si>
    <t>9763-20170724T105129.042974100.bin</t>
  </si>
  <si>
    <t>-762.018868585737 76.0872420694752 -95.5187170276571</t>
  </si>
  <si>
    <t>-778.268273980984 68.9268014233371 -209.977863867868</t>
  </si>
  <si>
    <t>-784.8801579053 65.3876314109157 -308.316216995234</t>
  </si>
  <si>
    <t>-788.459833979595 62.9616822500816 -397.307907400442</t>
  </si>
  <si>
    <t>-789.265985112014 61.2692016779454 -486.385093752595</t>
  </si>
  <si>
    <t>-787.460783175147 59.5816453356611 -610.943175792959</t>
  </si>
  <si>
    <t>-758.145742366238 59.3783192264384 -688.696718704469</t>
  </si>
  <si>
    <t>-790.208033715159 87.9614370585621 -556.533913448668</t>
  </si>
  <si>
    <t>-791.915922133509 223.816521598826 -535.439930827044</t>
  </si>
  <si>
    <t>-686.930853680367 260.117981784266 -262.948545904972</t>
  </si>
  <si>
    <t>-447.686114808932 267.141980883622 -235.317253081701</t>
  </si>
  <si>
    <t>-786.302298072952 32.687044717886 -555.728493815081</t>
  </si>
  <si>
    <t>-616.641691615429 14.7258358244042 -326.241533348844</t>
  </si>
  <si>
    <t>-786.632215657867 168.395583434115 -98.9216905658903</t>
  </si>
  <si>
    <t>-785.034515536704 177.790816985784 304.518220755006</t>
  </si>
  <si>
    <t>-859.494598625981 205.166431483659 745.498915519973</t>
  </si>
  <si>
    <t>-714.652306373986 225.112928804049 806.409769552122</t>
  </si>
  <si>
    <t>-692.921837682495 -10.6421958530404 306.824185871237</t>
  </si>
  <si>
    <t>-690.65295356818 -16.8127855947305 754.586812685309</t>
  </si>
  <si>
    <t>-585.241058266184 -109.178470979243 828.37164725518</t>
  </si>
  <si>
    <t>9763-20170724T105129.110149800.bin</t>
  </si>
  <si>
    <t>-761.108117428835 76.4818005516449 -95.4425736089694</t>
  </si>
  <si>
    <t>-777.389869861051 69.4749397122862 -209.906721918078</t>
  </si>
  <si>
    <t>-783.965514325553 65.9575727780109 -308.248095414863</t>
  </si>
  <si>
    <t>-787.490600062599 63.5100123973677 -397.241532307724</t>
  </si>
  <si>
    <t>-788.22215158222 61.7551931996159 -486.318092995682</t>
  </si>
  <si>
    <t>-786.293375385693 59.9388525463455 -610.872461871512</t>
  </si>
  <si>
    <t>-756.867210747456 59.4858674473633 -688.582984491221</t>
  </si>
  <si>
    <t>-789.090818409483 88.3751897147201 -556.495570627082</t>
  </si>
  <si>
    <t>-790.849581622687 224.238358692272 -535.545647614398</t>
  </si>
  <si>
    <t>-688.449392671917 259.137097817861 -261.889813233258</t>
  </si>
  <si>
    <t>-449.422556405995 266.853824187461 -232.606520135749</t>
  </si>
  <si>
    <t>-785.193631338128 33.1010314903815 -555.629011783376</t>
  </si>
  <si>
    <t>-615.775017079605 15.3862572227115 -325.914309465601</t>
  </si>
  <si>
    <t>-785.401510583254 168.770652424734 -98.8098835990919</t>
  </si>
  <si>
    <t>-784.199849888611 177.789526007638 304.640102895808</t>
  </si>
  <si>
    <t>-859.415741920376 205.122620381831 745.470723921657</t>
  </si>
  <si>
    <t>-714.586046831456 225.164367394126 806.380548142873</t>
  </si>
  <si>
    <t>-692.334553966792 -10.6621738442748 306.784481262313</t>
  </si>
  <si>
    <t>-690.573107918381 -16.5872020305035 754.553300551074</t>
  </si>
  <si>
    <t>-585.343733117544 -109.154888457839 828.345704242092</t>
  </si>
  <si>
    <t>9763-20170724T105129.145249400.bin</t>
  </si>
  <si>
    <t>-760.735614279827 76.5874001137199 -95.4191308306536</t>
  </si>
  <si>
    <t>-777.077389980874 69.5876581800519 -209.875063236434</t>
  </si>
  <si>
    <t>-783.682055586926 66.0569482434937 -308.214119481176</t>
  </si>
  <si>
    <t>-787.224918109361 63.5898525210418 -397.206336127119</t>
  </si>
  <si>
    <t>-787.966400833736 61.8083112823706 -486.282263993651</t>
  </si>
  <si>
    <t>-786.043425481613 59.9478941473171 -610.836087256369</t>
  </si>
  <si>
    <t>-756.509569235644 59.4651083389977 -688.505537988418</t>
  </si>
  <si>
    <t>-788.88489325545 88.4001446492371 -556.4696533677</t>
  </si>
  <si>
    <t>-790.880445006186 224.247705004946 -535.546141328118</t>
  </si>
  <si>
    <t>-689.205734406647 259.440365073116 -261.657582078251</t>
  </si>
  <si>
    <t>-450.406523033368 267.734840031766 -230.721341363225</t>
  </si>
  <si>
    <t>-784.894242506339 33.1331276068383 -555.582465020333</t>
  </si>
  <si>
    <t>-615.306292282963 15.7156222170386 -325.970128956328</t>
  </si>
  <si>
    <t>-785.00374853848 168.834212888379 -98.7506202636546</t>
  </si>
  <si>
    <t>-783.853823821882 177.740290374627 304.702033808249</t>
  </si>
  <si>
    <t>-859.365231391966 205.063147144616 745.465317404446</t>
  </si>
  <si>
    <t>-714.545060393279 225.188070329113 806.37034356018</t>
  </si>
  <si>
    <t>-692.037405992132 -10.7982495353292 306.795563985295</t>
  </si>
  <si>
    <t>-690.750770122026 -16.9124884571518 754.558537880154</t>
  </si>
  <si>
    <t>-585.203673576896 -109.134290015224 828.330248415304</t>
  </si>
  <si>
    <t>9763-20170724T105129.208421800.bin</t>
  </si>
  <si>
    <t>-760.039091195925 76.7617661511274 -95.4460762883035</t>
  </si>
  <si>
    <t>-776.541560493616 69.6927690531961 -209.874848551674</t>
  </si>
  <si>
    <t>-783.261396426604 66.0625092491293 -308.20244080018</t>
  </si>
  <si>
    <t>-786.899941509822 63.4860521525768 -397.187544677316</t>
  </si>
  <si>
    <t>-787.729349296789 61.5772058835794 -486.260102594106</t>
  </si>
  <si>
    <t>-785.921698372837 59.5196464368792 -610.81253650721</t>
  </si>
  <si>
    <t>-756.187184661589 59.0809318242541 -688.405769584085</t>
  </si>
  <si>
    <t>-788.836737682645 88.0486268736308 -556.490245479011</t>
  </si>
  <si>
    <t>-791.444170197412 223.907519046973 -535.652660138298</t>
  </si>
  <si>
    <t>-690.316072953955 260.083061427877 -261.689821797553</t>
  </si>
  <si>
    <t>-452.026162186888 270.078458769173 -227.501386891572</t>
  </si>
  <si>
    <t>-784.597576447032 32.8014142686154 -555.516067602146</t>
  </si>
  <si>
    <t>-614.91699201727 16.9068299990365 -326.020998221014</t>
  </si>
  <si>
    <t>-784.583057039794 168.892052422385 -98.6818774434813</t>
  </si>
  <si>
    <t>-783.204299144047 177.631379020311 304.773693531796</t>
  </si>
  <si>
    <t>-859.302172614126 205.033341097124 745.398352504591</t>
  </si>
  <si>
    <t>-714.494123365509 225.1984498888 806.318773482547</t>
  </si>
  <si>
    <t>-691.057975792192 -10.5347670451583 306.776045417143</t>
  </si>
  <si>
    <t>-690.601961918058 -16.6074007326051 754.521675509536</t>
  </si>
  <si>
    <t>-585.59799159522 -109.415162314203 828.33340403511</t>
  </si>
  <si>
    <t>9763-20170724T105129.243516400.bin</t>
  </si>
  <si>
    <t>-759.82085800578 76.6308040495028 -95.4654720151588</t>
  </si>
  <si>
    <t>-776.377321722123 69.5223555692917 -209.883880343093</t>
  </si>
  <si>
    <t>-783.147892866211 65.8465238453741 -308.206388005542</t>
  </si>
  <si>
    <t>-786.833895639213 63.2222751152851 -397.188178169459</t>
  </si>
  <si>
    <t>-787.712745770063 61.2599001335902 -486.259045686917</t>
  </si>
  <si>
    <t>-785.97677806208 59.121184598903 -610.811147770935</t>
  </si>
  <si>
    <t>-756.193367609826 58.7471711411911 -688.385920672849</t>
  </si>
  <si>
    <t>-788.937543627574 87.6795410504631 -556.506791985805</t>
  </si>
  <si>
    <t>-791.916474187442 223.538098738013 -535.699225184687</t>
  </si>
  <si>
    <t>-690.807172650475 259.758020418513 -261.735469479236</t>
  </si>
  <si>
    <t>-452.679975463229 270.38658776335 -226.616255472726</t>
  </si>
  <si>
    <t>-784.543842836629 32.4450391067414 -555.497149348906</t>
  </si>
  <si>
    <t>-614.843307402068 17.3984698689464 -325.963365893316</t>
  </si>
  <si>
    <t>-784.509977212111 168.768501048462 -98.6768330787324</t>
  </si>
  <si>
    <t>-783.074344878458 177.470464763935 304.779312118717</t>
  </si>
  <si>
    <t>-859.25162144432 204.984200810969 745.354373251159</t>
  </si>
  <si>
    <t>-714.494961262229 225.468119575131 806.290356737508</t>
  </si>
  <si>
    <t>-690.718367651974 -10.6610056030192 306.755958671228</t>
  </si>
  <si>
    <t>-690.760035015095 -16.9139880759844 754.519846074567</t>
  </si>
  <si>
    <t>-585.291226315954 -109.21470163038 828.304538370419</t>
  </si>
  <si>
    <t>9763-20170724T105129.308692000.bin</t>
  </si>
  <si>
    <t>-759.520339980734 76.8885198816847 -95.5365737973746</t>
  </si>
  <si>
    <t>-776.181951353771 69.6805294763478 -209.933544231983</t>
  </si>
  <si>
    <t>-783.029500995611 65.9403602166303 -308.248248200028</t>
  </si>
  <si>
    <t>-786.77896706712 63.2627129551684 -397.225784136004</t>
  </si>
  <si>
    <t>-787.71505383748 61.253483120083 -486.294974006907</t>
  </si>
  <si>
    <t>-786.052077411568 59.0559469014986 -610.847121630106</t>
  </si>
  <si>
    <t>-756.23324753436 58.8600164053644 -688.408785855282</t>
  </si>
  <si>
    <t>-789.143156927061 87.626522008251 -556.556471267152</t>
  </si>
  <si>
    <t>-792.827179783818 223.457178137101 -535.724807465895</t>
  </si>
  <si>
    <t>-691.682655777128 259.659768504 -261.771511736817</t>
  </si>
  <si>
    <t>-453.794164609495 271.439818607417 -225.423008997243</t>
  </si>
  <si>
    <t>-784.424524663797 32.4194209983452 -555.519386944475</t>
  </si>
  <si>
    <t>-615.022463407376 19.1323329397487 -325.767533322123</t>
  </si>
  <si>
    <t>-784.552142796273 169.017403667374 -98.7449701734835</t>
  </si>
  <si>
    <t>-783.272012141239 177.698811771508 304.712162109074</t>
  </si>
  <si>
    <t>-859.251500566398 205.113591685929 745.29438843538</t>
  </si>
  <si>
    <t>-714.498538541382 225.511312876587 806.268393042567</t>
  </si>
  <si>
    <t>-690.072881856727 -10.502872044284 306.693683237817</t>
  </si>
  <si>
    <t>-690.767664235113 -16.92052718987 754.486771746112</t>
  </si>
  <si>
    <t>-585.373364215535 -109.302604640806 828.276164558899</t>
  </si>
  <si>
    <t>9763-20170724T105129.341288300.bin</t>
  </si>
  <si>
    <t>-759.461831044766 77.2495030885232 -95.5799919201563</t>
  </si>
  <si>
    <t>-776.131369503227 69.9934562119956 -209.972763122165</t>
  </si>
  <si>
    <t>-782.994255265119 66.2150115314266 -308.284897190237</t>
  </si>
  <si>
    <t>-786.760603107897 63.5022878866841 -397.260742581034</t>
  </si>
  <si>
    <t>-787.716805676017 61.4590215400542 -486.329009555528</t>
  </si>
  <si>
    <t>-786.085303103365 59.2148328953633 -610.880629051816</t>
  </si>
  <si>
    <t>-756.273259345097 59.0897078133698 -688.445128662318</t>
  </si>
  <si>
    <t>-789.233228297969 87.7996570202283 -556.600680506914</t>
  </si>
  <si>
    <t>-793.236657383669 223.617844103157 -535.756085289225</t>
  </si>
  <si>
    <t>-691.905394150381 259.808377932006 -261.870355306832</t>
  </si>
  <si>
    <t>-454.010266154478 271.763147600852 -225.622872880189</t>
  </si>
  <si>
    <t>-784.373431550753 32.6051027798617 -555.542566166478</t>
  </si>
  <si>
    <t>-614.788280406522 19.8610913636448 -325.703825887374</t>
  </si>
  <si>
    <t>-784.688838447194 169.371656050026 -98.7867790207168</t>
  </si>
  <si>
    <t>-783.455862603824 177.966299147743 304.672347466338</t>
  </si>
  <si>
    <t>-859.276569858363 205.225664020818 745.283945259189</t>
  </si>
  <si>
    <t>-714.518485102387 225.558327037006 806.26722830932</t>
  </si>
  <si>
    <t>-689.805710812113 -10.3311636556273 306.661828664571</t>
  </si>
  <si>
    <t>-690.723225490923 -16.8491409961916 754.460483284847</t>
  </si>
  <si>
    <t>-585.334525016358 -109.234470185187 828.253927303166</t>
  </si>
  <si>
    <t>9763-20170724T105129.412981800.bin</t>
  </si>
  <si>
    <t>-759.370235429035 78.1120130034039 -95.6522654637914</t>
  </si>
  <si>
    <t>-776.050361373959 70.8069613881974 -210.040415869992</t>
  </si>
  <si>
    <t>-782.947292062323 66.9648145127364 -308.347728133075</t>
  </si>
  <si>
    <t>-786.754381580875 64.1843728091428 -397.319641493345</t>
  </si>
  <si>
    <t>-787.762283109081 62.0651165261031 -486.385590888708</t>
  </si>
  <si>
    <t>-786.214635905942 59.7066504938791 -610.936133391312</t>
  </si>
  <si>
    <t>-756.417471019932 59.6860754981217 -688.506453011359</t>
  </si>
  <si>
    <t>-789.433958225351 88.3315680748228 -556.681548678543</t>
  </si>
  <si>
    <t>-793.985458916499 224.149893063457 -535.922759462144</t>
  </si>
  <si>
    <t>-692.689319688639 260.538242251233 -262.050161399723</t>
  </si>
  <si>
    <t>-454.770038230691 272.830287909166 -226.075912271701</t>
  </si>
  <si>
    <t>-784.357222410409 33.1576025366883 -555.573603473342</t>
  </si>
  <si>
    <t>-614.440290113058 21.2537035124863 -325.701109802992</t>
  </si>
  <si>
    <t>-784.93649577652 170.122917214378 -98.8464983869211</t>
  </si>
  <si>
    <t>-783.579472720336 178.506139542742 304.616692631161</t>
  </si>
  <si>
    <t>-859.237081831438 205.222578746813 745.284763665602</t>
  </si>
  <si>
    <t>-714.476226396396 225.472835276496 806.289296793914</t>
  </si>
  <si>
    <t>-689.336377700109 -9.74236510710421 306.589818988974</t>
  </si>
  <si>
    <t>-690.581056269096 -16.5823752607737 754.403070720041</t>
  </si>
  <si>
    <t>-585.575306409682 -109.378814810072 828.226695966022</t>
  </si>
  <si>
    <t>9763-20170724T105129.444071000.bin</t>
  </si>
  <si>
    <t>-759.35950600105 78.4100466917214 -95.6473924677935</t>
  </si>
  <si>
    <t>-776.061764325858 71.0726365677524 -210.030130864656</t>
  </si>
  <si>
    <t>-782.985365625572 67.1890842290491 -308.333912036659</t>
  </si>
  <si>
    <t>-786.820091845323 64.3653385281441 -397.303436012459</t>
  </si>
  <si>
    <t>-787.859130564883 62.1975832362646 -486.367846516281</t>
  </si>
  <si>
    <t>-786.359027747191 59.765857463037 -610.917627253735</t>
  </si>
  <si>
    <t>-756.549279169042 59.7648980661322 -688.48300074361</t>
  </si>
  <si>
    <t>-789.596390497913 88.4189014576139 -556.67886016089</t>
  </si>
  <si>
    <t>-794.362750565902 224.238878251366 -535.979070099799</t>
  </si>
  <si>
    <t>-693.363914499631 260.718487820417 -262.008874786692</t>
  </si>
  <si>
    <t>-455.406665067503 273.015271796557 -226.286539402466</t>
  </si>
  <si>
    <t>-784.441844778527 33.2529589495371 -555.539863324359</t>
  </si>
  <si>
    <t>-614.348802887477 21.7184795528578 -325.710765555862</t>
  </si>
  <si>
    <t>-784.976524392539 170.413786912872 -98.8588593321667</t>
  </si>
  <si>
    <t>-783.613649364453 178.707615030721 304.606187332286</t>
  </si>
  <si>
    <t>-859.260644971346 205.301146856497 745.292985312577</t>
  </si>
  <si>
    <t>-714.491294023068 225.474964202738 806.302535435311</t>
  </si>
  <si>
    <t>-689.243809751086 -9.64180140292274 306.586084351934</t>
  </si>
  <si>
    <t>-690.714528277914 -16.8471579155273 754.404561452933</t>
  </si>
  <si>
    <t>-585.352407359272 -109.256341924317 828.206257539257</t>
  </si>
  <si>
    <t>9763-20170724T105129.509821400.bin</t>
  </si>
  <si>
    <t>-759.297954245699 79.0040158326378 -95.6212799305005</t>
  </si>
  <si>
    <t>-776.077086992314 71.6354273719207 -209.990674338584</t>
  </si>
  <si>
    <t>-783.065926001375 67.6848686877711 -308.287241279226</t>
  </si>
  <si>
    <t>-786.960423705728 64.7845477962669 -397.251707691347</t>
  </si>
  <si>
    <t>-788.060819486109 62.5252240892767 -486.31308283301</t>
  </si>
  <si>
    <t>-786.648555407275 59.9505570266704 -610.860947638884</t>
  </si>
  <si>
    <t>-756.75854668343 59.9164962026573 -688.395572987778</t>
  </si>
  <si>
    <t>-789.903367505501 88.6606906443221 -556.653509795982</t>
  </si>
  <si>
    <t>-795.022163909102 224.478559444841 -536.048994875731</t>
  </si>
  <si>
    <t>-695.185598836646 261.166320423874 -261.680756868916</t>
  </si>
  <si>
    <t>-457.187394793924 273.672882520404 -226.306714388715</t>
  </si>
  <si>
    <t>-784.63653351822 33.5063970067613 -555.453720588023</t>
  </si>
  <si>
    <t>-614.602423378953 22.962982581136 -325.577236601399</t>
  </si>
  <si>
    <t>-785.020421823312 170.988371454316 -98.8251067549744</t>
  </si>
  <si>
    <t>-783.564839938301 179.10090959959 304.643325451161</t>
  </si>
  <si>
    <t>-859.277298787633 205.353375970943 745.327801109596</t>
  </si>
  <si>
    <t>-714.505720215149 225.533389048135 806.329901999292</t>
  </si>
  <si>
    <t>-688.943625340975 -9.21999448064685 306.570857169339</t>
  </si>
  <si>
    <t>-690.594727114461 -16.6280450364941 754.366588609619</t>
  </si>
  <si>
    <t>-585.43048907254 -109.247695395732 828.186625673858</t>
  </si>
  <si>
    <t>9763-20170724T105129.542911400.bin</t>
  </si>
  <si>
    <t>-759.264715766246 79.2234429536481 -95.6078214461137</t>
  </si>
  <si>
    <t>-776.081624641179 71.8534050863466 -209.971645229412</t>
  </si>
  <si>
    <t>-783.096540427507 67.8857775772253 -308.265662483528</t>
  </si>
  <si>
    <t>-787.012651034001 64.9642354278451 -397.228366904892</t>
  </si>
  <si>
    <t>-788.132924211203 62.6780907166456 -486.288881445765</t>
  </si>
  <si>
    <t>-786.747158514766 60.0610569584662 -610.836252241837</t>
  </si>
  <si>
    <t>-756.784160465368 60.0041267707866 -688.342690980851</t>
  </si>
  <si>
    <t>-790.015251107744 88.7872408878623 -556.638027937126</t>
  </si>
  <si>
    <t>-795.286316379774 224.606658243342 -536.077591356921</t>
  </si>
  <si>
    <t>-696.23265980793 261.241885653839 -261.418879901945</t>
  </si>
  <si>
    <t>-458.209231631929 273.706721843705 -226.200114628226</t>
  </si>
  <si>
    <t>-784.698427073496 33.6382539922827 -555.419955163413</t>
  </si>
  <si>
    <t>-614.681990390529 23.4509736587129 -325.524789967633</t>
  </si>
  <si>
    <t>-784.987826855192 171.223612435948 -98.8014431656902</t>
  </si>
  <si>
    <t>-783.455930690182 179.22127060324 304.668959621425</t>
  </si>
  <si>
    <t>-859.273510465782 205.339673022211 745.347368969146</t>
  </si>
  <si>
    <t>-714.515349900945 225.647401461775 806.339001309312</t>
  </si>
  <si>
    <t>-688.78918409263 -9.12184133845608 306.567157543226</t>
  </si>
  <si>
    <t>-690.662334562236 -16.7760698824561 754.364729727782</t>
  </si>
  <si>
    <t>-585.282172693905 -109.157742154653 828.174904016351</t>
  </si>
  <si>
    <t>9763-20170724T105129.611110000.bin</t>
  </si>
  <si>
    <t>-759.276684784389 79.6653044982284 -95.5752433568942</t>
  </si>
  <si>
    <t>-776.180475508291 72.3111964867317 -209.927317659558</t>
  </si>
  <si>
    <t>-783.267123380527 68.3279872717303 -308.215515685097</t>
  </si>
  <si>
    <t>-787.247856597739 65.3817446409598 -397.174503770844</t>
  </si>
  <si>
    <t>-788.433270598013 63.0615693225582 -486.233255360377</t>
  </si>
  <si>
    <t>-787.13932357479 60.3876132564742 -610.780426706926</t>
  </si>
  <si>
    <t>-756.963484859799 60.2821529280664 -688.204170014996</t>
  </si>
  <si>
    <t>-790.40863076796 89.1344705517877 -556.59341658554</t>
  </si>
  <si>
    <t>-795.932416625122 224.947774569719 -536.057966443603</t>
  </si>
  <si>
    <t>-698.219206966404 261.305847565391 -260.882706087797</t>
  </si>
  <si>
    <t>-460.236283476488 274.289656835921 -225.578916004739</t>
  </si>
  <si>
    <t>-785.008832826137 33.9940834460917 -555.353405928153</t>
  </si>
  <si>
    <t>-614.994453811816 24.1146137993235 -325.492074300745</t>
  </si>
  <si>
    <t>-785.00611488231 171.716409346241 -98.7519881795157</t>
  </si>
  <si>
    <t>-783.465042213623 179.515162008812 304.722216593132</t>
  </si>
  <si>
    <t>-859.34177761627 205.476936198926 745.40237010274</t>
  </si>
  <si>
    <t>-714.553355405166 225.617435767873 806.377390648554</t>
  </si>
  <si>
    <t>-688.568567876759 -8.89516475240998 306.551837910276</t>
  </si>
  <si>
    <t>-690.632871984259 -16.7393051488646 754.336907954609</t>
  </si>
  <si>
    <t>-585.410916613992 -109.281243248839 828.172032183854</t>
  </si>
  <si>
    <t>9763-20170724T105129.642694600.bin</t>
  </si>
  <si>
    <t>-759.275779016016 79.8675831643673 -95.56261898839</t>
  </si>
  <si>
    <t>-776.221942285759 72.5050357096191 -209.907875055132</t>
  </si>
  <si>
    <t>-783.342996758126 68.5072033453698 -308.193047671504</t>
  </si>
  <si>
    <t>-787.354480934292 65.5452038132337 -397.150087857132</t>
  </si>
  <si>
    <t>-788.570393876224 63.2072529845766 -486.207950704388</t>
  </si>
  <si>
    <t>-787.319063292404 60.5064098225437 -610.754931452079</t>
  </si>
  <si>
    <t>-757.02396608144 60.3865883982187 -688.132030543012</t>
  </si>
  <si>
    <t>-790.594104602424 89.2625359128617 -556.573078846847</t>
  </si>
  <si>
    <t>-796.214371309304 225.070490985006 -536.009324069963</t>
  </si>
  <si>
    <t>-698.827545276422 261.233462122524 -260.69266050622</t>
  </si>
  <si>
    <t>-460.858315555866 274.465622835938 -225.387490409584</t>
  </si>
  <si>
    <t>-785.14520480002 34.1273205732671 -555.322814249703</t>
  </si>
  <si>
    <t>-614.943781495293 24.2210307832554 -325.590766645229</t>
  </si>
  <si>
    <t>-785.018120853608 171.91981649086 -98.732220227721</t>
  </si>
  <si>
    <t>-783.561189341045 179.716724785582 304.742403866298</t>
  </si>
  <si>
    <t>-859.391549568073 205.578819772272 745.430441536167</t>
  </si>
  <si>
    <t>-714.549513546019 225.338306297778 806.403092649948</t>
  </si>
  <si>
    <t>-688.544625117114 -8.81465080350495 306.550135398163</t>
  </si>
  <si>
    <t>-690.653699723786 -16.7772573147163 754.335690966349</t>
  </si>
  <si>
    <t>-585.362843204326 -109.242976404646 828.16826893509</t>
  </si>
  <si>
    <t>9763-20170724T105129.708377000.bin</t>
  </si>
  <si>
    <t>-759.290610901726 80.2032701622247 -95.5627203540223</t>
  </si>
  <si>
    <t>-776.322108851491 72.796832348952 -209.892438126018</t>
  </si>
  <si>
    <t>-783.490437100234 68.76461295031 -308.172675792861</t>
  </si>
  <si>
    <t>-787.534051195623 65.7719105331278 -397.127355029637</t>
  </si>
  <si>
    <t>-788.771720220191 63.4042663448211 -486.184099328468</t>
  </si>
  <si>
    <t>-787.539914269535 60.6631840862112 -610.730392961198</t>
  </si>
  <si>
    <t>-757.037626635206 60.5509582911723 -688.026213703925</t>
  </si>
  <si>
    <t>-790.855831696501 89.4319948486709 -556.557807102435</t>
  </si>
  <si>
    <t>-796.776383641399 225.224012939907 -535.974984420265</t>
  </si>
  <si>
    <t>-699.949532050024 261.11811270164 -260.425826240058</t>
  </si>
  <si>
    <t>-462.053583655171 275.176432884328 -224.94741691759</t>
  </si>
  <si>
    <t>-785.308105818045 34.306862297339 -555.289737992562</t>
  </si>
  <si>
    <t>-614.653325415388 24.6977275346742 -325.196037549586</t>
  </si>
  <si>
    <t>-785.167646743989 172.210167724056 -98.7087920367585</t>
  </si>
  <si>
    <t>-783.66085321132 179.937908503379 304.766939007333</t>
  </si>
  <si>
    <t>-859.38719685535 205.529266144891 745.499928240313</t>
  </si>
  <si>
    <t>-714.581488540568 225.615106321939 806.452071432368</t>
  </si>
  <si>
    <t>-688.465040809182 -8.53626920491138 306.551677101479</t>
  </si>
  <si>
    <t>-690.589750066774 -16.6520086244798 754.326252286786</t>
  </si>
  <si>
    <t>-585.428247184029 -109.255492916457 828.170373052426</t>
  </si>
  <si>
    <t>9763-20170724T105129.745474100.bin</t>
  </si>
  <si>
    <t>-759.309694746423 80.2164118961452 -95.5563263685266</t>
  </si>
  <si>
    <t>-776.362187581006 72.7891348295057 -209.881563994319</t>
  </si>
  <si>
    <t>-783.534445161728 68.7470181008766 -308.161178382578</t>
  </si>
  <si>
    <t>-787.57576386036 65.7478313228785 -397.115657347493</t>
  </si>
  <si>
    <t>-788.805212256609 63.3765362705547 -486.172477588655</t>
  </si>
  <si>
    <t>-787.555719580746 60.6330682546682 -610.718597910864</t>
  </si>
  <si>
    <t>-756.970168726012 60.5505836531461 -687.981521958598</t>
  </si>
  <si>
    <t>-790.907205502498 89.4001426553514 -556.547170435459</t>
  </si>
  <si>
    <t>-797.010516427799 225.182426885372 -535.985947924052</t>
  </si>
  <si>
    <t>-700.51251160681 261.131733945187 -260.328535283655</t>
  </si>
  <si>
    <t>-462.678402113003 275.769780360512 -224.670415314842</t>
  </si>
  <si>
    <t>-785.303840176069 34.2806500683307 -555.276906849265</t>
  </si>
  <si>
    <t>-614.852028539215 24.8427772527723 -325.239186375005</t>
  </si>
  <si>
    <t>-785.234027176893 172.224300542054 -98.6876351111629</t>
  </si>
  <si>
    <t>-783.6076986342 179.905556522047 304.78853604285</t>
  </si>
  <si>
    <t>-859.376443057584 205.466838376691 745.526971244905</t>
  </si>
  <si>
    <t>-714.540271351547 225.337970461351 806.477064047904</t>
  </si>
  <si>
    <t>-688.445869730556 -8.5440417360544 306.557672562518</t>
  </si>
  <si>
    <t>-690.685272379239 -16.8378035474345 754.334965732743</t>
  </si>
  <si>
    <t>-585.416103566141 -109.322375698118 828.174731463596</t>
  </si>
  <si>
    <t>9763-20170724T105129.810654400.bin</t>
  </si>
  <si>
    <t>-759.305227652644 80.3055695624359 -95.5383158322657</t>
  </si>
  <si>
    <t>-776.37434037562 72.8324936557381 -209.858128141855</t>
  </si>
  <si>
    <t>-783.544317037604 68.770283452033 -308.137087342688</t>
  </si>
  <si>
    <t>-787.576124301307 65.759584686843 -397.091617627712</t>
  </si>
  <si>
    <t>-788.788919219917 63.3842813135411 -486.148555387238</t>
  </si>
  <si>
    <t>-787.508116205492 60.6431993474835 -610.694361845144</t>
  </si>
  <si>
    <t>-756.783080251584 60.6352677899895 -687.901789642505</t>
  </si>
  <si>
    <t>-790.933911011766 89.4028673741161 -556.523700280742</t>
  </si>
  <si>
    <t>-797.36749765278 225.170615425276 -535.979172647908</t>
  </si>
  <si>
    <t>-701.612314677639 261.378428685319 -260.096728148993</t>
  </si>
  <si>
    <t>-463.894270006838 276.771326855896 -223.984171077626</t>
  </si>
  <si>
    <t>-785.209547339641 34.2958054969665 -555.251981261029</t>
  </si>
  <si>
    <t>-614.749232348363 25.1835901662953 -325.133560049151</t>
  </si>
  <si>
    <t>-785.358772751214 172.251271219726 -98.6628583553302</t>
  </si>
  <si>
    <t>-783.371016062708 179.852886115735 304.813135397382</t>
  </si>
  <si>
    <t>-859.429189991145 205.517865303048 745.516335643379</t>
  </si>
  <si>
    <t>-714.578718624141 225.319258259319 806.45536733295</t>
  </si>
  <si>
    <t>-688.305604861677 -8.47225656130627 306.573988983579</t>
  </si>
  <si>
    <t>-690.608253377761 -16.6892290411554 754.337627781503</t>
  </si>
  <si>
    <t>-585.542773296246 -109.392341676223 828.193364392698</t>
  </si>
  <si>
    <t>9763-20170724T105129.844246800.bin</t>
  </si>
  <si>
    <t>-759.329932246308 80.3700033987859 -95.5173384089218</t>
  </si>
  <si>
    <t>-776.413446182468 72.8946313176662 -209.834942004085</t>
  </si>
  <si>
    <t>-783.585735303313 68.8362157545148 -308.113790856262</t>
  </si>
  <si>
    <t>-787.616099438337 65.8313770645204 -397.068636806306</t>
  </si>
  <si>
    <t>-788.823374835706 63.4645935599401 -486.125853239226</t>
  </si>
  <si>
    <t>-787.530598304027 60.7387497480408 -610.671839172685</t>
  </si>
  <si>
    <t>-756.738843568987 60.7629007656362 -687.852813655674</t>
  </si>
  <si>
    <t>-790.994139965899 89.4884225304056 -556.49827064084</t>
  </si>
  <si>
    <t>-797.596966480053 225.249846382327 -535.962825423263</t>
  </si>
  <si>
    <t>-702.144034870026 261.634876751054 -259.999004360147</t>
  </si>
  <si>
    <t>-464.53443917249 277.683326308881 -223.462107987761</t>
  </si>
  <si>
    <t>-785.204709243396 34.3880446119422 -555.232165105513</t>
  </si>
  <si>
    <t>-614.703937371891 25.4616207060462 -325.188847671952</t>
  </si>
  <si>
    <t>-785.433900074629 172.277463522161 -98.6500595997057</t>
  </si>
  <si>
    <t>-783.350621037617 179.852547867547 304.826054201243</t>
  </si>
  <si>
    <t>-859.405571661524 205.446240250443 745.510821466152</t>
  </si>
  <si>
    <t>-714.563472833023 225.322722295906 806.445277184451</t>
  </si>
  <si>
    <t>-688.264913837087 -8.44674134894785 306.579275125188</t>
  </si>
  <si>
    <t>-690.634468315089 -16.7430775789774 754.341110714922</t>
  </si>
  <si>
    <t>-585.596956371166 -109.473286309622 828.202699418578</t>
  </si>
  <si>
    <t>9763-20170724T105129.910452800.bin</t>
  </si>
  <si>
    <t>-759.259149715343 80.4000246888625 -95.51052575696</t>
  </si>
  <si>
    <t>-776.375273859557 72.8876310004159 -209.820832301636</t>
  </si>
  <si>
    <t>-783.556359009747 68.7938304218685 -308.097532523159</t>
  </si>
  <si>
    <t>-787.587107030036 65.7557997039455 -397.051310406339</t>
  </si>
  <si>
    <t>-788.787543634144 63.3557052240142 -486.107708246921</t>
  </si>
  <si>
    <t>-787.478174113072 60.5836749336204 -610.652535560922</t>
  </si>
  <si>
    <t>-756.576365537285 60.6197248523911 -687.789384518633</t>
  </si>
  <si>
    <t>-791.020003041759 89.3459171036636 -556.490711338789</t>
  </si>
  <si>
    <t>-797.986846804121 225.096099312479 -535.966586073303</t>
  </si>
  <si>
    <t>-703.167363460074 261.605272383818 -259.800756159519</t>
  </si>
  <si>
    <t>-465.682917621539 278.580823378339 -222.87085755157</t>
  </si>
  <si>
    <t>-785.088813240786 34.2611293951397 -555.202326866656</t>
  </si>
  <si>
    <t>-614.656887598699 25.963508464703 -325.053438519117</t>
  </si>
  <si>
    <t>-785.36758711613 172.299370740735 -98.6686118213677</t>
  </si>
  <si>
    <t>-783.434517367318 179.92586872585 304.807280294172</t>
  </si>
  <si>
    <t>-859.415622190848 205.47994268622 745.481698423968</t>
  </si>
  <si>
    <t>-714.558685253703 225.226987297489 806.422804584625</t>
  </si>
  <si>
    <t>-688.203410802042 -8.43677783654607 306.585985321667</t>
  </si>
  <si>
    <t>-690.666243810916 -16.8100558060969 754.346658646185</t>
  </si>
  <si>
    <t>-585.468501863336 -109.363489300401 828.201635752086</t>
  </si>
  <si>
    <t>9763-20170724T105129.943039200.bin</t>
  </si>
  <si>
    <t>-759.236619414867 80.4548422696666 -95.5057480041502</t>
  </si>
  <si>
    <t>-776.397636002868 72.9096548434243 -209.807026454865</t>
  </si>
  <si>
    <t>-783.599853487754 68.7992585729714 -308.081605673486</t>
  </si>
  <si>
    <t>-787.642361036035 65.7502845731319 -397.034461137623</t>
  </si>
  <si>
    <t>-788.84736929138 63.3437818095665 -486.090664974191</t>
  </si>
  <si>
    <t>-787.536565073987 60.5676847336492 -610.635320959671</t>
  </si>
  <si>
    <t>-756.597890862523 60.6030196833819 -687.757434908307</t>
  </si>
  <si>
    <t>-791.115484363349 89.3277281670601 -556.474712836696</t>
  </si>
  <si>
    <t>-798.302809678285 225.066410073569 -535.960196738216</t>
  </si>
  <si>
    <t>-703.833975208246 261.67528708692 -259.687414255221</t>
  </si>
  <si>
    <t>-466.411364395738 279.109417817955 -222.573748052606</t>
  </si>
  <si>
    <t>-785.111459484996 34.2510311533542 -555.183939305798</t>
  </si>
  <si>
    <t>-614.629718229298 26.3336618787644 -324.986694378055</t>
  </si>
  <si>
    <t>-785.450416075678 172.384600066542 -98.6614447877944</t>
  </si>
  <si>
    <t>-783.438452521445 180.019356380706 304.813871511133</t>
  </si>
  <si>
    <t>-859.500896011466 205.647338786925 745.482179949565</t>
  </si>
  <si>
    <t>-714.600147369014 225.07233342288 806.422660481408</t>
  </si>
  <si>
    <t>-688.135096954193 -8.43172083914078 306.59092786467</t>
  </si>
  <si>
    <t>-690.694961833303 -16.8734061022672 754.348086106215</t>
  </si>
  <si>
    <t>-585.456949599667 -109.380920611616 828.203522795875</t>
  </si>
  <si>
    <t>9763-20170724T105130.012230800.bin</t>
  </si>
  <si>
    <t>-759.134459713276 80.5312700016955 -95.5130162043957</t>
  </si>
  <si>
    <t>-776.393324449359 72.9205936582603 -209.795348217108</t>
  </si>
  <si>
    <t>-783.645032866171 68.7670885878892 -308.064457733428</t>
  </si>
  <si>
    <t>-787.718049596297 65.6827162242566 -397.01464989198</t>
  </si>
  <si>
    <t>-788.939517543874 63.2454960009243 -486.069773067434</t>
  </si>
  <si>
    <t>-787.636772981778 60.4308321345732 -610.613694652753</t>
  </si>
  <si>
    <t>-756.652072963707 60.4734735370669 -687.717313151441</t>
  </si>
  <si>
    <t>-791.286325131163 89.199432492971 -556.462312364878</t>
  </si>
  <si>
    <t>-798.881169735555 224.917743736657 -535.954685304294</t>
  </si>
  <si>
    <t>-704.983868659881 261.756525725895 -259.517628233143</t>
  </si>
  <si>
    <t>-467.62464315474 279.808967981281 -222.294049474671</t>
  </si>
  <si>
    <t>-785.133936134789 34.1395025717911 -555.153673583339</t>
  </si>
  <si>
    <t>-614.543533155053 26.78255481367 -324.788680054548</t>
  </si>
  <si>
    <t>-785.518644499524 172.375134489494 -98.6613343556302</t>
  </si>
  <si>
    <t>-783.268044527775 179.888372702218 304.815024431019</t>
  </si>
  <si>
    <t>-859.446853041692 205.473997262951 745.468479289867</t>
  </si>
  <si>
    <t>-714.601658221284 225.377701461085 806.386828538269</t>
  </si>
  <si>
    <t>-687.88426706723 -8.33313502158126 306.597900451249</t>
  </si>
  <si>
    <t>-690.631369530832 -16.781669574732 754.34153219008</t>
  </si>
  <si>
    <t>-585.581672244749 -109.48605408436 828.218003595448</t>
  </si>
  <si>
    <t>9763-20170724T105130.043317600.bin</t>
  </si>
  <si>
    <t>-759.075636239487 80.5767268444497 -95.5370743224381</t>
  </si>
  <si>
    <t>-776.36244569081 72.950230638761 -209.81401170152</t>
  </si>
  <si>
    <t>-783.647186406363 68.7786549989303 -308.079937489878</t>
  </si>
  <si>
    <t>-787.753795921363 65.675870254908 -397.028017621764</t>
  </si>
  <si>
    <t>-789.012396215225 63.2183547025338 -486.082080934157</t>
  </si>
  <si>
    <t>-787.765801464146 60.3741112199834 -610.625884206493</t>
  </si>
  <si>
    <t>-756.777627845077 60.422703297849 -687.728058814305</t>
  </si>
  <si>
    <t>-791.421828822436 89.1520452727532 -556.480001666992</t>
  </si>
  <si>
    <t>-799.184338691074 224.861320851641 -535.984989103155</t>
  </si>
  <si>
    <t>-705.528926690842 261.777098485267 -259.476114722653</t>
  </si>
  <si>
    <t>-468.179187215216 280.087960965539 -222.319359323866</t>
  </si>
  <si>
    <t>-785.206982119699 34.099275380225 -555.160524539509</t>
  </si>
  <si>
    <t>-614.331499396558 26.9092610532539 -324.771324914463</t>
  </si>
  <si>
    <t>-785.522796615809 172.441335690348 -98.6745347790441</t>
  </si>
  <si>
    <t>-783.273969356814 179.941870395861 304.802012799489</t>
  </si>
  <si>
    <t>-859.495991245078 205.576720542075 745.445390537109</t>
  </si>
  <si>
    <t>-714.623059403777 225.268820320061 806.366332688342</t>
  </si>
  <si>
    <t>-687.77821841406 -8.2561631285987 306.580158769292</t>
  </si>
  <si>
    <t>-690.608180190061 -16.7559966630722 754.329053042352</t>
  </si>
  <si>
    <t>-585.502898878803 -109.393285213659 828.21073937801</t>
  </si>
  <si>
    <t>9763-20170724T105130.109041200.bin</t>
  </si>
  <si>
    <t>-758.970171719083 80.7057675053138 -95.5690179097153</t>
  </si>
  <si>
    <t>-776.289381602687 73.015891372472 -209.836861382636</t>
  </si>
  <si>
    <t>-783.626968188952 68.8080508190935 -308.097245132023</t>
  </si>
  <si>
    <t>-787.790706804302 65.679441411763 -397.041721145205</t>
  </si>
  <si>
    <t>-789.116236562695 63.2042661847788 -486.094358657281</t>
  </si>
  <si>
    <t>-787.972442919153 60.3439484526316 -610.638698099005</t>
  </si>
  <si>
    <t>-757.00902430114 60.4373363473817 -687.750875763152</t>
  </si>
  <si>
    <t>-791.644092153344 89.1219466408868 -556.493981794339</t>
  </si>
  <si>
    <t>-799.680531376796 224.81449757953 -535.974816159833</t>
  </si>
  <si>
    <t>-706.34738234403 261.798694657053 -259.366303867663</t>
  </si>
  <si>
    <t>-469.00294058808 280.475144696111 -222.357208130154</t>
  </si>
  <si>
    <t>-785.307556116384 34.083169343965 -555.171767514518</t>
  </si>
  <si>
    <t>-614.16607041141 27.1222816100508 -324.863311823607</t>
  </si>
  <si>
    <t>-785.532479108403 172.562646640539 -98.7163169781671</t>
  </si>
  <si>
    <t>-783.296106891324 180.043091177044 304.760728621713</t>
  </si>
  <si>
    <t>-859.506962208133 205.596020694507 745.402638597013</t>
  </si>
  <si>
    <t>-714.638930717435 225.313860131935 806.326705051983</t>
  </si>
  <si>
    <t>-687.486429040972 -8.13166939076564 306.550307120645</t>
  </si>
  <si>
    <t>-690.534903262843 -16.6455835328397 754.305363054323</t>
  </si>
  <si>
    <t>-585.564869404781 -109.421577045666 828.205266129196</t>
  </si>
  <si>
    <t>9763-20170724T105130.142654800.bin</t>
  </si>
  <si>
    <t>-759.020687411282 80.6515228949879 -95.5792462818673</t>
  </si>
  <si>
    <t>-776.359883568075 72.9386219409666 -209.842530406864</t>
  </si>
  <si>
    <t>-783.70766210483 68.7218970966044 -308.101730233289</t>
  </si>
  <si>
    <t>-787.87755285606 65.5893767668097 -397.045773620182</t>
  </si>
  <si>
    <t>-789.206068436693 63.1149948182117 -486.098326165902</t>
  </si>
  <si>
    <t>-788.0633606059 60.2610354174551 -610.643027249854</t>
  </si>
  <si>
    <t>-757.111602952121 60.3873781398333 -687.759756110463</t>
  </si>
  <si>
    <t>-791.766667309787 89.0326796641473 -556.49692745981</t>
  </si>
  <si>
    <t>-799.976169643449 224.711472092481 -535.96795762308</t>
  </si>
  <si>
    <t>-706.847809829556 261.65964103218 -259.285554316817</t>
  </si>
  <si>
    <t>-469.496403463518 280.516633161963 -222.413920290647</t>
  </si>
  <si>
    <t>-785.365616477787 34.0013476044437 -555.1770270604</t>
  </si>
  <si>
    <t>-614.257058099152 27.3290828619549 -324.821562289342</t>
  </si>
  <si>
    <t>-785.624571981731 172.55674963565 -98.7402014643739</t>
  </si>
  <si>
    <t>-783.311936831033 180.003517866633 304.737017421564</t>
  </si>
  <si>
    <t>-859.470678946407 205.507495274881 745.382470893446</t>
  </si>
  <si>
    <t>-714.599544058747 225.206587878249 806.305634202738</t>
  </si>
  <si>
    <t>-687.523333758187 -8.27101998058924 306.552005079965</t>
  </si>
  <si>
    <t>-690.683003971518 -16.9504076025037 754.310259166485</t>
  </si>
  <si>
    <t>-585.06170402956 -109.013374442649 828.173830359915</t>
  </si>
  <si>
    <t>9763-20170724T105130.209850600.bin</t>
  </si>
  <si>
    <t>-758.955703939032 80.9111896309246 -95.605999905624</t>
  </si>
  <si>
    <t>-776.334689516098 73.168885333961 -209.861127921769</t>
  </si>
  <si>
    <t>-783.699904698937 68.9480580236489 -308.119007412504</t>
  </si>
  <si>
    <t>-787.878541290584 65.8199845106574 -397.0627315735</t>
  </si>
  <si>
    <t>-789.208737515436 63.3593869265937 -486.115561900098</t>
  </si>
  <si>
    <t>-788.060843486169 60.53496090884 -610.660798634255</t>
  </si>
  <si>
    <t>-757.126801605617 60.7237593619407 -687.784664383131</t>
  </si>
  <si>
    <t>-791.828369828623 89.2863473581197 -556.508661421981</t>
  </si>
  <si>
    <t>-800.396799410721 224.943843097005 -535.976770914249</t>
  </si>
  <si>
    <t>-708.007335060564 261.950847135788 -259.054701860944</t>
  </si>
  <si>
    <t>-470.666686992223 281.173193959739 -222.301574070508</t>
  </si>
  <si>
    <t>-785.303615776204 34.2693758096818 -555.200764961117</t>
  </si>
  <si>
    <t>-614.358109668427 28.2742343315447 -324.926142616537</t>
  </si>
  <si>
    <t>-785.698655161214 172.752000161958 -98.7655937307838</t>
  </si>
  <si>
    <t>-783.203556866099 180.16177031694 304.711223163247</t>
  </si>
  <si>
    <t>-859.507218587499 205.551668809153 745.351734563479</t>
  </si>
  <si>
    <t>-714.635993986966 225.254743680205 806.27278916924</t>
  </si>
  <si>
    <t>-687.257304373907 -7.98650542674682 306.529776848804</t>
  </si>
  <si>
    <t>-690.500716586075 -16.605772040132 754.284976335359</t>
  </si>
  <si>
    <t>-585.682920791801 -109.537474349843 828.205502391638</t>
  </si>
  <si>
    <t>9763-20170724T105130.244971600.bin</t>
  </si>
  <si>
    <t>-758.910020131104 81.0906232232901 -95.6174747332275</t>
  </si>
  <si>
    <t>-776.303562174207 73.3468987351207 -209.87034890413</t>
  </si>
  <si>
    <t>-783.687852503917 69.1299913869937 -308.126802288751</t>
  </si>
  <si>
    <t>-787.886462710213 66.008116135645 -397.069857654213</t>
  </si>
  <si>
    <t>-789.23926640038 63.5570295750074 -486.122741110781</t>
  </si>
  <si>
    <t>-788.125647413542 60.749528579026 -610.668659541008</t>
  </si>
  <si>
    <t>-757.201378709399 60.9727087841586 -687.796322016593</t>
  </si>
  <si>
    <t>-791.904379706814 89.4905187298032 -556.511600627877</t>
  </si>
  <si>
    <t>-800.612690175003 225.13455823067 -535.95836592571</t>
  </si>
  <si>
    <t>-708.659938449171 262.144200259911 -258.891222877702</t>
  </si>
  <si>
    <t>-471.339461572129 281.574982702953 -222.117064948167</t>
  </si>
  <si>
    <t>-785.326785827701 34.4793991848626 -555.21277988911</t>
  </si>
  <si>
    <t>-614.251350900287 28.5838382153975 -324.926190479959</t>
  </si>
  <si>
    <t>-785.687278663413 172.881341465699 -98.7736694633362</t>
  </si>
  <si>
    <t>-783.220828644163 180.297918398588 304.703188126484</t>
  </si>
  <si>
    <t>-859.532018068423 205.593965749993 745.344382777763</t>
  </si>
  <si>
    <t>-714.628019771387 225.046644344443 806.268266744664</t>
  </si>
  <si>
    <t>-687.106264263174 -7.79030125605459 306.504619982952</t>
  </si>
  <si>
    <t>-690.401662087871 -16.4219557890856 754.26645909504</t>
  </si>
  <si>
    <t>-585.969701546302 -109.765550497717 828.213943466514</t>
  </si>
  <si>
    <t>9763-20170724T105130.311149800.bin</t>
  </si>
  <si>
    <t>-758.996733250467 80.9900689210451 -95.6187099731735</t>
  </si>
  <si>
    <t>-776.385849902917 73.2453915827336 -209.872204241659</t>
  </si>
  <si>
    <t>-783.80133321289 69.0423440852289 -308.126928566474</t>
  </si>
  <si>
    <t>-788.042019543769 65.9397076034343 -397.068616805156</t>
  </si>
  <si>
    <t>-789.450773165518 63.5154804180067 -486.121300559436</t>
  </si>
  <si>
    <t>-788.42984459536 60.7545484584728 -610.669148987864</t>
  </si>
  <si>
    <t>-757.51449225519 61.024063573054 -687.800196845305</t>
  </si>
  <si>
    <t>-792.197676668461 89.4716212388014 -556.498691514498</t>
  </si>
  <si>
    <t>-801.101399255597 225.090643611242 -535.874239340098</t>
  </si>
  <si>
    <t>-710.198981893168 262.091921377394 -258.459606308999</t>
  </si>
  <si>
    <t>-472.921192899411 281.853401178734 -221.586465289887</t>
  </si>
  <si>
    <t>-785.560423651507 34.4673076222011 -555.224969438382</t>
  </si>
  <si>
    <t>-614.316377976559 28.4742702122574 -325.176602098144</t>
  </si>
  <si>
    <t>-785.719239110816 172.843093812151 -98.772779697448</t>
  </si>
  <si>
    <t>-783.264722390871 180.22284407018 304.704844076619</t>
  </si>
  <si>
    <t>-859.516628933139 205.534276318501 745.327937196739</t>
  </si>
  <si>
    <t>-714.64239631835 225.22019950676 806.247732323026</t>
  </si>
  <si>
    <t>-687.161357568049 -8.01075960508524 306.494271776925</t>
  </si>
  <si>
    <t>-690.624901965516 -16.8907584674134 754.268820248825</t>
  </si>
  <si>
    <t>-585.382870344727 -109.352189142878 828.176004742476</t>
  </si>
  <si>
    <t>9763-20170724T105130.344748200.bin</t>
  </si>
  <si>
    <t>-759.045633124114 81.0661333645353 -95.6154982093816</t>
  </si>
  <si>
    <t>-776.435396712 73.3272809773362 -209.869295343988</t>
  </si>
  <si>
    <t>-783.862791085331 69.1350109471978 -308.123744387316</t>
  </si>
  <si>
    <t>-788.11877445456 66.0448443161458 -397.065080344964</t>
  </si>
  <si>
    <t>-789.547396856677 63.6365996039419 -486.117948726868</t>
  </si>
  <si>
    <t>-788.558739698308 60.9014723633593 -610.666521273872</t>
  </si>
  <si>
    <t>-757.655816570546 61.183146063707 -687.802441069237</t>
  </si>
  <si>
    <t>-792.321694125077 89.6063412791709 -556.489216350559</t>
  </si>
  <si>
    <t>-801.290417517276 225.219164178702 -535.828375181862</t>
  </si>
  <si>
    <t>-711.072831071551 262.153733420592 -258.181331256141</t>
  </si>
  <si>
    <t>-473.824584915472 282.102339509006 -221.218135334861</t>
  </si>
  <si>
    <t>-785.665909355725 34.6037294422217 -555.22852366107</t>
  </si>
  <si>
    <t>-614.551259399999 28.7287365620659 -325.110339554328</t>
  </si>
  <si>
    <t>-785.765929539966 172.940602074286 -98.7760333236855</t>
  </si>
  <si>
    <t>-783.300700828141 180.297561029566 304.701894713975</t>
  </si>
  <si>
    <t>-859.564298827456 205.628086241785 745.324968442826</t>
  </si>
  <si>
    <t>-714.667061611686 225.136988513543 806.246944846077</t>
  </si>
  <si>
    <t>-687.121885219483 -7.95842804390713 306.484161935616</t>
  </si>
  <si>
    <t>-690.570256427936 -16.7982648558777 754.252793616355</t>
  </si>
  <si>
    <t>-585.402251239496 -109.334899569771 828.171641816371</t>
  </si>
  <si>
    <t>9763-20170724T105130.412001500.bin</t>
  </si>
  <si>
    <t>-759.129322434268 81.164137259065 -95.6066580698929</t>
  </si>
  <si>
    <t>-776.533262469719 73.4227257289328 -209.858064652561</t>
  </si>
  <si>
    <t>-784.001796031207 69.2415387750734 -308.109758397933</t>
  </si>
  <si>
    <t>-788.306690843415 66.1684829185756 -397.049436436775</t>
  </si>
  <si>
    <t>-789.795622012656 63.7852091304169 -486.101906706609</t>
  </si>
  <si>
    <t>-788.903540766205 61.0945918422481 -610.652223216193</t>
  </si>
  <si>
    <t>-758.033940365659 61.3993692973604 -687.801471298601</t>
  </si>
  <si>
    <t>-792.642232364234 89.7778750451059 -556.461799213907</t>
  </si>
  <si>
    <t>-801.782894409047 225.374417227076 -535.767550598002</t>
  </si>
  <si>
    <t>-713.242804051622 262.131300878007 -257.557587799885</t>
  </si>
  <si>
    <t>-476.040408024934 282.282309016406 -220.411526755832</t>
  </si>
  <si>
    <t>-785.949895343908 34.7792466919248 -555.225817597685</t>
  </si>
  <si>
    <t>-614.877080837324 29.1456498126538 -324.748942261287</t>
  </si>
  <si>
    <t>-785.844718963518 173.032497924922 -98.7749127005679</t>
  </si>
  <si>
    <t>-783.277039532451 180.291687409422 304.704143665479</t>
  </si>
  <si>
    <t>-859.564962417955 205.595200127891 745.331590421657</t>
  </si>
  <si>
    <t>-714.683333143174 225.244618743511 806.245328829022</t>
  </si>
  <si>
    <t>-687.174482868788 -7.86217601495696 306.480595574506</t>
  </si>
  <si>
    <t>-690.550543227115 -16.7810279748101 754.246552389262</t>
  </si>
  <si>
    <t>-585.476482879797 -109.413263444829 828.179289126648</t>
  </si>
  <si>
    <t>9763-20170724T105130.439574400.bin</t>
  </si>
  <si>
    <t>-759.17195942782 81.3121849920401 -95.6050558741188</t>
  </si>
  <si>
    <t>-776.589250953566 73.572902051563 -209.854642802854</t>
  </si>
  <si>
    <t>-784.101701467327 69.3982998815352 -308.103252193901</t>
  </si>
  <si>
    <t>-788.459751821769 66.3342064587339 -397.040680733287</t>
  </si>
  <si>
    <t>-790.014889415063 63.9636199532767 -486.092369122664</t>
  </si>
  <si>
    <t>-789.229211656221 61.2954441263046 -610.643791816716</t>
  </si>
  <si>
    <t>-758.397119530431 61.6261548819934 -687.80800154444</t>
  </si>
  <si>
    <t>-792.93192454061 89.9677315179024 -556.445192980956</t>
  </si>
  <si>
    <t>-802.13359273073 225.551076413906 -535.739815621914</t>
  </si>
  <si>
    <t>-714.508141709334 262.254594227558 -257.233289882199</t>
  </si>
  <si>
    <t>-477.321564657973 282.489855212323 -220.032163005226</t>
  </si>
  <si>
    <t>-786.217883155808 34.971399736274 -555.224687572497</t>
  </si>
  <si>
    <t>-615.1234379217 29.2363226849095 -324.744013632721</t>
  </si>
  <si>
    <t>-785.868242212246 173.155568931999 -98.7682981313407</t>
  </si>
  <si>
    <t>-783.282279093719 180.40494811473 304.710908663662</t>
  </si>
  <si>
    <t>-859.589056887027 205.627551540516 745.335414916062</t>
  </si>
  <si>
    <t>-714.677254951153 225.053881096494 806.249192408265</t>
  </si>
  <si>
    <t>-687.17327632755 -7.78908224431643 306.478585762994</t>
  </si>
  <si>
    <t>-690.522574141668 -16.7397835481336 754.24192604504</t>
  </si>
  <si>
    <t>-585.48593243986 -109.409838738677 828.18003016495</t>
  </si>
  <si>
    <t>9763-20170724T105130.511824600.bin</t>
  </si>
  <si>
    <t>-759.295120387026 81.4460674062896 -95.574147396626</t>
  </si>
  <si>
    <t>-776.748958520189 73.7226128777174 -209.819117177395</t>
  </si>
  <si>
    <t>-784.383209421309 69.5705448108297 -308.059377784048</t>
  </si>
  <si>
    <t>-788.887688868387 66.5337341049001 -396.990523041808</t>
  </si>
  <si>
    <t>-790.626190961356 64.1990668172141 -486.039735617257</t>
  </si>
  <si>
    <t>-790.134920383976 61.5920556073133 -610.593971367782</t>
  </si>
  <si>
    <t>-759.390116537776 61.9773350547691 -687.792628791813</t>
  </si>
  <si>
    <t>-793.729220675398 90.2354295863713 -556.372674672089</t>
  </si>
  <si>
    <t>-803.013955234874 225.815131874167 -535.63950306877</t>
  </si>
  <si>
    <t>-717.278979202358 262.26811612954 -256.512454327225</t>
  </si>
  <si>
    <t>-480.068209641081 282.441836272927 -219.432729426584</t>
  </si>
  <si>
    <t>-786.972940898667 35.2432301794724 -555.195043289881</t>
  </si>
  <si>
    <t>-615.736619325052 29.5477118044996 -324.562923243048</t>
  </si>
  <si>
    <t>-785.903417430828 173.283615246082 -98.7353121941842</t>
  </si>
  <si>
    <t>-783.239822626948 180.501996875541 304.743832483885</t>
  </si>
  <si>
    <t>-859.598732673241 205.623931902173 745.351182747152</t>
  </si>
  <si>
    <t>-714.692567873454 225.104960375345 806.260839909689</t>
  </si>
  <si>
    <t>-687.1047629189 -7.76140007293748 306.468185082195</t>
  </si>
  <si>
    <t>-690.532568570231 -16.7795843087424 754.239856372386</t>
  </si>
  <si>
    <t>-585.414724127965 -109.355485328886 828.180699513653</t>
  </si>
  <si>
    <t>9763-20170724T105130.545420200.bin</t>
  </si>
  <si>
    <t>-759.337241037696 81.5364831783061 -95.5468422691841</t>
  </si>
  <si>
    <t>-776.824688550353 73.8104141339957 -209.786602941136</t>
  </si>
  <si>
    <t>-784.524391573976 69.6687356586106 -308.0221421357</t>
  </si>
  <si>
    <t>-789.102642513022 66.647896883321 -396.949999914255</t>
  </si>
  <si>
    <t>-790.929548043291 64.3368751220894 -485.997922505478</t>
  </si>
  <si>
    <t>-790.576886420722 61.7713645545637 -610.553581827534</t>
  </si>
  <si>
    <t>-759.8796520879 62.1850757632014 -687.771064484598</t>
  </si>
  <si>
    <t>-794.125758570588 90.3947207629963 -556.31872208672</t>
  </si>
  <si>
    <t>-803.487120100139 225.965630224091 -535.573983432485</t>
  </si>
  <si>
    <t>-718.781009272565 262.241499741757 -256.109881792985</t>
  </si>
  <si>
    <t>-481.511455922719 282.225537956725 -219.304320714252</t>
  </si>
  <si>
    <t>-787.338306999026 35.4059055281853 -555.167065314687</t>
  </si>
  <si>
    <t>-615.896597568226 29.6218509073956 -324.522855301461</t>
  </si>
  <si>
    <t>-785.955839832882 173.386025074789 -98.7111166095286</t>
  </si>
  <si>
    <t>-783.159165871009 180.556056584414 304.767979358359</t>
  </si>
  <si>
    <t>-859.606935539088 205.617030852055 745.373409000744</t>
  </si>
  <si>
    <t>-714.69433972185 225.078498240294 806.273765937467</t>
  </si>
  <si>
    <t>-687.022050905562 -7.60063513151658 306.479575285083</t>
  </si>
  <si>
    <t>-690.442078376076 -16.6048249732426 754.23538341641</t>
  </si>
  <si>
    <t>-585.677390287217 -109.562791964085 828.197783063049</t>
  </si>
  <si>
    <t>9763-20170724T105130.611693200.bin</t>
  </si>
  <si>
    <t>-759.412874436896 81.6123334063748 -95.5156280135469</t>
  </si>
  <si>
    <t>-776.978241022236 73.8901229027747 -209.743718789632</t>
  </si>
  <si>
    <t>-784.784490636913 69.7518968592465 -307.970854198405</t>
  </si>
  <si>
    <t>-789.475568264501 66.7364144638202 -396.89306757638</t>
  </si>
  <si>
    <t>-791.431951900344 64.4346617337583 -485.938647057603</t>
  </si>
  <si>
    <t>-791.278273221789 61.8876498884122 -610.495013705228</t>
  </si>
  <si>
    <t>-760.663655282787 62.338452351918 -687.745092288004</t>
  </si>
  <si>
    <t>-794.774423671588 90.4987422990048 -556.250333957187</t>
  </si>
  <si>
    <t>-804.325863760108 226.070113473073 -535.557611714532</t>
  </si>
  <si>
    <t>-722.140615639865 261.938446814083 -255.289513287891</t>
  </si>
  <si>
    <t>-484.72478667391 281.458312742822 -219.183939070814</t>
  </si>
  <si>
    <t>-787.917528861753 35.5180102698473 -555.117551127109</t>
  </si>
  <si>
    <t>-616.144541411018 30.0073545181754 -324.012763097073</t>
  </si>
  <si>
    <t>-786.01500107912 173.466519014052 -98.6521230849612</t>
  </si>
  <si>
    <t>-782.939520560722 180.525327152388 304.826971315106</t>
  </si>
  <si>
    <t>-859.602976200286 205.552277854753 745.402617083548</t>
  </si>
  <si>
    <t>-714.702317671719 225.157073693586 806.285581706745</t>
  </si>
  <si>
    <t>-686.983753269637 -7.53587487360073 306.49278404291</t>
  </si>
  <si>
    <t>-690.491178133007 -16.7077034079839 754.24668944416</t>
  </si>
  <si>
    <t>-585.77888154406 -109.723058476273 828.211396754299</t>
  </si>
  <si>
    <t>9763-20170724T105130.643280300.bin</t>
  </si>
  <si>
    <t>-759.464645989243 81.7512826967845 -95.494729712682</t>
  </si>
  <si>
    <t>-777.067616998466 74.0255322871787 -209.716777196001</t>
  </si>
  <si>
    <t>-784.940112600717 69.8688482963198 -307.937848315197</t>
  </si>
  <si>
    <t>-789.705060098294 66.8315856821932 -396.85536043849</t>
  </si>
  <si>
    <t>-791.749697116166 64.5036713568252 -485.898317095884</t>
  </si>
  <si>
    <t>-791.734391548984 61.9162138194067 -610.453870702829</t>
  </si>
  <si>
    <t>-761.16546948582 62.3628754745796 -687.722167001042</t>
  </si>
  <si>
    <t>-795.187661539904 90.5427294737467 -556.214609073365</t>
  </si>
  <si>
    <t>-804.897780843957 226.108541413487 -535.571065812667</t>
  </si>
  <si>
    <t>-724.013936960631 261.788346300823 -254.900398056069</t>
  </si>
  <si>
    <t>-486.524841439173 280.99356778833 -219.109939606588</t>
  </si>
  <si>
    <t>-788.294711513475 35.566880320418 -555.071720274786</t>
  </si>
  <si>
    <t>-616.606267959143 30.5644843048103 -323.707587263398</t>
  </si>
  <si>
    <t>-786.102140560738 173.612792805466 -98.6280295779039</t>
  </si>
  <si>
    <t>-782.855168726693 180.587975850751 304.851145941681</t>
  </si>
  <si>
    <t>-859.605674576049 205.54310942425 745.416191848853</t>
  </si>
  <si>
    <t>-714.714995963567 225.237620134247 806.293932166254</t>
  </si>
  <si>
    <t>-686.900374757994 -7.40671719149896 306.491054998099</t>
  </si>
  <si>
    <t>-690.399984605963 -16.5342771426106 754.24535534737</t>
  </si>
  <si>
    <t>-585.791600746718 -109.661253655968 828.216508278502</t>
  </si>
  <si>
    <t>9763-20170724T105130.711506500.bin</t>
  </si>
  <si>
    <t>-759.639667195691 81.9180511309919 -95.4396586002581</t>
  </si>
  <si>
    <t>-777.354275232597 74.1588990521311 -209.642083699186</t>
  </si>
  <si>
    <t>-785.379102956682 69.977510724596 -307.849897999434</t>
  </si>
  <si>
    <t>-790.305102538923 66.9215891306055 -396.758028165401</t>
  </si>
  <si>
    <t>-792.534177689653 64.5806775264223 -485.79605552225</t>
  </si>
  <si>
    <t>-792.801273062232 61.9829375876943 -610.351386997923</t>
  </si>
  <si>
    <t>-762.328682830515 62.4649838987928 -687.657256460758</t>
  </si>
  <si>
    <t>-796.192071438086 90.6062820196034 -556.106411270877</t>
  </si>
  <si>
    <t>-806.226604065408 226.143311907128 -535.485162476546</t>
  </si>
  <si>
    <t>-727.664304340529 261.500758839341 -254.115209852907</t>
  </si>
  <si>
    <t>-490.053822456816 280.294925818262 -218.917401512814</t>
  </si>
  <si>
    <t>-789.175291363631 35.6458979949291 -554.975069084026</t>
  </si>
  <si>
    <t>-617.541848463829 31.2037124972339 -323.397876855848</t>
  </si>
  <si>
    <t>-786.283913109586 173.800930554002 -98.5791700151622</t>
  </si>
  <si>
    <t>-782.80506266086 180.677944977502 304.899797755518</t>
  </si>
  <si>
    <t>-859.604886793751 205.505621930809 745.447853853631</t>
  </si>
  <si>
    <t>-714.70833538973 225.204880193543 806.31016459896</t>
  </si>
  <si>
    <t>-686.825889929713 -7.3646496186193 306.498666017858</t>
  </si>
  <si>
    <t>-690.488984662874 -16.7209692595554 754.249800268497</t>
  </si>
  <si>
    <t>-585.613260457973 -109.560598622876 828.203791255075</t>
  </si>
  <si>
    <t>9763-20170724T105130.748574300.bin</t>
  </si>
  <si>
    <t>-759.773659889548 82.0086442291561 -95.4332783436467</t>
  </si>
  <si>
    <t>-777.547909467077 74.2330664497397 -209.625398837497</t>
  </si>
  <si>
    <t>-785.656661015147 70.048646691238 -307.826174649084</t>
  </si>
  <si>
    <t>-790.671546465352 66.9946767262261 -396.72929166746</t>
  </si>
  <si>
    <t>-793.00262844959 64.6616188764888 -485.765168191689</t>
  </si>
  <si>
    <t>-793.425674013145 62.0815176130448 -610.320246045199</t>
  </si>
  <si>
    <t>-763.003817694012 62.587744382231 -687.645948197011</t>
  </si>
  <si>
    <t>-796.775706037557 90.6937624756847 -556.066771519016</t>
  </si>
  <si>
    <t>-806.92355862061 226.222336223155 -535.430849031751</t>
  </si>
  <si>
    <t>-729.328320372243 261.470522747064 -253.778975646335</t>
  </si>
  <si>
    <t>-491.67689384621 280.185422351904 -218.815617290701</t>
  </si>
  <si>
    <t>-789.703190085744 35.7400678090858 -554.952446285299</t>
  </si>
  <si>
    <t>-617.773256380039 31.2683162770581 -323.569508140047</t>
  </si>
  <si>
    <t>-786.479699409981 173.915493619205 -98.5696273414441</t>
  </si>
  <si>
    <t>-782.862909394177 180.709679618321 304.909535941748</t>
  </si>
  <si>
    <t>-859.600768127658 205.479937016677 745.46585468632</t>
  </si>
  <si>
    <t>-714.696999618695 225.149905541304 806.32051850082</t>
  </si>
  <si>
    <t>-686.771283181652 -7.31680258641427 306.492290979757</t>
  </si>
  <si>
    <t>-690.491246053003 -16.7509840967177 754.243617144132</t>
  </si>
  <si>
    <t>-585.377385640176 -109.326818362608 828.190097928881</t>
  </si>
  <si>
    <t>9763-20170724T105130.808744200.bin</t>
  </si>
  <si>
    <t>-760.013448373627 82.151556725378 -95.4458602545773</t>
  </si>
  <si>
    <t>-777.847295193221 74.319125866311 -209.624858052336</t>
  </si>
  <si>
    <t>-786.109119978919 70.106049953921 -307.811521589019</t>
  </si>
  <si>
    <t>-791.302960265123 67.0356242803314 -396.703951783308</t>
  </si>
  <si>
    <t>-793.853400170171 64.6970440850935 -485.733494759159</t>
  </si>
  <si>
    <t>-794.625030600297 62.121815440378 -610.287018724167</t>
  </si>
  <si>
    <t>-764.332936418551 62.658805902538 -687.663552652834</t>
  </si>
  <si>
    <t>-797.867372330915 90.7261144304921 -556.022940173146</t>
  </si>
  <si>
    <t>-808.235278543409 226.242405281454 -535.392346360167</t>
  </si>
  <si>
    <t>-732.44190495885 261.245181569926 -253.219816605727</t>
  </si>
  <si>
    <t>-494.799421103703 280.203360456506 -218.327329493966</t>
  </si>
  <si>
    <t>-790.703594893356 35.7838477725593 -554.931387448043</t>
  </si>
  <si>
    <t>-618.54627056178 31.667580426772 -324.192106756172</t>
  </si>
  <si>
    <t>-786.813293733351 174.098165357552 -98.5858889313822</t>
  </si>
  <si>
    <t>-783.099980862036 180.833317997855 304.893358727587</t>
  </si>
  <si>
    <t>-859.64365699894 205.555476616402 745.489479657629</t>
  </si>
  <si>
    <t>-714.750216897936 225.338082059819 806.332235980665</t>
  </si>
  <si>
    <t>-686.678286271382 -7.02268360815424 306.468360325799</t>
  </si>
  <si>
    <t>-690.515108600151 -16.8345895716798 754.227194968034</t>
  </si>
  <si>
    <t>-585.642715394181 -109.658983828436 828.204948568539</t>
  </si>
  <si>
    <t>9763-20170724T105130.845844500.bin</t>
  </si>
  <si>
    <t>-760.144351658157 82.3940501589263 -95.4518488530858</t>
  </si>
  <si>
    <t>-778.014051373694 74.5275190826205 -209.622896704586</t>
  </si>
  <si>
    <t>-786.342091110759 70.3011367258935 -307.803500614571</t>
  </si>
  <si>
    <t>-791.6099259369 67.2258792024631 -396.691272401507</t>
  </si>
  <si>
    <t>-794.248231687664 64.8904281806842 -485.718310241512</t>
  </si>
  <si>
    <t>-795.157648576382 62.3290583729961 -610.271267727898</t>
  </si>
  <si>
    <t>-764.929704247674 62.8891021666755 -687.672758376983</t>
  </si>
  <si>
    <t>-798.37616518888 90.9226941560969 -556.000063960151</t>
  </si>
  <si>
    <t>-808.928322459964 226.424939758147 -535.370630858152</t>
  </si>
  <si>
    <t>-733.732340033504 261.28319343009 -253.020361304981</t>
  </si>
  <si>
    <t>-496.125015015341 280.488263203951 -218.023076308058</t>
  </si>
  <si>
    <t>-791.138886061719 35.9896903920535 -554.923279447585</t>
  </si>
  <si>
    <t>-618.806288945433 32.2491916819415 -324.284334649594</t>
  </si>
  <si>
    <t>-787.013775192141 174.347626787818 -98.6014679725578</t>
  </si>
  <si>
    <t>-783.229483225078 181.047909752675 304.877739101603</t>
  </si>
  <si>
    <t>-859.702322704626 205.688513229821 745.497987631365</t>
  </si>
  <si>
    <t>-714.765084132632 225.122055671812 806.348433648842</t>
  </si>
  <si>
    <t>-686.622600563563 -6.73535192941199 306.458300498358</t>
  </si>
  <si>
    <t>-690.366419240818 -16.5634276084122 754.205635783848</t>
  </si>
  <si>
    <t>-585.939940068875 -109.863614046988 828.215517018595</t>
  </si>
  <si>
    <t>9763-20170724T105130.911035300.bin</t>
  </si>
  <si>
    <t>-760.634563159501 82.6561819593283 -95.4583464068429</t>
  </si>
  <si>
    <t>-778.579354839304 74.7403068330971 -209.614080732841</t>
  </si>
  <si>
    <t>-787.01469101419 70.4765258031164 -307.783913397163</t>
  </si>
  <si>
    <t>-792.397014939955 67.3701553551743 -396.66387058697</t>
  </si>
  <si>
    <t>-795.167439625494 65.0087104925824 -485.68626820259</t>
  </si>
  <si>
    <t>-796.280181364543 62.4171486257096 -610.236759930773</t>
  </si>
  <si>
    <t>-766.194955381817 63.0172313746766 -687.693621129479</t>
  </si>
  <si>
    <t>-799.487780692687 91.0134627414561 -555.966613929815</t>
  </si>
  <si>
    <t>-810.436536156298 226.489255744908 -535.381934799399</t>
  </si>
  <si>
    <t>-736.449504014532 261.201869269931 -252.694464064277</t>
  </si>
  <si>
    <t>-498.989839462608 281.099468374725 -217.087390058106</t>
  </si>
  <si>
    <t>-792.093199615344 36.101590140365 -554.890099281261</t>
  </si>
  <si>
    <t>-619.774244204371 33.0579391167544 -324.283572948625</t>
  </si>
  <si>
    <t>-787.604240826087 174.625510719131 -98.6067407505819</t>
  </si>
  <si>
    <t>-783.348762122574 181.153582191626 304.870530261174</t>
  </si>
  <si>
    <t>-859.681424965468 205.610190232725 745.524117315123</t>
  </si>
  <si>
    <t>-714.755283603903 225.146914162453 806.368499502797</t>
  </si>
  <si>
    <t>-686.746038888845 -6.597780114334 306.431336913114</t>
  </si>
  <si>
    <t>-690.458717951355 -16.7764698796707 754.190755705522</t>
  </si>
  <si>
    <t>-585.426528369495 -109.411919326322 828.178602773407</t>
  </si>
  <si>
    <t>9763-20170724T105130.941616800.bin</t>
  </si>
  <si>
    <t>-760.872313791828 82.8989983432107 -95.4592042946965</t>
  </si>
  <si>
    <t>-778.828098601977 74.964550875455 -209.611962931342</t>
  </si>
  <si>
    <t>-787.299723844202 70.6904019784317 -307.77819738346</t>
  </si>
  <si>
    <t>-792.725356991542 67.5772950235491 -396.655254977092</t>
  </si>
  <si>
    <t>-795.550036800867 65.2128840476619 -485.675806555951</t>
  </si>
  <si>
    <t>-796.749900662012 62.6215004940418 -610.225701997369</t>
  </si>
  <si>
    <t>-766.731798140812 63.2482290759881 -687.708236799082</t>
  </si>
  <si>
    <t>-799.953199828758 91.2132904582916 -555.952663462377</t>
  </si>
  <si>
    <t>-811.055537302635 226.676330452936 -535.392729575211</t>
  </si>
  <si>
    <t>-737.715442674913 261.40471016065 -252.538742177877</t>
  </si>
  <si>
    <t>-500.330898383332 281.662766544902 -216.635200110427</t>
  </si>
  <si>
    <t>-792.490500024992 36.3104839058421 -554.882171445726</t>
  </si>
  <si>
    <t>-620.051219072708 33.4535982814546 -324.28343149209</t>
  </si>
  <si>
    <t>-787.898310774998 174.838854843608 -98.6130362660555</t>
  </si>
  <si>
    <t>-783.500537151641 181.320086407709 304.863521693458</t>
  </si>
  <si>
    <t>-859.715886067535 205.673591848778 745.538954707123</t>
  </si>
  <si>
    <t>-714.77191237652 225.069298404987 806.386030334929</t>
  </si>
  <si>
    <t>-686.727692771706 -6.33945484258561 306.412904535444</t>
  </si>
  <si>
    <t>-690.382677728367 -16.6355310286501 754.175769363926</t>
  </si>
  <si>
    <t>-585.855688700383 -109.81302493943 828.198631234605</t>
  </si>
  <si>
    <t>9763-20170724T105131.018302200.bin</t>
  </si>
  <si>
    <t>-761.408933513596 83.2317346786062 -95.4556628064676</t>
  </si>
  <si>
    <t>-779.385918359641 75.263125630152 -209.602692542324</t>
  </si>
  <si>
    <t>-787.92805521767 70.9755028430268 -307.762346600436</t>
  </si>
  <si>
    <t>-793.438239107805 67.8572986635452 -396.633881723795</t>
  </si>
  <si>
    <t>-796.368491043462 65.4967113860146 -485.651204239188</t>
  </si>
  <si>
    <t>-797.737706204453 62.9211566218928 -610.199600520212</t>
  </si>
  <si>
    <t>-767.804218851446 63.577326164243 -687.714596826095</t>
  </si>
  <si>
    <t>-800.925030012415 91.4982072892958 -555.917841160503</t>
  </si>
  <si>
    <t>-812.290593161281 226.948805793078 -535.387992486843</t>
  </si>
  <si>
    <t>-740.104232903487 261.761939935481 -252.247732040081</t>
  </si>
  <si>
    <t>-502.843638333433 282.613755040852 -215.867828447692</t>
  </si>
  <si>
    <t>-793.345351476259 36.6109844954722 -554.866112300339</t>
  </si>
  <si>
    <t>-621.011953190036 34.2256274922681 -324.406894887284</t>
  </si>
  <si>
    <t>-788.514915762704 175.1675398997 -98.6292045080503</t>
  </si>
  <si>
    <t>-783.975956366525 181.66644472101 304.845470790318</t>
  </si>
  <si>
    <t>-859.695025696986 205.605909026838 745.598769399698</t>
  </si>
  <si>
    <t>-714.778891792054 225.213019536512 806.444493875451</t>
  </si>
  <si>
    <t>-686.885918187111 -6.07421375495937 306.398029551422</t>
  </si>
  <si>
    <t>-690.418012912954 -16.7271699908374 754.160020548601</t>
  </si>
  <si>
    <t>-585.77645132603 -109.773345866995 828.186152150457</t>
  </si>
  <si>
    <t>9763-20170724T105131.041371500.bin</t>
  </si>
  <si>
    <t>-761.715104366823 83.4757124553582 -95.4501262960739</t>
  </si>
  <si>
    <t>-779.707037465738 75.4917631561759 -209.593754499783</t>
  </si>
  <si>
    <t>-788.283693891923 71.196778574681 -307.750067742405</t>
  </si>
  <si>
    <t>-793.833790713499 68.0751696412522 -396.619025460989</t>
  </si>
  <si>
    <t>-796.812574455148 65.7148415710117 -485.634658482568</t>
  </si>
  <si>
    <t>-798.259079703586 63.1443725874854 -610.182310928809</t>
  </si>
  <si>
    <t>-768.353210058976 63.8136952009374 -687.708026146754</t>
  </si>
  <si>
    <t>-801.44986096122 91.7140162926432 -555.896951045652</t>
  </si>
  <si>
    <t>-812.984471224762 227.152053655352 -535.365898229002</t>
  </si>
  <si>
    <t>-741.222016581411 261.969412406717 -252.118315282554</t>
  </si>
  <si>
    <t>-503.993596909357 283.065239592451 -215.668835966977</t>
  </si>
  <si>
    <t>-793.795389887191 36.8369715867686 -554.853337881628</t>
  </si>
  <si>
    <t>-621.323145146546 34.6429401262062 -324.299422258055</t>
  </si>
  <si>
    <t>-788.921224359556 175.437786774205 -98.6365715927509</t>
  </si>
  <si>
    <t>-784.242550891542 181.871584860109 304.837621315262</t>
  </si>
  <si>
    <t>-859.718221913629 205.638486201084 745.644678950142</t>
  </si>
  <si>
    <t>-714.782903926619 225.104471303943 806.48969610606</t>
  </si>
  <si>
    <t>-686.987705723306 -5.83757293105032 306.388295194355</t>
  </si>
  <si>
    <t>-690.379360284174 -16.6601163435425 754.146754512425</t>
  </si>
  <si>
    <t>-585.978762778828 -109.960746071638 828.19268565797</t>
  </si>
  <si>
    <t>9763-20170724T105131.110559900.bin</t>
  </si>
  <si>
    <t>-762.355191366552 83.7360953267801 -95.4431579954398</t>
  </si>
  <si>
    <t>-780.377180146848 75.7173218389416 -209.579509872836</t>
  </si>
  <si>
    <t>-789.004168977717 71.4037276448573 -307.730677726919</t>
  </si>
  <si>
    <t>-794.609396239791 68.2698485321203 -396.59569897284</t>
  </si>
  <si>
    <t>-797.653543873687 65.9033877865604 -485.609020486978</t>
  </si>
  <si>
    <t>-799.201285374508 63.3317104113241 -610.155427430058</t>
  </si>
  <si>
    <t>-769.328406376596 64.0440165046909 -687.693379491655</t>
  </si>
  <si>
    <t>-802.415831179586 91.8922990300273 -555.866694658029</t>
  </si>
  <si>
    <t>-814.323505750165 227.301181615921 -535.361725374867</t>
  </si>
  <si>
    <t>-743.515147892832 262.063695166609 -251.867480717916</t>
  </si>
  <si>
    <t>-506.406384053566 283.46421504353 -214.821837786008</t>
  </si>
  <si>
    <t>-794.624503237557 37.0344309621394 -554.830653198375</t>
  </si>
  <si>
    <t>-621.925714658463 35.4119740678661 -324.063408243666</t>
  </si>
  <si>
    <t>-789.695671064591 175.721220240207 -98.6391554365507</t>
  </si>
  <si>
    <t>-784.836024359123 182.221678157381 304.831851569451</t>
  </si>
  <si>
    <t>-859.779221147072 205.76893839895 745.736842376549</t>
  </si>
  <si>
    <t>-714.813264255282 224.974621211626 806.591458008631</t>
  </si>
  <si>
    <t>-687.199411393382 -5.59511807408717 306.362710730619</t>
  </si>
  <si>
    <t>-690.332798967567 -16.5833482757339 754.127446279204</t>
  </si>
  <si>
    <t>-585.778851004973 -109.709296114185 828.176929174442</t>
  </si>
  <si>
    <t>9763-20170724T105131.143659000.bin</t>
  </si>
  <si>
    <t>-762.600336377353 83.850292548635 -95.4440997908474</t>
  </si>
  <si>
    <t>-780.634701376352 75.8088061608253 -209.576898936131</t>
  </si>
  <si>
    <t>-789.274808881022 71.4912918330672 -307.726657423998</t>
  </si>
  <si>
    <t>-794.892784601737 68.3598157356141 -396.591047507752</t>
  </si>
  <si>
    <t>-797.950030263323 66.0021609401733 -485.604248498159</t>
  </si>
  <si>
    <t>-799.51697511749 63.4493489656097 -610.150689336837</t>
  </si>
  <si>
    <t>-769.652776850794 64.1932482530453 -687.691675136079</t>
  </si>
  <si>
    <t>-802.753742320015 91.9973430426448 -555.856718474125</t>
  </si>
  <si>
    <t>-814.807072668108 227.38832937092 -535.343168200835</t>
  </si>
  <si>
    <t>-744.406249862388 262.196675481874 -251.752963306873</t>
  </si>
  <si>
    <t>-507.346231640938 283.606060805903 -214.402579870842</t>
  </si>
  <si>
    <t>-794.901126400219 37.1479966818968 -554.831212739702</t>
  </si>
  <si>
    <t>-622.093897492765 35.6103211564744 -324.096706514201</t>
  </si>
  <si>
    <t>-790.01527245737 175.81016367025 -98.6388339391189</t>
  </si>
  <si>
    <t>-785.09068030885 182.35719579243 304.830599450341</t>
  </si>
  <si>
    <t>-859.770873136317 205.753491511113 745.785082418241</t>
  </si>
  <si>
    <t>-714.813944232254 225.008610375679 806.64587790206</t>
  </si>
  <si>
    <t>-687.230998881059 -5.40164905189545 306.347300988178</t>
  </si>
  <si>
    <t>-690.257055373922 -16.4442129034421 754.11273578282</t>
  </si>
  <si>
    <t>-585.863521751201 -109.735545126968 828.180520940255</t>
  </si>
  <si>
    <t>9763-20170724T105131.208835800.bin</t>
  </si>
  <si>
    <t>-763.154982369367 83.8674466300656 -95.445236654281</t>
  </si>
  <si>
    <t>-781.186539304133 75.8222363042221 -209.578226282485</t>
  </si>
  <si>
    <t>-789.846271851789 71.5362799746861 -307.727702879586</t>
  </si>
  <si>
    <t>-795.4899370858 68.4467885393713 -396.591853702819</t>
  </si>
  <si>
    <t>-798.581112519368 66.1456767548764 -485.60537162369</t>
  </si>
  <si>
    <t>-800.203055392136 63.6877044314533 -610.153061208502</t>
  </si>
  <si>
    <t>-770.357697318323 64.5081826477735 -687.700511935161</t>
  </si>
  <si>
    <t>-803.468921550973 92.1867650590698 -555.835008555179</t>
  </si>
  <si>
    <t>-815.816521697037 227.544453838032 -535.251960304883</t>
  </si>
  <si>
    <t>-746.429665443012 261.972498850414 -251.365714272557</t>
  </si>
  <si>
    <t>-509.479796857676 283.694782993766 -213.49985056024</t>
  </si>
  <si>
    <t>-795.509562125089 37.3518931269448 -554.856471643057</t>
  </si>
  <si>
    <t>-622.737444587076 36.1058995004885 -323.924916233027</t>
  </si>
  <si>
    <t>-790.710460786124 175.941421539093 -98.6327138213929</t>
  </si>
  <si>
    <t>-785.856431985008 182.565119695002 304.836275099479</t>
  </si>
  <si>
    <t>-859.784150909709 205.768185385956 745.916303322848</t>
  </si>
  <si>
    <t>-714.831686933591 225.036570906205 806.783425646211</t>
  </si>
  <si>
    <t>-687.374377400034 -5.31606074864067 306.303304024757</t>
  </si>
  <si>
    <t>-690.342383609407 -16.6300136526334 754.087592618164</t>
  </si>
  <si>
    <t>-585.752359757514 -109.692633269674 828.165726781022</t>
  </si>
  <si>
    <t>9763-20170724T105131.240424300.bin</t>
  </si>
  <si>
    <t>-763.457321030263 83.8816963875247 -95.4513312445698</t>
  </si>
  <si>
    <t>-781.438258819365 75.8469870558263 -209.593127037993</t>
  </si>
  <si>
    <t>-790.068489130371 71.5941633426521 -307.746520436371</t>
  </si>
  <si>
    <t>-795.690760024981 68.5446635063818 -396.613494744478</t>
  </si>
  <si>
    <t>-798.765401586758 66.2946145057765 -485.628836955055</t>
  </si>
  <si>
    <t>-800.369422128149 63.9195959454785 -610.178444788015</t>
  </si>
  <si>
    <t>-770.518595307916 64.7883237638875 -687.723232507243</t>
  </si>
  <si>
    <t>-803.672780217187 92.3781576199567 -555.841354586103</t>
  </si>
  <si>
    <t>-816.197578770815 227.707906141541 -535.195473529955</t>
  </si>
  <si>
    <t>-747.31144305109 261.901538633698 -251.159062329617</t>
  </si>
  <si>
    <t>-510.397722281724 283.752929056458 -213.14223866231</t>
  </si>
  <si>
    <t>-795.65425011188 37.5512992590404 -554.899169416534</t>
  </si>
  <si>
    <t>-622.914463007065 36.3234107979267 -323.923429795459</t>
  </si>
  <si>
    <t>-791.056574256351 176.034479973864 -98.6375532593729</t>
  </si>
  <si>
    <t>-786.258243987955 182.677775754101 304.831803854651</t>
  </si>
  <si>
    <t>-859.767180360298 205.736076533967 745.983441816482</t>
  </si>
  <si>
    <t>-714.82134330809 225.004335659908 806.866147794653</t>
  </si>
  <si>
    <t>-687.54546859624 -5.19013553294599 306.285559647124</t>
  </si>
  <si>
    <t>-690.331519699816 -16.6178400773608 754.070367911677</t>
  </si>
  <si>
    <t>-585.74727264367 -109.677203889964 828.160804383014</t>
  </si>
  <si>
    <t>9763-20170724T105131.311055600.bin</t>
  </si>
  <si>
    <t>-763.837914646719 84.1193596236237 -95.5177538451227</t>
  </si>
  <si>
    <t>-781.625186430412 76.1956957139053 -209.697740245102</t>
  </si>
  <si>
    <t>-790.060867502488 72.0634867860661 -307.873094265223</t>
  </si>
  <si>
    <t>-795.495785393968 69.1342718154694 -396.755782809896</t>
  </si>
  <si>
    <t>-798.371649772607 67.0172669016072 -485.781074325531</t>
  </si>
  <si>
    <t>-799.686164221701 64.8422325558417 -610.337616318654</t>
  </si>
  <si>
    <t>-769.751982245117 65.8358301224305 -687.848778324316</t>
  </si>
  <si>
    <t>-803.181383633708 93.2038135508446 -555.962008834711</t>
  </si>
  <si>
    <t>-816.116522797588 228.476478087077 -535.166729726282</t>
  </si>
  <si>
    <t>-748.957082085797 262.092305830694 -250.648159504766</t>
  </si>
  <si>
    <t>-512.159293749072 284.52332958802 -212.249600022801</t>
  </si>
  <si>
    <t>-795.03420563686 38.3948163955388 -555.090854979883</t>
  </si>
  <si>
    <t>-622.851306184958 37.3472126847828 -323.745609929903</t>
  </si>
  <si>
    <t>-791.416520139256 176.306020888915 -98.6691143864645</t>
  </si>
  <si>
    <t>-786.867030658208 182.956843618805 304.803011577744</t>
  </si>
  <si>
    <t>-859.617979928978 205.579869811034 746.064269654236</t>
  </si>
  <si>
    <t>-714.747148302735 224.969175741104 807.087054367129</t>
  </si>
  <si>
    <t>-687.96694363996 -4.82391640280775 306.214678135882</t>
  </si>
  <si>
    <t>-690.256139088581 -16.4904305925961 754.01681256479</t>
  </si>
  <si>
    <t>-585.867607808951 -109.733084277791 828.152855155841</t>
  </si>
  <si>
    <t>9763-20170724T105131.344157600.bin</t>
  </si>
  <si>
    <t>-763.99075419668 84.3788795338226 -95.537931147907</t>
  </si>
  <si>
    <t>-781.621483551148 76.5389228932304 -209.747912340901</t>
  </si>
  <si>
    <t>-789.905010985041 72.4691712434144 -307.938904749821</t>
  </si>
  <si>
    <t>-795.195709966279 69.5939069476028 -396.831981694071</t>
  </si>
  <si>
    <t>-797.920930884431 67.5286139014759 -485.863188560737</t>
  </si>
  <si>
    <t>-799.018568675989 65.4244833229457 -610.423052802641</t>
  </si>
  <si>
    <t>-769.01153687867 66.4663039669636 -687.90543740512</t>
  </si>
  <si>
    <t>-802.631208219977 93.7518791402847 -556.037131861534</t>
  </si>
  <si>
    <t>-815.792320376536 228.993466541725 -535.185547383021</t>
  </si>
  <si>
    <t>-749.870473589267 262.311161767641 -250.342646511383</t>
  </si>
  <si>
    <t>-513.180262940544 285.11040930536 -211.499446126037</t>
  </si>
  <si>
    <t>-794.439913619273 38.9490014690061 -555.18367467216</t>
  </si>
  <si>
    <t>-622.729868440569 38.0837550715762 -323.681329630186</t>
  </si>
  <si>
    <t>-791.570026413715 176.504858485142 -98.671597999495</t>
  </si>
  <si>
    <t>-787.019705937651 183.162712295636 304.800388374074</t>
  </si>
  <si>
    <t>-859.570401755194 205.55425542054 746.131279727878</t>
  </si>
  <si>
    <t>-714.696452088136 224.696082846985 807.225012634259</t>
  </si>
  <si>
    <t>-688.240806233507 -4.73620996809586 306.194615705568</t>
  </si>
  <si>
    <t>-690.293713145072 -16.5570742259172 754.009084471194</t>
  </si>
  <si>
    <t>-585.761662058087 -109.637744360454 828.14643242025</t>
  </si>
  <si>
    <t>9763-20170724T105131.410335700.bin</t>
  </si>
  <si>
    <t>-764.008231595823 84.8931007307274 -95.4699061498204</t>
  </si>
  <si>
    <t>-781.364359969642 77.2945484719287 -209.738322472959</t>
  </si>
  <si>
    <t>-789.326648078725 73.3619802585813 -307.961360636518</t>
  </si>
  <si>
    <t>-794.295252096719 70.5854408775397 -396.876166426917</t>
  </si>
  <si>
    <t>-796.667522999699 68.5930993618033 -485.919165708058</t>
  </si>
  <si>
    <t>-797.240196560834 66.5648356854433 -610.483952935433</t>
  </si>
  <si>
    <t>-767.050822618095 67.6133944609894 -687.895288481315</t>
  </si>
  <si>
    <t>-801.059723723021 94.8623665217319 -556.096671540467</t>
  </si>
  <si>
    <t>-814.302702764762 230.082756748647 -535.20872004728</t>
  </si>
  <si>
    <t>-751.377736174228 262.813748799867 -249.6210883168</t>
  </si>
  <si>
    <t>-514.975989824178 286.357353531321 -209.486705231011</t>
  </si>
  <si>
    <t>-792.916596668029 40.0524680470444 -555.241604226631</t>
  </si>
  <si>
    <t>-621.562640156066 38.4886840139038 -323.436200103762</t>
  </si>
  <si>
    <t>-791.362711024879 176.69609573349 -98.5095246660968</t>
  </si>
  <si>
    <t>-786.816688967931 183.420872748522 304.961405795854</t>
  </si>
  <si>
    <t>-859.51709057929 205.421515208925 746.369055018269</t>
  </si>
  <si>
    <t>-714.67324707338 224.676349684469 807.498464773613</t>
  </si>
  <si>
    <t>-688.645381947924 -4.59534190875138 306.205985680371</t>
  </si>
  <si>
    <t>-690.240259403473 -16.4446159992272 753.996101902072</t>
  </si>
  <si>
    <t>-586.061803213863 -109.891282155421 828.170724836008</t>
  </si>
  <si>
    <t>9763-20170724T105131.443447500.bin</t>
  </si>
  <si>
    <t>-763.976961472187 84.954957789852 -95.4145339128625</t>
  </si>
  <si>
    <t>-781.196128273798 77.5285496857118 -209.714969580059</t>
  </si>
  <si>
    <t>-788.984476594121 73.6776834776083 -307.95524374427</t>
  </si>
  <si>
    <t>-793.774870358862 70.9504258638092 -396.881389516557</t>
  </si>
  <si>
    <t>-795.94884288295 68.9820674761427 -485.929948417267</t>
  </si>
  <si>
    <t>-796.224113792361 66.9609607613932 -610.495772217524</t>
  </si>
  <si>
    <t>-765.911777021997 67.9503739086297 -687.859866239021</t>
  </si>
  <si>
    <t>-800.109428877753 95.2647585562911 -556.116363874723</t>
  </si>
  <si>
    <t>-813.160012368274 230.509617015447 -535.277396257878</t>
  </si>
  <si>
    <t>-751.967599504903 262.976821905745 -249.283365918121</t>
  </si>
  <si>
    <t>-515.707538178785 286.915111015387 -208.551924915079</t>
  </si>
  <si>
    <t>-792.096445365348 40.4360012969648 -555.244559247015</t>
  </si>
  <si>
    <t>-621.326345270177 38.3714124320072 -323.388200808417</t>
  </si>
  <si>
    <t>-791.040300475447 176.731736515619 -98.3850620245411</t>
  </si>
  <si>
    <t>-786.625803698508 183.409283835903 305.088135074843</t>
  </si>
  <si>
    <t>-859.470185592078 205.281804866148 746.487998410897</t>
  </si>
  <si>
    <t>-714.623776278533 224.53329482311 807.61235254851</t>
  </si>
  <si>
    <t>-688.939606224535 -4.71183672831239 306.219049411143</t>
  </si>
  <si>
    <t>-690.32127439334 -16.6106349155236 754.000450395731</t>
  </si>
  <si>
    <t>-585.870797282126 -109.757709720969 828.169317680369</t>
  </si>
  <si>
    <t>9763-20170724T105131.510627800.bin</t>
  </si>
  <si>
    <t>-763.614921264121 84.8661425794126 -95.2575670418022</t>
  </si>
  <si>
    <t>-780.614892641838 77.7453033038237 -209.610081350557</t>
  </si>
  <si>
    <t>-788.054246138212 74.0331131893424 -307.882918829784</t>
  </si>
  <si>
    <t>-792.467982803444 71.3858373675312 -396.831020611973</t>
  </si>
  <si>
    <t>-794.205082043944 69.4482934041 -485.88973250089</t>
  </si>
  <si>
    <t>-793.807743918201 67.4174306477814 -610.455117617216</t>
  </si>
  <si>
    <t>-763.211650920314 68.1618102658399 -687.710249584865</t>
  </si>
  <si>
    <t>-797.76821540655 95.7564631956475 -556.099601324796</t>
  </si>
  <si>
    <t>-809.983504922124 231.109230124726 -535.471694994561</t>
  </si>
  <si>
    <t>-751.379563649042 264.054196679738 -248.990550822663</t>
  </si>
  <si>
    <t>-515.198853120751 288.154535951415 -207.896926341333</t>
  </si>
  <si>
    <t>-790.196875984533 40.8657631933643 -555.180429289907</t>
  </si>
  <si>
    <t>-620.33002289168 37.1645949113638 -322.875505590099</t>
  </si>
  <si>
    <t>-789.967516763509 176.73145395746 -98.1351096730943</t>
  </si>
  <si>
    <t>-785.693899918813 183.068163973492 305.345099472018</t>
  </si>
  <si>
    <t>-859.401040818312 205.044302744592 746.674697828272</t>
  </si>
  <si>
    <t>-714.568643493411 224.562824231456 807.747430087538</t>
  </si>
  <si>
    <t>-689.406404315288 -4.96442811375596 306.279769509688</t>
  </si>
  <si>
    <t>-690.325998417656 -16.6046929104452 754.029228797685</t>
  </si>
  <si>
    <t>-585.889172353125 -109.761494290285 828.205018861024</t>
  </si>
  <si>
    <t>9763-20170724T105131.542724100.bin</t>
  </si>
  <si>
    <t>-763.430844484578 84.8480052918753 -95.1612907396465</t>
  </si>
  <si>
    <t>-780.346435234864 77.8972357339328 -209.536788844492</t>
  </si>
  <si>
    <t>-787.599574541272 74.2678541008768 -307.826585146955</t>
  </si>
  <si>
    <t>-791.801068869412 71.6714625416639 -396.786399928757</t>
  </si>
  <si>
    <t>-793.282039070486 69.757871862317 -485.850247832176</t>
  </si>
  <si>
    <t>-792.481864449252 67.7318759874286 -610.413822133972</t>
  </si>
  <si>
    <t>-761.738254310031 68.3291349335948 -687.611625857454</t>
  </si>
  <si>
    <t>-796.481311906799 96.0872707874846 -556.069683660282</t>
  </si>
  <si>
    <t>-808.282463113288 231.5029055184 -535.647286068703</t>
  </si>
  <si>
    <t>-749.992692585989 264.921773645656 -249.156958482349</t>
  </si>
  <si>
    <t>-513.701590217489 288.558467542065 -208.429624924144</t>
  </si>
  <si>
    <t>-789.186673663019 41.1595425446023 -555.129431479422</t>
  </si>
  <si>
    <t>-619.396235148454 35.9706993081088 -322.340414274387</t>
  </si>
  <si>
    <t>-789.444358989215 176.780185110012 -97.9975158580276</t>
  </si>
  <si>
    <t>-785.325146231266 183.002281147729 305.485999282478</t>
  </si>
  <si>
    <t>-859.458341125685 205.133466225495 746.756377105939</t>
  </si>
  <si>
    <t>-714.584386438934 224.410090279236 807.807488275107</t>
  </si>
  <si>
    <t>-689.691376285665 -5.20030818907662 306.322915160232</t>
  </si>
  <si>
    <t>-690.388563824453 -16.6907921872926 754.061152712352</t>
  </si>
  <si>
    <t>-585.827281683997 -109.720496822867 828.221295576779</t>
  </si>
  <si>
    <t>9763-20170724T105131.608489400.bin</t>
  </si>
  <si>
    <t>-762.501626463986 84.6729566315078 -94.983794616114</t>
  </si>
  <si>
    <t>-779.232371682453 77.9850712521791 -209.402164739566</t>
  </si>
  <si>
    <t>-786.153022447884 74.4632612518722 -307.719889366775</t>
  </si>
  <si>
    <t>-789.987093886649 71.9186790553713 -396.697717393301</t>
  </si>
  <si>
    <t>-791.034024559615 70.0054905105642 -485.767822306412</t>
  </si>
  <si>
    <t>-789.558469602079 67.923498622936 -610.324305607369</t>
  </si>
  <si>
    <t>-758.527116014711 68.1792247290689 -687.408731578401</t>
  </si>
  <si>
    <t>-793.550122192621 96.3418901050909 -556.012400502255</t>
  </si>
  <si>
    <t>-804.319549300291 231.895593502464 -535.891014330937</t>
  </si>
  <si>
    <t>-743.817911020345 266.016994062343 -249.942552659086</t>
  </si>
  <si>
    <t>-507.069449744704 287.825887901701 -210.8863640057</t>
  </si>
  <si>
    <t>-786.865459066127 41.337527807907 -555.013775298235</t>
  </si>
  <si>
    <t>-617.801923487345 33.5140113280759 -321.21770397336</t>
  </si>
  <si>
    <t>-787.616012696838 176.570967095694 -97.7689863421758</t>
  </si>
  <si>
    <t>-784.379333041927 182.735561342402 305.723556018574</t>
  </si>
  <si>
    <t>-859.436862859878 205.072990918287 746.839185767614</t>
  </si>
  <si>
    <t>-714.573441955995 224.580803166553 807.842200521254</t>
  </si>
  <si>
    <t>-689.756327498617 -5.99280787450584 306.448996273616</t>
  </si>
  <si>
    <t>-690.523785927548 -16.8862570590654 754.147722839076</t>
  </si>
  <si>
    <t>-585.666886409401 -109.616452966452 828.265375837195</t>
  </si>
  <si>
    <t>9763-20170724T105131.641081100.bin</t>
  </si>
  <si>
    <t>-761.697506649926 84.5886482262285 -94.9120894748495</t>
  </si>
  <si>
    <t>-778.326155052959 78.0027144149574 -209.351299897156</t>
  </si>
  <si>
    <t>-785.106505893334 74.5353375179238 -307.680631754773</t>
  </si>
  <si>
    <t>-788.792882161818 72.0271385604121 -396.665730623493</t>
  </si>
  <si>
    <t>-789.67139096935 70.1340288288202 -485.738178804071</t>
  </si>
  <si>
    <t>-787.939303524235 68.061575751768 -610.291518552572</t>
  </si>
  <si>
    <t>-756.777248098297 68.1681721799705 -687.323600000107</t>
  </si>
  <si>
    <t>-791.885440029055 96.4944180865996 -555.98400029273</t>
  </si>
  <si>
    <t>-801.92324959831 232.107371989017 -535.912472964527</t>
  </si>
  <si>
    <t>-739.210246539871 266.499384730803 -250.473445078163</t>
  </si>
  <si>
    <t>-502.034001750872 286.933211102305 -213.314436382527</t>
  </si>
  <si>
    <t>-785.51754601337 41.4525783174088 -554.979500540714</t>
  </si>
  <si>
    <t>-617.142755284279 32.8491400246423 -320.750320891275</t>
  </si>
  <si>
    <t>-786.390254416693 176.452458906286 -97.6863155363179</t>
  </si>
  <si>
    <t>-783.927137093016 182.678081135075 305.810690932689</t>
  </si>
  <si>
    <t>-859.422348380313 205.015341505315 746.857489123918</t>
  </si>
  <si>
    <t>-714.547504430853 224.549120319578 807.824996649219</t>
  </si>
  <si>
    <t>-689.516838537346 -6.27536702301131 306.51405346886</t>
  </si>
  <si>
    <t>-690.446349101437 -16.7079324192321 754.180013675919</t>
  </si>
  <si>
    <t>-585.89139230862 -109.77030542255 828.307832977792</t>
  </si>
  <si>
    <t>9763-20170724T105131.709498300.bin</t>
  </si>
  <si>
    <t>-759.861477603261 84.3004579620351 -94.8469061817555</t>
  </si>
  <si>
    <t>-776.350504971301 77.9041027161036 -209.317127224292</t>
  </si>
  <si>
    <t>-782.897740174848 74.5115908604064 -307.664862841089</t>
  </si>
  <si>
    <t>-786.329219862462 72.0352786359645 -396.661113027778</t>
  </si>
  <si>
    <t>-786.908698296974 70.1318264975844 -485.735693633567</t>
  </si>
  <si>
    <t>-784.713107410452 67.9969637191366 -610.280613543991</t>
  </si>
  <si>
    <t>-753.323061796074 67.8125001168055 -687.219843167494</t>
  </si>
  <si>
    <t>-788.556649148826 96.490612966564 -555.997591434856</t>
  </si>
  <si>
    <t>-796.960973454203 232.231274396562 -536.002143305173</t>
  </si>
  <si>
    <t>-727.573256101205 267.420748794095 -252.209534764843</t>
  </si>
  <si>
    <t>-489.586164392493 284.350903380903 -218.648376081364</t>
  </si>
  <si>
    <t>-782.801834007757 41.3820438894793 -554.951590822194</t>
  </si>
  <si>
    <t>-616.152106766795 31.6197535619285 -320.806973744142</t>
  </si>
  <si>
    <t>-784.012538068692 176.314742438359 -97.5707913861481</t>
  </si>
  <si>
    <t>-782.942956414813 182.643428506165 305.93066779289</t>
  </si>
  <si>
    <t>-859.447519090429 205.049327485234 746.819281002781</t>
  </si>
  <si>
    <t>-714.552612549018 224.641329660794 807.720051388374</t>
  </si>
  <si>
    <t>-688.779189410008 -6.88119841801563 306.582729976186</t>
  </si>
  <si>
    <t>-690.367484153519 -16.5572780308667 754.233036539511</t>
  </si>
  <si>
    <t>-586.341793484425 -110.186011680399 828.392249921067</t>
  </si>
  <si>
    <t>9763-20170724T105131.741581200.bin</t>
  </si>
  <si>
    <t>-759.054932218249 83.9711624760705 -94.8241033705096</t>
  </si>
  <si>
    <t>-775.524709983833 77.6654434760471 -209.302035828424</t>
  </si>
  <si>
    <t>-781.99122400385 74.2925114194775 -307.655880196278</t>
  </si>
  <si>
    <t>-785.325129444095 71.8098577139981 -396.655629421876</t>
  </si>
  <si>
    <t>-785.782835338664 69.8724476960269 -485.73021500292</t>
  </si>
  <si>
    <t>-783.391680452122 67.6597779380277 -610.270172290466</t>
  </si>
  <si>
    <t>-751.907182129877 67.3325232846546 -687.17036287259</t>
  </si>
  <si>
    <t>-787.171511865496 96.2026405045008 -556.008538414132</t>
  </si>
  <si>
    <t>-794.620659843942 231.998196060139 -536.003577020849</t>
  </si>
  <si>
    <t>-720.852807266526 267.760744208971 -253.389671256583</t>
  </si>
  <si>
    <t>-482.408390115138 281.97914894943 -221.878953526196</t>
  </si>
  <si>
    <t>-781.716275502236 41.0643674487667 -554.924098238066</t>
  </si>
  <si>
    <t>-615.63987651667 30.9243630930159 -321.064598938283</t>
  </si>
  <si>
    <t>-782.832056346525 176.118209154722 -97.5311847619288</t>
  </si>
  <si>
    <t>-782.343007108684 182.468422977243 305.97109603951</t>
  </si>
  <si>
    <t>-859.45857317593 205.117478866878 746.74999444673</t>
  </si>
  <si>
    <t>-714.612230145242 225.15001589832 807.622837981144</t>
  </si>
  <si>
    <t>-688.459735395802 -7.33217508487246 306.600415245625</t>
  </si>
  <si>
    <t>-690.424592242024 -16.6732143130632 754.257754918137</t>
  </si>
  <si>
    <t>-586.250387591509 -110.144200341834 828.407612887134</t>
  </si>
  <si>
    <t>9763-20170724T105131.806293500.bin</t>
  </si>
  <si>
    <t>-757.486167335475 83.3434199252736 -94.8221759114987</t>
  </si>
  <si>
    <t>-773.954426444277 77.1725863713798 -209.30773062699</t>
  </si>
  <si>
    <t>-780.312985889894 73.8244284724599 -307.66937305965</t>
  </si>
  <si>
    <t>-783.507915724175 71.3252264935199 -396.673818819953</t>
  </si>
  <si>
    <t>-783.785102461952 69.3252677925275 -485.747809265562</t>
  </si>
  <si>
    <t>-781.099466480149 66.9727946406565 -610.279126536214</t>
  </si>
  <si>
    <t>-749.516909339474 66.3169046402459 -687.137089025642</t>
  </si>
  <si>
    <t>-784.702334007544 95.605027867671 -556.052493444514</t>
  </si>
  <si>
    <t>-790.045115700794 231.488069902531 -535.963700856347</t>
  </si>
  <si>
    <t>-705.624319831078 267.607307640574 -256.393070377783</t>
  </si>
  <si>
    <t>-466.577825388838 277.066108323472 -227.79016680766</t>
  </si>
  <si>
    <t>-779.860360469322 40.410820612979 -554.905427809732</t>
  </si>
  <si>
    <t>-614.40508929993 29.0212077045164 -321.850453348323</t>
  </si>
  <si>
    <t>-780.661388367441 175.692854244755 -97.4689090296173</t>
  </si>
  <si>
    <t>-781.002588712773 181.963655609854 306.034814634275</t>
  </si>
  <si>
    <t>-859.478336921421 205.153165469395 746.559188335367</t>
  </si>
  <si>
    <t>-714.69642418128 225.842890165368 807.365690470007</t>
  </si>
  <si>
    <t>-687.767238101097 -8.27673252573322 306.608256719703</t>
  </si>
  <si>
    <t>-690.401658078706 -16.665025844532 754.273103009351</t>
  </si>
  <si>
    <t>-586.079457018107 -109.969815574128 828.424218978215</t>
  </si>
  <si>
    <t>9763-20170724T105131.840887800.bin</t>
  </si>
  <si>
    <t>-756.551680690797 83.0928628575957 -94.8289191932486</t>
  </si>
  <si>
    <t>-773.034508842511 76.957493513883 -209.314341865247</t>
  </si>
  <si>
    <t>-779.367651990837 73.6148300090854 -307.677861804751</t>
  </si>
  <si>
    <t>-782.524432264332 71.1084491533188 -396.683465353075</t>
  </si>
  <si>
    <t>-782.748312177288 69.0855989318379 -485.756926921404</t>
  </si>
  <si>
    <t>-779.972304893848 66.6827648940659 -610.285407503858</t>
  </si>
  <si>
    <t>-748.380173544215 65.862832861498 -687.137867194519</t>
  </si>
  <si>
    <t>-783.46148405191 95.3501509793091 -556.069836363614</t>
  </si>
  <si>
    <t>-787.646118166857 231.256468240248 -535.86373374107</t>
  </si>
  <si>
    <t>-697.124490519794 267.103874745336 -258.173282966673</t>
  </si>
  <si>
    <t>-457.888607486596 274.008152173212 -230.43527058665</t>
  </si>
  <si>
    <t>-778.926294880461 40.1302404565545 -554.903237311253</t>
  </si>
  <si>
    <t>-613.622216488106 28.0657662423907 -322.197324763102</t>
  </si>
  <si>
    <t>-779.481530788296 175.421242755578 -97.4523116374726</t>
  </si>
  <si>
    <t>-780.156023765258 181.639871395691 306.051747089331</t>
  </si>
  <si>
    <t>-859.490687526154 205.098597863456 746.428568726074</t>
  </si>
  <si>
    <t>-714.667684213638 225.639758885403 807.1874500901</t>
  </si>
  <si>
    <t>-687.164291487018 -8.76056376017664 306.601198918936</t>
  </si>
  <si>
    <t>-690.390589205162 -16.6817133129923 754.269122180437</t>
  </si>
  <si>
    <t>-586.092341013319 -110.00122131094 828.435492896935</t>
  </si>
  <si>
    <t>9763-20170724T105131.911078300.bin</t>
  </si>
  <si>
    <t>-754.637444844616 82.507280095185 -94.8520052227482</t>
  </si>
  <si>
    <t>-771.243604829064 76.3516954375209 -209.318390769275</t>
  </si>
  <si>
    <t>-777.576898021901 72.9560800076495 -307.680001886721</t>
  </si>
  <si>
    <t>-780.69081594855 70.3807250557361 -396.685174979516</t>
  </si>
  <si>
    <t>-780.828418548462 68.2589308244221 -485.756670045137</t>
  </si>
  <si>
    <t>-777.886608944366 65.6800945165096 -610.277728343391</t>
  </si>
  <si>
    <t>-746.303556837765 64.450339465586 -687.128418779717</t>
  </si>
  <si>
    <t>-781.123431216224 94.4489479895071 -556.100332076267</t>
  </si>
  <si>
    <t>-783.221690579515 230.408697650728 -535.888774847827</t>
  </si>
  <si>
    <t>-680.952435135514 265.101034076443 -262.157837478766</t>
  </si>
  <si>
    <t>-441.72637614406 268.699962892436 -233.718477225167</t>
  </si>
  <si>
    <t>-777.238894824259 39.1809888489793 -554.863884513965</t>
  </si>
  <si>
    <t>-612.493393688442 26.1366487925773 -322.536058202455</t>
  </si>
  <si>
    <t>-777.521548334776 174.839849600637 -97.4860176690264</t>
  </si>
  <si>
    <t>-778.43259297842 180.939422698431 306.019438675317</t>
  </si>
  <si>
    <t>-859.493620484191 204.917463962009 746.102218874383</t>
  </si>
  <si>
    <t>-714.638558892659 225.562377155396 806.749442896862</t>
  </si>
  <si>
    <t>-686.01511382644 -9.56109755974376 306.632391410024</t>
  </si>
  <si>
    <t>-690.453853302894 -16.8396690656618 754.265681611913</t>
  </si>
  <si>
    <t>-585.951813957367 -109.915735291053 828.451135417723</t>
  </si>
  <si>
    <t>9763-20170724T105131.944670100.bin</t>
  </si>
  <si>
    <t>-753.761266964203 82.2915033715942 -94.895436275918</t>
  </si>
  <si>
    <t>-770.42105576041 76.1064652908933 -209.352508912</t>
  </si>
  <si>
    <t>-776.754465972162 72.6509036195307 -307.712041614687</t>
  </si>
  <si>
    <t>-779.850524888055 70.0042067208447 -396.715730587778</t>
  </si>
  <si>
    <t>-779.952011820302 67.7898685967709 -485.784884430995</t>
  </si>
  <si>
    <t>-776.941196223873 65.0558502298118 -610.301144560782</t>
  </si>
  <si>
    <t>-745.387291986235 63.5907060747024 -687.159609688764</t>
  </si>
  <si>
    <t>-780.053373503841 93.9026638291095 -556.157864181679</t>
  </si>
  <si>
    <t>-781.204494519232 229.896813530322 -536.044753748329</t>
  </si>
  <si>
    <t>-674.653730312256 263.546092089879 -263.820805924141</t>
  </si>
  <si>
    <t>-435.488712525423 266.285774518806 -234.779075764617</t>
  </si>
  <si>
    <t>-776.478951928234 38.6152372672973 -554.857567297714</t>
  </si>
  <si>
    <t>-611.955186979591 25.2475241068971 -322.31127799916</t>
  </si>
  <si>
    <t>-776.542872777084 174.512994555346 -97.5344727376456</t>
  </si>
  <si>
    <t>-777.532558275375 180.598500447502 305.971020395705</t>
  </si>
  <si>
    <t>-859.473967261042 204.787972335691 745.91327362392</t>
  </si>
  <si>
    <t>-714.547286825025 225.014312630827 806.530470870839</t>
  </si>
  <si>
    <t>-685.521806293134 -9.80414862019074 306.678451488494</t>
  </si>
  <si>
    <t>-690.42479245713 -16.8312023641722 754.264688552713</t>
  </si>
  <si>
    <t>-585.960403580121 -109.938957564146 828.463256497555</t>
  </si>
  <si>
    <t>9763-20170724T105132.021383400.bin</t>
  </si>
  <si>
    <t>-752.300607266595 81.9165508481237 -94.9629799723299</t>
  </si>
  <si>
    <t>-768.90537348249 75.8218493376855 -209.432855411098</t>
  </si>
  <si>
    <t>-775.142543328151 72.3119452081264 -307.796745813505</t>
  </si>
  <si>
    <t>-778.134748427734 69.5623897468354 -396.800697423846</t>
  </si>
  <si>
    <t>-778.116902989058 67.1858258669092 -485.865906587911</t>
  </si>
  <si>
    <t>-774.924318350097 64.1607844259313 -610.370783902497</t>
  </si>
  <si>
    <t>-743.486856992728 62.2835666188064 -687.268025042215</t>
  </si>
  <si>
    <t>-777.870618420109 93.1490013615385 -556.293810253086</t>
  </si>
  <si>
    <t>-777.571395348435 229.204509829535 -536.461232927192</t>
  </si>
  <si>
    <t>-668.909310900534 260.980632887496 -264.847525230439</t>
  </si>
  <si>
    <t>-429.868382446066 265.046280683306 -234.952413941839</t>
  </si>
  <si>
    <t>-774.787791474409 37.8349811751752 -554.870855190424</t>
  </si>
  <si>
    <t>-610.884436594678 23.8181893970129 -321.443014338459</t>
  </si>
  <si>
    <t>-774.709406338206 174.11979848742 -97.5908947159515</t>
  </si>
  <si>
    <t>-775.737059669877 179.874068819488 305.919307323948</t>
  </si>
  <si>
    <t>-859.494473098038 204.767677516657 745.503865260102</t>
  </si>
  <si>
    <t>-714.591384264356 225.409259934134 806.037582097976</t>
  </si>
  <si>
    <t>-684.709847944499 -10.1585707167537 306.677975408544</t>
  </si>
  <si>
    <t>-690.332065632286 -16.6761001041175 754.254363167829</t>
  </si>
  <si>
    <t>-586.020176558068 -109.937552284057 828.474335031659</t>
  </si>
  <si>
    <t>9763-20170724T105132.040937100.bin</t>
  </si>
  <si>
    <t>-751.748013996429 81.7836099088024 -94.962243660299</t>
  </si>
  <si>
    <t>-768.294608927092 75.7493828090369 -209.443753108886</t>
  </si>
  <si>
    <t>-774.465620383707 72.2296614177333 -307.811303943488</t>
  </si>
  <si>
    <t>-777.393196136056 69.4484146872539 -396.816618028498</t>
  </si>
  <si>
    <t>-777.306516081457 67.0165016014219 -485.88019326297</t>
  </si>
  <si>
    <t>-774.014336815623 63.8896705627644 -610.379956694125</t>
  </si>
  <si>
    <t>-742.668695271006 61.850024824827 -687.310588342483</t>
  </si>
  <si>
    <t>-776.929758016304 92.9262691562449 -556.32723574061</t>
  </si>
  <si>
    <t>-776.339594989251 229.023992901783 -536.65674887751</t>
  </si>
  <si>
    <t>-669.450841217719 259.939645310033 -264.241278864639</t>
  </si>
  <si>
    <t>-430.416061117634 264.898980692529 -234.431548188274</t>
  </si>
  <si>
    <t>-773.996476718974 37.6051830933425 -554.860273442334</t>
  </si>
  <si>
    <t>-610.331960266913 23.2059497903788 -321.166845170494</t>
  </si>
  <si>
    <t>-773.863729735081 173.930882306684 -97.6216364975136</t>
  </si>
  <si>
    <t>-775.075888895283 179.53571385369 305.890169173463</t>
  </si>
  <si>
    <t>-859.478966946622 204.742656689826 745.318501432653</t>
  </si>
  <si>
    <t>-714.574380763256 225.412929924959 805.839003065036</t>
  </si>
  <si>
    <t>-684.493863016123 -10.392823532489 306.669854658069</t>
  </si>
  <si>
    <t>-690.365359568434 -16.7312624327421 754.255651363084</t>
  </si>
  <si>
    <t>-585.910814125189 -109.845852195022 828.459737627092</t>
  </si>
  <si>
    <t>9763-20170724T105132.108174800.bin</t>
  </si>
  <si>
    <t>-751.05797313534 81.9262030583873 -94.9724255972055</t>
  </si>
  <si>
    <t>-767.544096402782 75.9953485561293 -209.468162849828</t>
  </si>
  <si>
    <t>-773.661555420682 72.4353388829497 -307.837578862832</t>
  </si>
  <si>
    <t>-776.543709245858 69.5713808765324 -396.841727850889</t>
  </si>
  <si>
    <t>-776.416417638617 67.0121435800347 -485.901658990226</t>
  </si>
  <si>
    <t>-773.074182134862 63.6623836936426 -610.394430434064</t>
  </si>
  <si>
    <t>-741.882543979293 61.3563556340969 -687.380010935831</t>
  </si>
  <si>
    <t>-776.00320471986 92.7960770945945 -556.394554056238</t>
  </si>
  <si>
    <t>-775.659953962262 228.887581887506 -536.95170819043</t>
  </si>
  <si>
    <t>-673.299079232993 260.702668946109 -262.905704467682</t>
  </si>
  <si>
    <t>-434.463849973876 267.135617848292 -231.806396080535</t>
  </si>
  <si>
    <t>-773.086751897985 37.4768863313275 -554.827961077846</t>
  </si>
  <si>
    <t>-609.215861791983 22.7702319409957 -320.786755970034</t>
  </si>
  <si>
    <t>-772.770118017158 173.902625576613 -97.6788313599802</t>
  </si>
  <si>
    <t>-774.343550261266 179.289010578879 305.83474184694</t>
  </si>
  <si>
    <t>-859.433486664709 204.718469318037 745.029086443943</t>
  </si>
  <si>
    <t>-714.503672294681 225.235868915675 805.541079494135</t>
  </si>
  <si>
    <t>-684.207186340673 -10.7400154008224 306.647053662188</t>
  </si>
  <si>
    <t>-690.364901666327 -16.7061989699725 754.240651949597</t>
  </si>
  <si>
    <t>-586.18949027746 -110.13296180991 828.444619777626</t>
  </si>
  <si>
    <t>9763-20170724T105132.141799000.bin</t>
  </si>
  <si>
    <t>-751.076328764382 81.8915669749265 -94.991037463435</t>
  </si>
  <si>
    <t>-767.560445065181 75.9747243203778 -209.487614538626</t>
  </si>
  <si>
    <t>-773.686549361231 72.3748853638094 -307.855267418845</t>
  </si>
  <si>
    <t>-776.582077995436 69.4557558589331 -396.857113475256</t>
  </si>
  <si>
    <t>-776.474475351879 66.823933948765 -485.914951226275</t>
  </si>
  <si>
    <t>-773.16701397361 63.3556161896538 -610.405323852887</t>
  </si>
  <si>
    <t>-742.008637323743 60.9573926135415 -687.401542252453</t>
  </si>
  <si>
    <t>-776.133661962187 92.5378252510025 -556.434029696847</t>
  </si>
  <si>
    <t>-776.11823185449 228.635015768188 -537.074802526283</t>
  </si>
  <si>
    <t>-675.86422175936 261.556038817974 -262.381291127525</t>
  </si>
  <si>
    <t>-437.249887631354 268.892118530806 -229.819507864582</t>
  </si>
  <si>
    <t>-773.11132326734 37.2259718147336 -554.812668797448</t>
  </si>
  <si>
    <t>-608.882124288396 22.7092002992649 -320.729972393755</t>
  </si>
  <si>
    <t>-772.762329286883 173.853728177907 -97.7097380160329</t>
  </si>
  <si>
    <t>-774.261662777139 179.158084022732 305.805142317405</t>
  </si>
  <si>
    <t>-859.428576265307 204.751302334786 744.930353136224</t>
  </si>
  <si>
    <t>-714.509469753537 225.3897371502 805.42655858914</t>
  </si>
  <si>
    <t>-684.316889829074 -10.8768669968067 306.625759613482</t>
  </si>
  <si>
    <t>-690.50169657269 -16.9869422007964 754.238784446497</t>
  </si>
  <si>
    <t>-585.963095521373 -110.028882771887 828.41535419513</t>
  </si>
  <si>
    <t>9763-20170724T105132.208434500.bin</t>
  </si>
  <si>
    <t>-751.320540047737 81.6019340242992 -95.0824031409015</t>
  </si>
  <si>
    <t>-767.879823682354 75.6516327928018 -209.566434389039</t>
  </si>
  <si>
    <t>-774.091303921091 71.9857251426286 -307.926192248242</t>
  </si>
  <si>
    <t>-777.072808413116 68.9918012971359 -396.922719475474</t>
  </si>
  <si>
    <t>-777.061301287368 66.273479241805 -485.978142280391</t>
  </si>
  <si>
    <t>-773.898769472873 62.6736699098026 -610.468549028059</t>
  </si>
  <si>
    <t>-742.764244145697 60.1987216383909 -687.472079839191</t>
  </si>
  <si>
    <t>-776.968922535453 91.9032098707539 -556.528393418504</t>
  </si>
  <si>
    <t>-777.865979959397 228.00418907173 -537.20029745808</t>
  </si>
  <si>
    <t>-681.236721876374 262.02522012285 -261.344250138638</t>
  </si>
  <si>
    <t>-442.894958380643 270.459458678365 -227.096912250326</t>
  </si>
  <si>
    <t>-773.611934765462 36.6125058819787 -554.844345241794</t>
  </si>
  <si>
    <t>-608.793763241925 23.0079512215432 -320.903587145397</t>
  </si>
  <si>
    <t>-773.191835012071 173.521479676465 -97.8094722572998</t>
  </si>
  <si>
    <t>-774.546515976408 178.925790175002 305.704633408304</t>
  </si>
  <si>
    <t>-859.420408663425 204.802111188432 744.792633573119</t>
  </si>
  <si>
    <t>-714.447515982186 225.12304901787 805.267387644264</t>
  </si>
  <si>
    <t>-684.203898027839 -10.8712596448145 306.534253892726</t>
  </si>
  <si>
    <t>-690.508959184795 -17.0446229204283 754.195193487073</t>
  </si>
  <si>
    <t>-586.019022761446 -110.141454635926 828.371413185268</t>
  </si>
  <si>
    <t>9763-20170724T105132.241021600.bin</t>
  </si>
  <si>
    <t>-751.535539615906 81.418294838347 -95.1494586949906</t>
  </si>
  <si>
    <t>-768.146292528101 75.4184590139489 -209.623517904176</t>
  </si>
  <si>
    <t>-774.429756633092 71.7285187932412 -307.977730157354</t>
  </si>
  <si>
    <t>-777.487343948215 68.719372469046 -396.971227247806</t>
  </si>
  <si>
    <t>-777.562275647527 65.9935416099677 -486.026378707198</t>
  </si>
  <si>
    <t>-774.531369737571 62.3920204306132 -610.519841742441</t>
  </si>
  <si>
    <t>-743.395274659408 59.9398619474368 -687.523495028947</t>
  </si>
  <si>
    <t>-777.641464837537 91.6161348434339 -556.579257639893</t>
  </si>
  <si>
    <t>-779.055324344795 227.701199896794 -537.197160116567</t>
  </si>
  <si>
    <t>-683.698791842196 261.596675686221 -260.883291196926</t>
  </si>
  <si>
    <t>-445.380657070083 270.510733854733 -226.591370871793</t>
  </si>
  <si>
    <t>-774.088851280747 36.3377302173308 -554.893670505521</t>
  </si>
  <si>
    <t>-608.985546594629 23.3285384592041 -320.960304428734</t>
  </si>
  <si>
    <t>-773.564815044654 173.37899000197 -97.8723175855264</t>
  </si>
  <si>
    <t>-774.961541689241 178.977315509965 305.639070741115</t>
  </si>
  <si>
    <t>-859.434917042542 204.911498841556 744.767996440947</t>
  </si>
  <si>
    <t>-714.475535266218 225.372685901172 805.228096159295</t>
  </si>
  <si>
    <t>-684.155597944996 -10.8255645559937 306.476469128599</t>
  </si>
  <si>
    <t>-690.538466455667 -17.1269960945356 754.167430530527</t>
  </si>
  <si>
    <t>-586.175223264169 -110.358741391601 828.352609735918</t>
  </si>
  <si>
    <t>9763-20170724T105132.310722800.bin</t>
  </si>
  <si>
    <t>-752.280449698975 81.3218227871662 -95.2453328327014</t>
  </si>
  <si>
    <t>-769.033470396058 75.1416164168409 -209.689002450361</t>
  </si>
  <si>
    <t>-775.484318263085 71.3838127099923 -308.029844506794</t>
  </si>
  <si>
    <t>-778.708989334982 68.3445174759927 -397.016400731612</t>
  </si>
  <si>
    <t>-778.966128438547 65.6231313266755 -486.071280794483</t>
  </si>
  <si>
    <t>-776.204656317828 62.0642953069289 -610.57249909699</t>
  </si>
  <si>
    <t>-745.063277910802 59.7716951189443 -687.578888173428</t>
  </si>
  <si>
    <t>-779.397276548713 91.2561859201776 -556.619203301934</t>
  </si>
  <si>
    <t>-781.838283632 227.293806324522 -537.062969206603</t>
  </si>
  <si>
    <t>-688.072922440714 260.68329556949 -260.143429287493</t>
  </si>
  <si>
    <t>-449.619040262943 269.919779135176 -226.896798584105</t>
  </si>
  <si>
    <t>-775.442226803288 36.0045811356267 -554.952120145021</t>
  </si>
  <si>
    <t>-609.804178217683 24.3913942201741 -320.719270623382</t>
  </si>
  <si>
    <t>-774.783969489586 173.341692769316 -97.9948509936107</t>
  </si>
  <si>
    <t>-775.877490717049 179.137906913876 305.514612703747</t>
  </si>
  <si>
    <t>-859.458252637853 205.089902959358 744.770206757116</t>
  </si>
  <si>
    <t>-714.477583029022 225.416606688744 805.224502978397</t>
  </si>
  <si>
    <t>-684.123632731722 -10.6600573745829 306.395987104792</t>
  </si>
  <si>
    <t>-690.501602706736 -17.0857913324201 754.123060383959</t>
  </si>
  <si>
    <t>-586.166824297511 -110.361999388276 828.292523204042</t>
  </si>
  <si>
    <t>9763-20170724T105132.347333600.bin</t>
  </si>
  <si>
    <t>-752.74895079153 81.4816718810969 -95.2808817074626</t>
  </si>
  <si>
    <t>-769.57311217341 75.2185751069733 -209.70965655703</t>
  </si>
  <si>
    <t>-776.096740545323 71.4373135914582 -308.044817020955</t>
  </si>
  <si>
    <t>-779.390378676243 68.3949594452793 -397.028644328615</t>
  </si>
  <si>
    <t>-779.719531099304 65.6898813667565 -486.083849806719</t>
  </si>
  <si>
    <t>-777.061290768633 62.1745844598804 -610.58838851597</t>
  </si>
  <si>
    <t>-745.932198479234 60.0179727234381 -687.603777121118</t>
  </si>
  <si>
    <t>-780.305172058617 91.3405088095283 -556.624237138649</t>
  </si>
  <si>
    <t>-783.214048545152 227.361881474586 -536.999330890578</t>
  </si>
  <si>
    <t>-690.135148658051 260.596336834137 -259.829772064072</t>
  </si>
  <si>
    <t>-451.619883807381 269.993502742479 -227.073412766916</t>
  </si>
  <si>
    <t>-776.15687040386 36.102469112637 -554.975967227593</t>
  </si>
  <si>
    <t>-610.252963476888 25.0421721965406 -320.617943337008</t>
  </si>
  <si>
    <t>-775.52954417697 173.451103573835 -98.0469776807914</t>
  </si>
  <si>
    <t>-776.308572384011 179.276113579179 305.462767633728</t>
  </si>
  <si>
    <t>-859.463341901401 205.156535839528 744.791071267117</t>
  </si>
  <si>
    <t>-714.475060136358 225.436867471675 805.242728474008</t>
  </si>
  <si>
    <t>-684.113506292558 -10.3872407040494 306.370279487653</t>
  </si>
  <si>
    <t>-690.406704274228 -16.9216131159042 754.098348538703</t>
  </si>
  <si>
    <t>-586.393684509438 -110.547742691326 828.278858898105</t>
  </si>
  <si>
    <t>9763-20170724T105132.410005700.bin</t>
  </si>
  <si>
    <t>-753.903382845361 81.564313548258 -95.3233222006298</t>
  </si>
  <si>
    <t>-770.85695859424 75.1763805694384 -209.726078109112</t>
  </si>
  <si>
    <t>-777.532857160104 71.3545356341551 -308.049428991929</t>
  </si>
  <si>
    <t>-780.979362683143 68.30144507766 -397.027163909774</t>
  </si>
  <si>
    <t>-781.475682054969 65.6147645859819 -486.082108894569</t>
  </si>
  <si>
    <t>-779.065523786092 62.1574657978292 -610.593323515644</t>
  </si>
  <si>
    <t>-748.018522811922 60.301290075616 -687.649587938113</t>
  </si>
  <si>
    <t>-782.3690827503 91.2850652423222 -556.612100423635</t>
  </si>
  <si>
    <t>-786.085970667797 227.27855324903 -536.862489498067</t>
  </si>
  <si>
    <t>-694.102036454666 260.357838108725 -259.308896737783</t>
  </si>
  <si>
    <t>-455.458999528483 269.838474974153 -227.520849907212</t>
  </si>
  <si>
    <t>-777.88348053763 36.0726093477051 -554.992124738131</t>
  </si>
  <si>
    <t>-611.376008590975 25.9721563700846 -320.815587893577</t>
  </si>
  <si>
    <t>-777.076294279308 173.616838977608 -98.1250833091573</t>
  </si>
  <si>
    <t>-777.250008115153 179.358750335211 305.386554601066</t>
  </si>
  <si>
    <t>-859.473162812541 205.261081191115 744.86921163603</t>
  </si>
  <si>
    <t>-714.462770289854 225.389757626432 805.318407232587</t>
  </si>
  <si>
    <t>-684.55334056034 -10.1247160939083 306.326151868943</t>
  </si>
  <si>
    <t>-690.573259323356 -17.2848879817554 754.084110336791</t>
  </si>
  <si>
    <t>-586.097450564679 -110.425206838265 828.22564904866</t>
  </si>
  <si>
    <t>9763-20170724T105132.441094200.bin</t>
  </si>
  <si>
    <t>-754.479188171738 81.6868398508636 -95.3410149025439</t>
  </si>
  <si>
    <t>-771.488249822174 75.2395110727857 -209.732195875877</t>
  </si>
  <si>
    <t>-778.236681862239 71.3941866957134 -308.04975108878</t>
  </si>
  <si>
    <t>-781.758207113994 68.3301948763858 -397.024109782777</t>
  </si>
  <si>
    <t>-782.338589003428 65.6448543171068 -486.078593748661</t>
  </si>
  <si>
    <t>-780.05517529797 62.2024208579885 -610.592584640815</t>
  </si>
  <si>
    <t>-749.065556058572 60.4691058573894 -687.674890442098</t>
  </si>
  <si>
    <t>-783.369571218884 91.3181386800043 -556.60556121337</t>
  </si>
  <si>
    <t>-787.370448020665 227.291854307249 -536.814510310256</t>
  </si>
  <si>
    <t>-695.73544506954 260.522433329833 -259.163837110641</t>
  </si>
  <si>
    <t>-457.068572014887 269.981122057472 -227.548607167454</t>
  </si>
  <si>
    <t>-778.750469805615 36.1164406146618 -554.994667102698</t>
  </si>
  <si>
    <t>-611.921650521238 26.3496800555783 -321.055842830197</t>
  </si>
  <si>
    <t>-777.804311488029 173.728018632872 -98.1561795240131</t>
  </si>
  <si>
    <t>-777.786622619786 179.487146025074 305.355253255237</t>
  </si>
  <si>
    <t>-859.478018107463 205.328961514086 744.931197295676</t>
  </si>
  <si>
    <t>-714.44499401904 225.281083523005 805.384752167814</t>
  </si>
  <si>
    <t>-684.693772763133 -9.78466305610118 306.285431129232</t>
  </si>
  <si>
    <t>-690.453486821043 -17.0631962303871 754.063669625892</t>
  </si>
  <si>
    <t>-586.305428495539 -110.559784633197 828.217893571141</t>
  </si>
  <si>
    <t>9763-20170724T105132.509046300.bin</t>
  </si>
  <si>
    <t>-755.56234221537 81.7851392750765 -95.3354398138196</t>
  </si>
  <si>
    <t>-772.736289062359 75.1889964236293 -209.693584355394</t>
  </si>
  <si>
    <t>-779.688016694804 71.2923851368216 -307.994842114265</t>
  </si>
  <si>
    <t>-783.415915449879 68.2120665181803 -396.960247040411</t>
  </si>
  <si>
    <t>-784.225012776725 65.5418883253956 -486.013340507747</t>
  </si>
  <si>
    <t>-782.283104105363 62.1540522575292 -610.534814021575</t>
  </si>
  <si>
    <t>-751.472008209829 60.5776033650029 -687.691929714872</t>
  </si>
  <si>
    <t>-785.54816531485 91.2376468861005 -556.527348570421</t>
  </si>
  <si>
    <t>-789.976820568683 227.185126228873 -536.65693097696</t>
  </si>
  <si>
    <t>-698.597226503084 260.729491580673 -258.959664164336</t>
  </si>
  <si>
    <t>-459.891550954663 270.128954058724 -227.620473652264</t>
  </si>
  <si>
    <t>-780.727084758996 36.052134604402 -554.950664916297</t>
  </si>
  <si>
    <t>-613.303282044712 26.7661720782967 -321.466748447474</t>
  </si>
  <si>
    <t>-779.203368283874 173.908104205595 -98.195505571882</t>
  </si>
  <si>
    <t>-778.789360514209 179.710359459034 305.315137919887</t>
  </si>
  <si>
    <t>-859.489763599434 205.472905850573 745.072809659852</t>
  </si>
  <si>
    <t>-714.480523981214 225.582325973538 805.531495946007</t>
  </si>
  <si>
    <t>-684.95896665186 -9.47698462015342 306.253892185885</t>
  </si>
  <si>
    <t>-690.511322419361 -17.1979993673638 754.060611977744</t>
  </si>
  <si>
    <t>-586.344692869378 -110.686712583314 828.198871011093</t>
  </si>
  <si>
    <t>9763-20170724T105132.542641300.bin</t>
  </si>
  <si>
    <t>-756.047201682055 81.750253006172 -95.3272982826079</t>
  </si>
  <si>
    <t>-773.2975850412 75.0681146543502 -209.668943211744</t>
  </si>
  <si>
    <t>-780.359576650555 71.1453961658697 -307.961312217741</t>
  </si>
  <si>
    <t>-784.204213646918 68.0598874587704 -396.921656050662</t>
  </si>
  <si>
    <t>-785.146200013225 65.4045570531844 -485.973889585163</t>
  </si>
  <si>
    <t>-783.406589594099 62.059271201206 -610.49935189616</t>
  </si>
  <si>
    <t>-752.709022769423 60.541532879445 -687.702928501549</t>
  </si>
  <si>
    <t>-786.633607596288 91.1199342873711 -556.477383314576</t>
  </si>
  <si>
    <t>-791.281765735044 227.056728159512 -536.56629033955</t>
  </si>
  <si>
    <t>-699.840904284495 260.604179683743 -258.889689056547</t>
  </si>
  <si>
    <t>-461.117753712699 270.135745046545 -227.723432812015</t>
  </si>
  <si>
    <t>-781.710625604271 35.9427374295703 -554.926333774592</t>
  </si>
  <si>
    <t>-614.031128778009 26.9315864353725 -321.563625169253</t>
  </si>
  <si>
    <t>-779.840773894983 173.909242148636 -98.2152911377749</t>
  </si>
  <si>
    <t>-779.277868423028 179.762543132571 305.294462602901</t>
  </si>
  <si>
    <t>-859.481870583627 205.478809895385 745.150020581411</t>
  </si>
  <si>
    <t>-714.426287884932 225.229323187836 805.615856869452</t>
  </si>
  <si>
    <t>-685.092585543856 -9.40663386782467 306.270711305716</t>
  </si>
  <si>
    <t>-690.525296036118 -17.229035031829 754.063637162741</t>
  </si>
  <si>
    <t>-586.268613198409 -110.628001728025 828.188513734664</t>
  </si>
  <si>
    <t>9763-20170724T105132.607316500.bin</t>
  </si>
  <si>
    <t>-756.875652389984 81.6896948084659 -95.299071062375</t>
  </si>
  <si>
    <t>-774.31193090068 74.8757860191777 -209.604734597675</t>
  </si>
  <si>
    <t>-781.608231103106 70.9086517137682 -307.878179680811</t>
  </si>
  <si>
    <t>-785.693396505443 67.8119037344031 -396.827400856228</t>
  </si>
  <si>
    <t>-786.903802662739 65.1768645131117 -485.876981729381</t>
  </si>
  <si>
    <t>-785.567919929731 61.8945381401054 -610.409056215753</t>
  </si>
  <si>
    <t>-755.093187833191 60.4829486893075 -687.702861236533</t>
  </si>
  <si>
    <t>-788.728329015876 90.9180018193676 -556.363215495343</t>
  </si>
  <si>
    <t>-793.855079187745 226.840161915192 -536.438951882337</t>
  </si>
  <si>
    <t>-702.348149853573 260.300638772732 -258.773654416932</t>
  </si>
  <si>
    <t>-463.557214079172 269.928615614046 -228.161080319522</t>
  </si>
  <si>
    <t>-783.583329254476 35.7597902049124 -554.85423145942</t>
  </si>
  <si>
    <t>-615.148075408923 27.2194666749037 -321.553616685022</t>
  </si>
  <si>
    <t>-780.981001281709 173.914002427972 -98.2047051810462</t>
  </si>
  <si>
    <t>-779.757203735576 179.815967724135 305.302882138415</t>
  </si>
  <si>
    <t>-859.489604245927 205.533835748163 745.273137024005</t>
  </si>
  <si>
    <t>-714.446589350192 225.409865275075 805.727528381582</t>
  </si>
  <si>
    <t>-685.456180142811 -9.07882640839921 306.302721188123</t>
  </si>
  <si>
    <t>-690.490822996321 -17.158273692185 754.080208316308</t>
  </si>
  <si>
    <t>-586.366462836553 -110.711721602875 828.196278981733</t>
  </si>
  <si>
    <t>9763-20170724T105132.642412900.bin</t>
  </si>
  <si>
    <t>-757.302319958892 81.6094271418206 -95.2738944099343</t>
  </si>
  <si>
    <t>-774.839783214177 74.7320949866823 -209.560178799466</t>
  </si>
  <si>
    <t>-782.264941271636 70.7413823381062 -307.823047518109</t>
  </si>
  <si>
    <t>-786.482820090387 67.6364235445017 -396.765842558537</t>
  </si>
  <si>
    <t>-787.842506373214 65.0079694306464 -485.813422499943</t>
  </si>
  <si>
    <t>-786.731493062597 61.7510961058358 -610.348524073562</t>
  </si>
  <si>
    <t>-756.352270771016 60.3941762251379 -687.680768313394</t>
  </si>
  <si>
    <t>-789.846269568458 90.7585073249086 -556.291423514465</t>
  </si>
  <si>
    <t>-795.176192958257 226.668727461417 -536.382983464907</t>
  </si>
  <si>
    <t>-703.771893531234 260.145564139219 -258.685664481879</t>
  </si>
  <si>
    <t>-464.952486029894 269.82753508218 -228.313778813468</t>
  </si>
  <si>
    <t>-784.59461893895 35.6100138027957 -554.802286915052</t>
  </si>
  <si>
    <t>-615.832996338503 27.3571124170198 -321.549905085727</t>
  </si>
  <si>
    <t>-781.509582555355 173.818212514206 -98.1922662069612</t>
  </si>
  <si>
    <t>-779.90428636099 179.708079640512 305.314076428674</t>
  </si>
  <si>
    <t>-859.485874514721 205.502252810888 745.320260001795</t>
  </si>
  <si>
    <t>-714.397214748613 225.075042606006 805.764193798627</t>
  </si>
  <si>
    <t>-685.654287714266 -9.01283883540827 306.309254467197</t>
  </si>
  <si>
    <t>-690.527014852007 -17.2377946499375 754.090981827066</t>
  </si>
  <si>
    <t>-586.379343692121 -110.76917846348 828.202026243958</t>
  </si>
  <si>
    <t>9763-20170724T105132.709595000.bin</t>
  </si>
  <si>
    <t>-758.041095783906 81.3951519926441 -95.2327077854249</t>
  </si>
  <si>
    <t>-775.78305375678 74.3965919039622 -209.480052427612</t>
  </si>
  <si>
    <t>-783.494041674936 70.3431072219169 -307.718449935515</t>
  </si>
  <si>
    <t>-788.013841166587 67.1997144399777 -396.644991795363</t>
  </si>
  <si>
    <t>-789.718376858987 64.5533096658471 -485.686192686074</t>
  </si>
  <si>
    <t>-789.134633956246 61.2949441552687 -610.22470412419</t>
  </si>
  <si>
    <t>-758.896252916913 60.0114718313 -687.61344444395</t>
  </si>
  <si>
    <t>-792.096245163238 90.2956526532928 -556.155442187624</t>
  </si>
  <si>
    <t>-797.718781406051 226.206852129873 -536.29776982562</t>
  </si>
  <si>
    <t>-706.158016021451 259.957337779583 -258.685174134758</t>
  </si>
  <si>
    <t>-467.312344443131 269.729595616257 -228.550020676523</t>
  </si>
  <si>
    <t>-786.686911690143 35.1617781482294 -554.68744494507</t>
  </si>
  <si>
    <t>-617.0664019485 27.3914939689166 -321.635692019635</t>
  </si>
  <si>
    <t>-782.395704688153 173.572875483464 -98.1761455718378</t>
  </si>
  <si>
    <t>-780.3344088927 179.68065724897 305.324949261721</t>
  </si>
  <si>
    <t>-859.482676051922 205.493146186213 745.405614819708</t>
  </si>
  <si>
    <t>-714.37749942648 225.005175990049 805.829588510932</t>
  </si>
  <si>
    <t>-685.852669253479 -9.00474403795306 306.329306544516</t>
  </si>
  <si>
    <t>-690.585580675563 -17.3726199801736 754.110874476531</t>
  </si>
  <si>
    <t>-586.354965611599 -110.818188764287 828.213579075222</t>
  </si>
  <si>
    <t>9763-20170724T105132.743687800.bin</t>
  </si>
  <si>
    <t>-758.300022364713 81.2093870956105 -95.2130773502735</t>
  </si>
  <si>
    <t>-776.144904990459 74.1408531020465 -209.440150140496</t>
  </si>
  <si>
    <t>-783.997268576146 70.0534483525057 -307.665815242282</t>
  </si>
  <si>
    <t>-788.665480872537 66.8904661981771 -396.584004985444</t>
  </si>
  <si>
    <t>-790.539243234399 64.2362473170522 -485.621667721473</t>
  </si>
  <si>
    <t>-790.212633949144 60.9798784379911 -610.161139689493</t>
  </si>
  <si>
    <t>-760.017725333303 59.7236083187754 -687.567230033513</t>
  </si>
  <si>
    <t>-793.0894267228 89.9771604395053 -556.085227740555</t>
  </si>
  <si>
    <t>-798.852099710465 225.885349947062 -536.276955788964</t>
  </si>
  <si>
    <t>-707.381134681679 259.695920325824 -258.642162617129</t>
  </si>
  <si>
    <t>-468.530641069404 269.709628474123 -228.624623385727</t>
  </si>
  <si>
    <t>-787.623245085218 34.8485237161494 -554.629485815823</t>
  </si>
  <si>
    <t>-617.642238633596 27.3140749905847 -321.680391802773</t>
  </si>
  <si>
    <t>-782.737925639786 173.454430619604 -98.1682603488299</t>
  </si>
  <si>
    <t>-780.464974586598 179.655260592892 305.330192629795</t>
  </si>
  <si>
    <t>-859.495210833956 205.546967546267 745.437552195409</t>
  </si>
  <si>
    <t>-714.399806593778 225.152341021769 805.855144293349</t>
  </si>
  <si>
    <t>-685.927285036836 -9.0976186441444 306.347743187713</t>
  </si>
  <si>
    <t>-690.706774643145 -17.6170950307694 754.132203591489</t>
  </si>
  <si>
    <t>-586.325326853152 -110.90146327366 828.225692914425</t>
  </si>
  <si>
    <t>9763-20170724T105132.810447700.bin</t>
  </si>
  <si>
    <t>-758.879341385152 80.8914780599209 -95.1888612621553</t>
  </si>
  <si>
    <t>-776.934892417081 73.7069208918556 -209.375439466793</t>
  </si>
  <si>
    <t>-785.032758706475 69.5531295399462 -307.578565154886</t>
  </si>
  <si>
    <t>-789.94834549508 66.3439932167066 -396.48160832383</t>
  </si>
  <si>
    <t>-792.094330391788 63.6590238518779 -485.512184952492</t>
  </si>
  <si>
    <t>-792.173968393914 60.376830507553 -610.051492939902</t>
  </si>
  <si>
    <t>-762.022428465894 59.1451730477299 -687.474995897606</t>
  </si>
  <si>
    <t>-794.91862662495 89.3808082038458 -555.972419780861</t>
  </si>
  <si>
    <t>-800.917625155045 225.301580621396 -536.260539915191</t>
  </si>
  <si>
    <t>-709.692268249652 259.100705811427 -258.543576488867</t>
  </si>
  <si>
    <t>-470.850026789851 269.29007262769 -228.519529542822</t>
  </si>
  <si>
    <t>-789.359153351204 34.2615133916856 -554.52334246401</t>
  </si>
  <si>
    <t>-618.88109228958 27.1008758364626 -321.826410927563</t>
  </si>
  <si>
    <t>-783.423536818931 173.224841142416 -98.1545821591832</t>
  </si>
  <si>
    <t>-780.587517704218 179.555499018352 305.338315073665</t>
  </si>
  <si>
    <t>-859.478410399362 205.482070931882 745.477051753839</t>
  </si>
  <si>
    <t>-714.340928320241 224.787175013488 805.889820571154</t>
  </si>
  <si>
    <t>-686.229199786805 -8.99281290685508 306.382003247527</t>
  </si>
  <si>
    <t>-690.667326007106 -17.5638587101473 754.141224388244</t>
  </si>
  <si>
    <t>-586.424703860107 -110.990180751256 828.251172257608</t>
  </si>
  <si>
    <t>9763-20170724T105132.843034800.bin</t>
  </si>
  <si>
    <t>-759.180671928781 80.8670031670565 -95.1980166120621</t>
  </si>
  <si>
    <t>-777.313476136639 73.6422607476288 -209.369918084221</t>
  </si>
  <si>
    <t>-785.508514543346 69.4544392743951 -307.563441616254</t>
  </si>
  <si>
    <t>-790.524425016281 66.2150638918029 -396.459919582731</t>
  </si>
  <si>
    <t>-792.783419600424 63.5015434479205 -485.486705645982</t>
  </si>
  <si>
    <t>-793.034072730266 60.1813344604536 -610.024852409537</t>
  </si>
  <si>
    <t>-762.895883491505 58.9491599114644 -687.45337438992</t>
  </si>
  <si>
    <t>-795.720278591791 89.2004105771555 -555.950756111314</t>
  </si>
  <si>
    <t>-801.838496878982 225.11964638209 -536.314090652937</t>
  </si>
  <si>
    <t>-710.872766717328 259.007683901492 -258.522781770866</t>
  </si>
  <si>
    <t>-472.042182187851 269.306430046859 -228.443083824214</t>
  </si>
  <si>
    <t>-790.127269794699 34.0845028985545 -554.492670078852</t>
  </si>
  <si>
    <t>-619.464165200458 27.0646024751459 -321.904851227249</t>
  </si>
  <si>
    <t>-783.803620078706 173.207273061259 -98.1645753768871</t>
  </si>
  <si>
    <t>-780.65942075475 179.552556871691 305.325871086275</t>
  </si>
  <si>
    <t>-859.487066199671 205.513521311302 745.486574745547</t>
  </si>
  <si>
    <t>-714.351113451748 224.840903321691 805.896111708331</t>
  </si>
  <si>
    <t>-686.410170349415 -8.80536392355612 306.378313702815</t>
  </si>
  <si>
    <t>-690.537548841257 -17.3226841084825 754.13367330532</t>
  </si>
  <si>
    <t>-586.44895360756 -110.909493436775 828.258096623284</t>
  </si>
  <si>
    <t>9763-20170724T105132.911720500.bin</t>
  </si>
  <si>
    <t>-759.848072784826 80.9089699674016 -95.1953305495583</t>
  </si>
  <si>
    <t>-778.086134436088 73.6349724380846 -209.347384447771</t>
  </si>
  <si>
    <t>-786.442383717877 69.415412046415 -307.52582519279</t>
  </si>
  <si>
    <t>-791.632614396557 66.1544504795679 -396.411653034421</t>
  </si>
  <si>
    <t>-794.094672012062 63.4279879234364 -485.432615981414</t>
  </si>
  <si>
    <t>-794.659370857431 60.1010724311184 -609.969522162292</t>
  </si>
  <si>
    <t>-764.577977050177 58.8788897581087 -687.420373181528</t>
  </si>
  <si>
    <t>-797.245188119512 89.1194124793658 -555.890240859304</t>
  </si>
  <si>
    <t>-803.588263176145 225.046371884243 -536.359657556971</t>
  </si>
  <si>
    <t>-713.509992470564 258.960002696989 -258.282360445323</t>
  </si>
  <si>
    <t>-474.683774370176 269.345209129831 -228.198755915584</t>
  </si>
  <si>
    <t>-791.576548419355 34.0109268197104 -554.443653608266</t>
  </si>
  <si>
    <t>-620.528838380239 27.2917102017118 -321.830551882787</t>
  </si>
  <si>
    <t>-784.479353022355 173.233887393259 -98.1966559190478</t>
  </si>
  <si>
    <t>-780.927981180253 179.631175856569 305.289534045047</t>
  </si>
  <si>
    <t>-859.476501258611 205.482031847366 745.513289074718</t>
  </si>
  <si>
    <t>-714.31730390177 224.639625352071 805.92116075228</t>
  </si>
  <si>
    <t>-686.791261424567 -8.55757131877704 306.378372117245</t>
  </si>
  <si>
    <t>-690.487510754246 -17.2532866032564 754.131032518111</t>
  </si>
  <si>
    <t>-586.615434117088 -111.06156454581 828.278634015193</t>
  </si>
  <si>
    <t>9763-20170724T105132.943808600.bin</t>
  </si>
  <si>
    <t>-760.233828396465 81.0563381905322 -95.1955288211395</t>
  </si>
  <si>
    <t>-778.510973953977 73.776141751428 -209.340995183598</t>
  </si>
  <si>
    <t>-786.927178152708 69.5531812704164 -307.514081241346</t>
  </si>
  <si>
    <t>-792.182601496241 66.2909006948992 -396.396010534645</t>
  </si>
  <si>
    <t>-794.72067012616 63.5659941880633 -485.414966360718</t>
  </si>
  <si>
    <t>-795.403178156513 60.2441769174923 -609.951423709019</t>
  </si>
  <si>
    <t>-765.345381022196 59.0198140649084 -687.411415834035</t>
  </si>
  <si>
    <t>-797.953429456678 89.2585572877667 -555.868401258091</t>
  </si>
  <si>
    <t>-804.396827857837 225.184038124823 -536.360545263421</t>
  </si>
  <si>
    <t>-714.724391344562 259.072966992334 -258.149093277558</t>
  </si>
  <si>
    <t>-475.917699361711 269.619008619486 -227.966711531134</t>
  </si>
  <si>
    <t>-792.252319931663 34.1532155495424 -554.429745297043</t>
  </si>
  <si>
    <t>-621.083163443129 27.4876392365006 -321.775034762486</t>
  </si>
  <si>
    <t>-784.855078866372 173.3724266814 -98.2044421724887</t>
  </si>
  <si>
    <t>-781.188378327797 179.770617520353 305.28068933041</t>
  </si>
  <si>
    <t>-859.486999770932 205.537189648589 745.5432746826</t>
  </si>
  <si>
    <t>-714.363654221529 224.978333159571 805.94660720559</t>
  </si>
  <si>
    <t>-686.989491461288 -8.47736140362917 306.370756005842</t>
  </si>
  <si>
    <t>-690.549493820665 -17.3769088627344 754.135467892679</t>
  </si>
  <si>
    <t>-586.705397875963 -111.213953461613 828.28618880887</t>
  </si>
  <si>
    <t>9763-20170724T105133.016008800.bin</t>
  </si>
  <si>
    <t>-761.081862323933 81.1326256271013 -95.1806488699654</t>
  </si>
  <si>
    <t>-779.416690372176 73.8223322996651 -209.314873341172</t>
  </si>
  <si>
    <t>-787.937921088075 69.5982684436003 -307.479008786345</t>
  </si>
  <si>
    <t>-793.310512429238 66.3465983209385 -396.354170616044</t>
  </si>
  <si>
    <t>-795.987632306416 63.6452046309591 -485.369819095778</t>
  </si>
  <si>
    <t>-796.886858645247 60.3713071863717 -609.906104836832</t>
  </si>
  <si>
    <t>-766.878804815381 59.168700865976 -687.385660729433</t>
  </si>
  <si>
    <t>-799.377436037175 89.361357077928 -555.807223854975</t>
  </si>
  <si>
    <t>-806.009673716847 225.286257238926 -536.366674773268</t>
  </si>
  <si>
    <t>-717.471055159993 259.080600628889 -257.780718221866</t>
  </si>
  <si>
    <t>-478.692860409704 269.928727967703 -227.479601783526</t>
  </si>
  <si>
    <t>-793.604996956165 34.2626839856425 -554.400546599982</t>
  </si>
  <si>
    <t>-622.233721013102 27.8029726552782 -321.592857493075</t>
  </si>
  <si>
    <t>-785.726958439393 173.488559017319 -98.2241567840717</t>
  </si>
  <si>
    <t>-781.804279326661 179.953476805492 305.25754883848</t>
  </si>
  <si>
    <t>-859.472762899649 205.534734007858 745.634022484811</t>
  </si>
  <si>
    <t>-714.288260865983 224.479837045308 806.047957487733</t>
  </si>
  <si>
    <t>-687.424220522788 -8.35606427892458 306.346331038999</t>
  </si>
  <si>
    <t>-690.68357290914 -17.6323706910987 754.134530126672</t>
  </si>
  <si>
    <t>-586.630987165811 -111.242095783974 828.280092934732</t>
  </si>
  <si>
    <t>9763-20170724T105133.044584900.bin</t>
  </si>
  <si>
    <t>-761.45985520364 81.163684152556 -95.1646558150549</t>
  </si>
  <si>
    <t>-779.825690064918 73.8374078316033 -209.292763767153</t>
  </si>
  <si>
    <t>-788.389834332336 69.6188526709034 -307.453579287299</t>
  </si>
  <si>
    <t>-793.807311902319 66.3802228610632 -396.326513574409</t>
  </si>
  <si>
    <t>-796.535328700312 63.7007848201349 -485.341163937691</t>
  </si>
  <si>
    <t>-797.512132225917 60.4670695235559 -609.877919135248</t>
  </si>
  <si>
    <t>-767.514366346981 59.3000997603394 -687.362139667735</t>
  </si>
  <si>
    <t>-799.995323944798 89.4368050620446 -555.767926185789</t>
  </si>
  <si>
    <t>-806.737240741056 225.356071922593 -536.330371448567</t>
  </si>
  <si>
    <t>-718.776920238231 259.191759477601 -257.566503706112</t>
  </si>
  <si>
    <t>-480.030065575079 270.121610944135 -227.049049133109</t>
  </si>
  <si>
    <t>-794.169315250107 34.3431840683495 -554.383159647706</t>
  </si>
  <si>
    <t>-622.72236182538 28.0536309361833 -321.424410779383</t>
  </si>
  <si>
    <t>-786.162441448857 173.576037766514 -98.2229270496681</t>
  </si>
  <si>
    <t>-782.080927373265 180.058330180734 305.256958491897</t>
  </si>
  <si>
    <t>-859.477431639354 205.575609790123 745.687764550546</t>
  </si>
  <si>
    <t>-714.310448879255 224.648817256074 806.103594384754</t>
  </si>
  <si>
    <t>-687.611760950061 -8.18888486001856 306.335912835745</t>
  </si>
  <si>
    <t>-690.663781577882 -17.5887843468288 754.131606172311</t>
  </si>
  <si>
    <t>-586.822399971705 -111.42416865761 828.288066644976</t>
  </si>
  <si>
    <t>9763-20170724T105133.113879100.bin</t>
  </si>
  <si>
    <t>-762.305064002824 81.308515254992 -95.1330985280002</t>
  </si>
  <si>
    <t>-780.715460494254 73.9267523587923 -209.25053633292</t>
  </si>
  <si>
    <t>-789.35703432108 69.7123637460386 -307.404471646341</t>
  </si>
  <si>
    <t>-794.859174594052 66.4981927295339 -396.273089803262</t>
  </si>
  <si>
    <t>-797.68625318117 63.8655676630781 -485.286276778129</t>
  </si>
  <si>
    <t>-798.81579024274 60.7215480694406 -609.823916735518</t>
  </si>
  <si>
    <t>-768.838122487608 59.6572214762027 -687.317515967853</t>
  </si>
  <si>
    <t>-801.297174406909 89.6455198559127 -555.689288788656</t>
  </si>
  <si>
    <t>-808.303020447246 225.546844028466 -536.222035978566</t>
  </si>
  <si>
    <t>-721.09433262638 259.325531927605 -257.215107455953</t>
  </si>
  <si>
    <t>-482.372724922686 270.392399238975 -226.549466181723</t>
  </si>
  <si>
    <t>-795.340331922443 34.5646534217265 -554.352779585954</t>
  </si>
  <si>
    <t>-623.751971247494 28.3917204010354 -321.376649473085</t>
  </si>
  <si>
    <t>-787.160743327771 173.780196020733 -98.195471483415</t>
  </si>
  <si>
    <t>-782.675637278891 180.250054999864 305.280328483629</t>
  </si>
  <si>
    <t>-859.471239739904 205.635875744836 745.811297380561</t>
  </si>
  <si>
    <t>-714.338898968714 224.934047311818 806.238599554823</t>
  </si>
  <si>
    <t>-687.964578947982 -7.93819042531891 306.339433181564</t>
  </si>
  <si>
    <t>-690.730035891675 -17.7135249629687 754.128971226417</t>
  </si>
  <si>
    <t>-586.73361445275 -111.383054266572 828.27783241704</t>
  </si>
  <si>
    <t>9763-20170724T105133.149475500.bin</t>
  </si>
  <si>
    <t>-762.724812757225 81.3648750111051 -95.1172415274372</t>
  </si>
  <si>
    <t>-781.144889315239 73.9555810800687 -209.231347551498</t>
  </si>
  <si>
    <t>-789.823445904452 69.744747392544 -307.382244661689</t>
  </si>
  <si>
    <t>-795.369925283688 66.5454009535251 -396.248697951676</t>
  </si>
  <si>
    <t>-798.252312787043 63.9395975546349 -485.260729253121</t>
  </si>
  <si>
    <t>-799.46986987291 60.8466238059591 -609.798983337511</t>
  </si>
  <si>
    <t>-769.504824840717 59.8521372898313 -687.298244972723</t>
  </si>
  <si>
    <t>-801.948414592025 89.7444393869712 -555.650253968565</t>
  </si>
  <si>
    <t>-809.104516540238 225.633008524488 -536.143106560284</t>
  </si>
  <si>
    <t>-722.117504569956 259.313374727373 -257.05516681206</t>
  </si>
  <si>
    <t>-483.408371357846 270.481244991835 -226.329120780902</t>
  </si>
  <si>
    <t>-795.919554805124 34.6707852088325 -554.341362252485</t>
  </si>
  <si>
    <t>-624.158774043356 28.6033901735843 -321.356239253178</t>
  </si>
  <si>
    <t>-787.636676559401 173.846344491721 -98.1938348632815</t>
  </si>
  <si>
    <t>-783.01304275204 180.339173067751 305.27998493431</t>
  </si>
  <si>
    <t>-859.465484487751 205.654583232741 745.873433066096</t>
  </si>
  <si>
    <t>-714.356411156196 225.107460784785 806.307198587963</t>
  </si>
  <si>
    <t>-688.150001432055 -7.77602067700309 306.341831200347</t>
  </si>
  <si>
    <t>-690.708058791592 -17.6645939215689 754.127528047281</t>
  </si>
  <si>
    <t>-586.637711839652 -111.256020565126 828.271471804853</t>
  </si>
  <si>
    <t>9763-20170724T105133.208137900.bin</t>
  </si>
  <si>
    <t>-763.493285840627 81.6747455169984 -95.1053457554208</t>
  </si>
  <si>
    <t>-781.935076011151 74.1976529188369 -209.21147869422</t>
  </si>
  <si>
    <t>-790.652208938629 69.9645512530997 -307.35804061784</t>
  </si>
  <si>
    <t>-796.240609256035 66.758821575188 -396.22152926461</t>
  </si>
  <si>
    <t>-799.171739100984 64.1622452533586 -485.232327003413</t>
  </si>
  <si>
    <t>-800.464668821222 61.0983246740805 -609.770489350432</t>
  </si>
  <si>
    <t>-770.496530744917 60.1985227837781 -687.269726901744</t>
  </si>
  <si>
    <t>-802.976976955812 89.9762224230683 -555.612640915108</t>
  </si>
  <si>
    <t>-810.399807650671 225.845320301445 -536.070284325609</t>
  </si>
  <si>
    <t>-723.715857087403 259.490773280336 -256.883665204066</t>
  </si>
  <si>
    <t>-485.027069252796 270.870705897388 -226.077657984109</t>
  </si>
  <si>
    <t>-796.814425867865 34.9169756559734 -554.32209016759</t>
  </si>
  <si>
    <t>-624.863608547634 29.224367576541 -321.410548581609</t>
  </si>
  <si>
    <t>-788.558854176843 174.11245301803 -98.1968205594874</t>
  </si>
  <si>
    <t>-783.810256127752 180.714020324741 305.273826831799</t>
  </si>
  <si>
    <t>-859.439610337064 205.669201693748 746.019751657586</t>
  </si>
  <si>
    <t>-714.318474921186 224.928975793049 806.486487990606</t>
  </si>
  <si>
    <t>-688.363583514132 -7.29789511382251 306.327969876275</t>
  </si>
  <si>
    <t>-690.577966391511 -17.4017451232137 754.114946676732</t>
  </si>
  <si>
    <t>-587.042477885256 -111.557423504741 828.292944608721</t>
  </si>
  <si>
    <t>9763-20170724T105133.240740900.bin</t>
  </si>
  <si>
    <t>-763.853115407669 81.8097027858219 -95.0963113852075</t>
  </si>
  <si>
    <t>-782.294836281174 74.2949909635454 -209.200062203238</t>
  </si>
  <si>
    <t>-791.018397544466 70.0452679700691 -307.345260654624</t>
  </si>
  <si>
    <t>-796.615278817415 66.8307156203357 -396.207993212574</t>
  </si>
  <si>
    <t>-799.556857454765 64.2313998358038 -485.218236787175</t>
  </si>
  <si>
    <t>-800.866744411384 61.1709051278278 -609.756256782864</t>
  </si>
  <si>
    <t>-770.890827996674 60.3021829769339 -687.252859418858</t>
  </si>
  <si>
    <t>-803.401458617261 90.0440969338736 -555.597021816767</t>
  </si>
  <si>
    <t>-810.975370899647 225.904798525831 -536.046248742303</t>
  </si>
  <si>
    <t>-724.479132670052 259.616412625989 -256.809478596546</t>
  </si>
  <si>
    <t>-485.809783315762 271.090876895376 -225.887805961531</t>
  </si>
  <si>
    <t>-797.17929500176 34.9914159566372 -554.309569632301</t>
  </si>
  <si>
    <t>-625.138251108588 29.4888222630145 -321.397755500449</t>
  </si>
  <si>
    <t>-789.027978583731 174.315926518228 -98.206288404834</t>
  </si>
  <si>
    <t>-784.177795441386 180.900264453865 305.263368128664</t>
  </si>
  <si>
    <t>-859.410293529214 205.7134403442 746.096438867428</t>
  </si>
  <si>
    <t>-714.301044780029 224.87288268017 806.62376283107</t>
  </si>
  <si>
    <t>-688.551314837672 -7.14118760622364 306.333025540162</t>
  </si>
  <si>
    <t>-690.640058943515 -17.5159902451658 754.12076058809</t>
  </si>
  <si>
    <t>-587.011034300017 -111.571431162178 828.295614649409</t>
  </si>
  <si>
    <t>9763-20170724T105133.308423700.bin</t>
  </si>
  <si>
    <t>-764.499243949393 82.0869837035641 -95.0597322939319</t>
  </si>
  <si>
    <t>-782.940040102756 74.5085985359958 -209.159273031619</t>
  </si>
  <si>
    <t>-791.648939801301 70.2389783214344 -307.304986783994</t>
  </si>
  <si>
    <t>-797.226009691591 67.0192117074346 -396.168895214874</t>
  </si>
  <si>
    <t>-800.140963164773 64.4286031461954 -485.180281701262</t>
  </si>
  <si>
    <t>-801.406325621623 61.3947748323558 -609.719531029622</t>
  </si>
  <si>
    <t>-771.38240132776 60.6027340363257 -687.198179257052</t>
  </si>
  <si>
    <t>-804.031221664868 90.2482386551349 -555.553975297423</t>
  </si>
  <si>
    <t>-811.950366852225 226.081837332833 -535.961153809174</t>
  </si>
  <si>
    <t>-726.046298991474 259.897829254131 -256.554246493665</t>
  </si>
  <si>
    <t>-487.422830720979 271.821280382135 -225.449251732124</t>
  </si>
  <si>
    <t>-797.667875582991 35.2113726170812 -554.277829332742</t>
  </si>
  <si>
    <t>-625.589652087735 30.1040660065205 -321.277386533776</t>
  </si>
  <si>
    <t>-789.778531004706 174.638659480315 -98.1703467791308</t>
  </si>
  <si>
    <t>-784.652433675607 181.228441996805 305.295889134591</t>
  </si>
  <si>
    <t>-859.333552922408 205.813826294921 746.244766253414</t>
  </si>
  <si>
    <t>-714.285912021302 224.95342257975 806.925342439451</t>
  </si>
  <si>
    <t>-688.846753594878 -6.90617566329183 306.368157032501</t>
  </si>
  <si>
    <t>-690.71344501547 -17.6584372150703 754.135240460554</t>
  </si>
  <si>
    <t>-586.778656928315 -111.381380558804 828.303175507268</t>
  </si>
  <si>
    <t>9763-20170724T105133.342516500.bin</t>
  </si>
  <si>
    <t>-764.823302909435 82.1962503073864 -95.0332989506533</t>
  </si>
  <si>
    <t>-783.26838291027 74.5843786001403 -209.129978711799</t>
  </si>
  <si>
    <t>-791.954819596256 70.3055822211952 -307.277352997539</t>
  </si>
  <si>
    <t>-797.500402673286 67.0845655909422 -396.143064227044</t>
  </si>
  <si>
    <t>-800.373048573211 64.5000932792425 -485.156078844334</t>
  </si>
  <si>
    <t>-801.56744722562 61.4824254638247 -609.696369620016</t>
  </si>
  <si>
    <t>-771.504312755257 60.7467464083961 -687.16041413812</t>
  </si>
  <si>
    <t>-804.266899361895 90.3236974909983 -555.528033265592</t>
  </si>
  <si>
    <t>-812.416960366619 226.144956547479 -535.915723283287</t>
  </si>
  <si>
    <t>-726.957385398425 259.980012650357 -256.374867415089</t>
  </si>
  <si>
    <t>-488.368262387342 272.241390456776 -225.13690247277</t>
  </si>
  <si>
    <t>-797.816740288497 35.2970039171544 -554.256513087132</t>
  </si>
  <si>
    <t>-625.754446476343 30.429838260776 -321.165586007519</t>
  </si>
  <si>
    <t>-790.208730429663 174.751982716621 -98.1475734351427</t>
  </si>
  <si>
    <t>-784.794528218354 181.292974472869 305.315590074815</t>
  </si>
  <si>
    <t>-859.288610294695 205.775842694254 746.303251154681</t>
  </si>
  <si>
    <t>-714.2007799725 224.398712209679 807.048442084295</t>
  </si>
  <si>
    <t>-688.937050300232 -6.77155398849527 306.376761764</t>
  </si>
  <si>
    <t>-690.744044351148 -17.7223383533055 754.140939446621</t>
  </si>
  <si>
    <t>-586.68374584966 -111.308238707068 828.305988573056</t>
  </si>
  <si>
    <t>9763-20170724T105133.412720100.bin</t>
  </si>
  <si>
    <t>-765.49780352875 82.5416032580504 -95.0168781520225</t>
  </si>
  <si>
    <t>-783.927374429991 74.8530115590581 -209.110944033104</t>
  </si>
  <si>
    <t>-792.56454936308 70.5513793287078 -307.261559252813</t>
  </si>
  <si>
    <t>-798.049956704075 67.3244634322891 -396.130817512701</t>
  </si>
  <si>
    <t>-800.846785063083 64.7500926613272 -485.146605802599</t>
  </si>
  <si>
    <t>-801.918048688068 61.7633291785673 -609.688654773112</t>
  </si>
  <si>
    <t>-771.774326927203 61.1566263445043 -687.122620363237</t>
  </si>
  <si>
    <t>-804.780809438165 90.5782089629565 -555.514700804871</t>
  </si>
  <si>
    <t>-813.517231947583 226.35409334221 -535.857091056892</t>
  </si>
  <si>
    <t>-729.055577363145 260.390466688847 -256.037519134704</t>
  </si>
  <si>
    <t>-490.529704317681 273.194525629322 -224.536295423899</t>
  </si>
  <si>
    <t>-798.112420939446 35.5773039156772 -554.253024013532</t>
  </si>
  <si>
    <t>-626.0281369914 31.2525425368567 -321.059179239972</t>
  </si>
  <si>
    <t>-791.225136164007 175.126198665339 -98.1386650414169</t>
  </si>
  <si>
    <t>-785.304502599262 181.537254453568 305.319504655462</t>
  </si>
  <si>
    <t>-859.257877453295 205.832829414192 746.406434622294</t>
  </si>
  <si>
    <t>-714.209692420311 224.518740313974 807.227212741375</t>
  </si>
  <si>
    <t>-689.042296463865 -6.29313382435453 306.367660403587</t>
  </si>
  <si>
    <t>-690.618809959207 -17.4834064895945 754.129027692524</t>
  </si>
  <si>
    <t>-586.737375909284 -111.247225608444 828.320154728857</t>
  </si>
  <si>
    <t>9763-20170724T105133.444800200.bin</t>
  </si>
  <si>
    <t>-765.897571234732 82.7108215805051 -95.0102169799436</t>
  </si>
  <si>
    <t>-784.322248996771 74.9678196143857 -209.101292847374</t>
  </si>
  <si>
    <t>-792.942327926997 70.6437096425968 -307.252567618339</t>
  </si>
  <si>
    <t>-798.406534908537 67.4045771747838 -396.122634981364</t>
  </si>
  <si>
    <t>-801.176055416862 64.8273222736489 -485.139062704974</t>
  </si>
  <si>
    <t>-802.202521622155 61.8454921305299 -609.681697811682</t>
  </si>
  <si>
    <t>-772.012097739027 61.3039309508238 -687.09811474426</t>
  </si>
  <si>
    <t>-805.148775651548 90.6502512337825 -555.506900755104</t>
  </si>
  <si>
    <t>-814.244204434745 226.393673144759 -535.802598500896</t>
  </si>
  <si>
    <t>-730.080676992402 260.516698726336 -255.903981758399</t>
  </si>
  <si>
    <t>-491.578008254911 273.668526631304 -224.369506351106</t>
  </si>
  <si>
    <t>-798.352662521283 35.6648289467041 -554.246521693813</t>
  </si>
  <si>
    <t>-626.216121038325 31.6831061199387 -321.035997401135</t>
  </si>
  <si>
    <t>-791.803195730044 175.296583750319 -98.1559200486046</t>
  </si>
  <si>
    <t>-785.729121096513 181.699772375891 305.300073530072</t>
  </si>
  <si>
    <t>-859.239723581911 205.822353036011 746.461381188559</t>
  </si>
  <si>
    <t>-714.183645011384 224.354346424813 807.310153548959</t>
  </si>
  <si>
    <t>-689.148516322207 -6.13671899025076 306.369813909001</t>
  </si>
  <si>
    <t>-690.656844239019 -17.5420129391514 754.134964127454</t>
  </si>
  <si>
    <t>-586.652866878705 -111.174984320941 828.319220093239</t>
  </si>
  <si>
    <t>9763-20170724T105133.506967300.bin</t>
  </si>
  <si>
    <t>-766.778093988873 83.0328136314313 -95.0201155093293</t>
  </si>
  <si>
    <t>-785.170651989297 75.1734991517994 -209.108557917067</t>
  </si>
  <si>
    <t>-793.724306029783 70.79978290022 -307.263386362806</t>
  </si>
  <si>
    <t>-799.111479193187 67.5321885324158 -396.137161196882</t>
  </si>
  <si>
    <t>-801.78621850419 64.943744508246 -485.156138934715</t>
  </si>
  <si>
    <t>-802.66161389144 61.9642544064097 -609.69995579655</t>
  </si>
  <si>
    <t>-772.361587455729 61.5676230196395 -687.074257200749</t>
  </si>
  <si>
    <t>-805.804621466426 90.7516704136044 -555.526779524601</t>
  </si>
  <si>
    <t>-815.608448286227 226.430858842359 -535.722480766655</t>
  </si>
  <si>
    <t>-731.844136738792 260.637433281299 -255.714209115756</t>
  </si>
  <si>
    <t>-493.364654225588 274.501008735558 -224.310660417298</t>
  </si>
  <si>
    <t>-798.748335356717 35.7991470189891 -554.26187731011</t>
  </si>
  <si>
    <t>-626.566158084868 32.6724600936909 -321.007232226511</t>
  </si>
  <si>
    <t>-793.085078211775 175.674162082538 -98.2125921915563</t>
  </si>
  <si>
    <t>-786.741754368494 182.097304661473 305.238943093675</t>
  </si>
  <si>
    <t>-859.247409045845 205.874199448632 746.554318454649</t>
  </si>
  <si>
    <t>-714.198450015372 224.306128998679 807.450867216187</t>
  </si>
  <si>
    <t>-689.395376565357 -5.71480808748515 306.372355291834</t>
  </si>
  <si>
    <t>-690.759679732976 -17.7183798436674 754.138540801406</t>
  </si>
  <si>
    <t>-586.537037463481 -111.119031441913 828.30915818175</t>
  </si>
  <si>
    <t>9763-20170724T105133.544583800.bin</t>
  </si>
  <si>
    <t>-767.177071622698 83.2156451909405 -95.0505297117488</t>
  </si>
  <si>
    <t>-785.5325043793 75.3018502530663 -209.141199730794</t>
  </si>
  <si>
    <t>-794.025669975442 70.8938507593539 -307.299626305188</t>
  </si>
  <si>
    <t>-799.345568290239 67.5981807803453 -396.176410494408</t>
  </si>
  <si>
    <t>-801.940888984168 64.9847739248291 -485.197065193206</t>
  </si>
  <si>
    <t>-802.692337917969 61.973435888387 -609.741014500636</t>
  </si>
  <si>
    <t>-772.330042744146 61.6420376322064 -687.091226909361</t>
  </si>
  <si>
    <t>-805.953326600818 90.7664102362528 -555.577902200887</t>
  </si>
  <si>
    <t>-816.095497669491 226.418676330745 -535.735465579004</t>
  </si>
  <si>
    <t>-732.547568203247 260.812125482501 -255.685463598388</t>
  </si>
  <si>
    <t>-494.06362711141 274.785992232858 -224.364180900944</t>
  </si>
  <si>
    <t>-798.770074896571 35.8307790695924 -554.292923899211</t>
  </si>
  <si>
    <t>-626.632369196199 33.1360110735113 -321.004016832513</t>
  </si>
  <si>
    <t>-793.699153422385 175.855288972553 -98.2648333052956</t>
  </si>
  <si>
    <t>-787.2205056324 182.25276017234 305.184982653317</t>
  </si>
  <si>
    <t>-859.206058380837 205.837068774297 746.586471097919</t>
  </si>
  <si>
    <t>-714.200632831683 224.489050498651 807.51954612296</t>
  </si>
  <si>
    <t>-689.487586335339 -5.44277140915415 306.350486959231</t>
  </si>
  <si>
    <t>-690.7154009931 -17.6206636809197 754.127200892531</t>
  </si>
  <si>
    <t>-586.742656978253 -111.285617340648 828.315178885936</t>
  </si>
  <si>
    <t>9763-20170724T105133.615925700.bin</t>
  </si>
  <si>
    <t>-767.969953675419 83.7117337769353 -95.0900998572166</t>
  </si>
  <si>
    <t>-786.274609672474 75.7183896637198 -209.183351247313</t>
  </si>
  <si>
    <t>-794.653989328859 71.2397385609827 -307.348427544616</t>
  </si>
  <si>
    <t>-799.842398054848 67.8756084088902 -396.230334303065</t>
  </si>
  <si>
    <t>-802.277625328231 65.1892269009813 -485.253335416726</t>
  </si>
  <si>
    <t>-802.775411130955 62.0700882593987 -609.795941460408</t>
  </si>
  <si>
    <t>-772.282648136561 61.8407786345131 -687.095168896537</t>
  </si>
  <si>
    <t>-806.249113212785 90.8962157227456 -555.663593202422</t>
  </si>
  <si>
    <t>-816.965938148344 226.502927888309 -535.819269300777</t>
  </si>
  <si>
    <t>-733.979840424327 261.094509888767 -255.626670893822</t>
  </si>
  <si>
    <t>-495.462293245206 275.269087821551 -224.653202980815</t>
  </si>
  <si>
    <t>-798.863499732423 35.9889505851511 -554.318079132467</t>
  </si>
  <si>
    <t>-626.76921702339 34.075610849229 -320.877998966423</t>
  </si>
  <si>
    <t>-794.843455816939 176.388471233432 -98.3546698858238</t>
  </si>
  <si>
    <t>-788.189315173333 182.747383624743 305.092887570766</t>
  </si>
  <si>
    <t>-859.156307225607 205.891868081035 746.662163563107</t>
  </si>
  <si>
    <t>-714.172708718701 224.315132728156 807.716492329495</t>
  </si>
  <si>
    <t>-689.631488478841 -4.98114567556081 306.299710921706</t>
  </si>
  <si>
    <t>-690.723091324299 -17.6040957523601 754.09949802809</t>
  </si>
  <si>
    <t>-586.613176976232 -111.123020300634 828.279148602391</t>
  </si>
  <si>
    <t>9763-20170724T105133.645019400.bin</t>
  </si>
  <si>
    <t>-768.311975918841 84.0669406956054 -95.1068578467507</t>
  </si>
  <si>
    <t>-786.60124730529 76.032666795199 -209.199647626866</t>
  </si>
  <si>
    <t>-794.939503342235 71.5182886505083 -307.366632702216</t>
  </si>
  <si>
    <t>-800.078875955296 68.1200993550019 -396.250154532142</t>
  </si>
  <si>
    <t>-802.453557631492 65.3977969640207 -485.273661264118</t>
  </si>
  <si>
    <t>-802.854679536908 62.2267566712192 -609.815201240081</t>
  </si>
  <si>
    <t>-772.309665779773 62.0230887457055 -687.093788178838</t>
  </si>
  <si>
    <t>-806.407104280691 91.0705704856239 -555.697517161045</t>
  </si>
  <si>
    <t>-817.334996047709 226.65565700831 -535.839914160318</t>
  </si>
  <si>
    <t>-734.688187471443 261.313599228495 -255.555218772184</t>
  </si>
  <si>
    <t>-496.159006488468 275.517494386141 -224.685505244793</t>
  </si>
  <si>
    <t>-798.949293080959 36.173777860133 -554.323747501175</t>
  </si>
  <si>
    <t>-626.929073934861 34.6775093868459 -320.784352486363</t>
  </si>
  <si>
    <t>-795.358045329303 176.729392072582 -98.3787334821812</t>
  </si>
  <si>
    <t>-788.621665008712 183.110554740731 305.067117674054</t>
  </si>
  <si>
    <t>-859.163521109339 205.963237693905 746.73513512441</t>
  </si>
  <si>
    <t>-714.192057725208 224.3617340652 807.825764743666</t>
  </si>
  <si>
    <t>-689.68785208267 -4.56173502126512 306.282766803943</t>
  </si>
  <si>
    <t>-690.612819389162 -17.3637541416776 754.079842728715</t>
  </si>
  <si>
    <t>-586.921740915845 -111.327525865531 828.284150081748</t>
  </si>
  <si>
    <t>9763-20170724T105133.711199700.bin</t>
  </si>
  <si>
    <t>-769.035815991624 84.5722754355374 -95.0943290499987</t>
  </si>
  <si>
    <t>-787.326563739582 76.4635587951341 -209.181645586643</t>
  </si>
  <si>
    <t>-795.61202142241 71.8720550027347 -307.349448028264</t>
  </si>
  <si>
    <t>-800.68186782677 68.395913061488 -396.233985004853</t>
  </si>
  <si>
    <t>-802.965610859984 65.5872834278566 -485.257217927263</t>
  </si>
  <si>
    <t>-803.216789399311 62.2850343943526 -609.795784773814</t>
  </si>
  <si>
    <t>-772.563129670255 62.059134590972 -687.03131868378</t>
  </si>
  <si>
    <t>-806.862172679294 91.1820191108479 -555.712682678607</t>
  </si>
  <si>
    <t>-818.013911559357 226.750937941753 -535.885716824239</t>
  </si>
  <si>
    <t>-736.020420550527 261.42691866363 -255.411245072289</t>
  </si>
  <si>
    <t>-497.416035507748 275.591702552761 -225.109025515917</t>
  </si>
  <si>
    <t>-799.350456884236 36.2943108093527 -554.272352536021</t>
  </si>
  <si>
    <t>-627.32619121492 35.2010451146682 -320.671827669353</t>
  </si>
  <si>
    <t>-796.308785693501 177.203015186018 -98.3667267533755</t>
  </si>
  <si>
    <t>-789.24007386437 183.536293391793 305.074240124064</t>
  </si>
  <si>
    <t>-859.070829719817 205.781195219018 746.918100062517</t>
  </si>
  <si>
    <t>-714.136654430438 224.440949269332 808.01821339254</t>
  </si>
  <si>
    <t>-689.96860697336 -4.21376229080533 306.288908449536</t>
  </si>
  <si>
    <t>-690.701032018141 -17.4841140170784 754.071575787565</t>
  </si>
  <si>
    <t>-586.639679089076 -111.047532416382 828.263182543661</t>
  </si>
  <si>
    <t>9763-20170724T105133.742803400.bin</t>
  </si>
  <si>
    <t>-769.334269551009 84.8661659990228 -95.0712204214539</t>
  </si>
  <si>
    <t>-787.625321817539 76.7394764588885 -209.157171200631</t>
  </si>
  <si>
    <t>-795.889820515333 72.1224084606945 -307.325570647118</t>
  </si>
  <si>
    <t>-800.932424602996 68.6184777357471 -396.210625514588</t>
  </si>
  <si>
    <t>-803.180230772017 65.7767864358891 -485.233696146115</t>
  </si>
  <si>
    <t>-803.37304608376 62.4225629970279 -609.770956458925</t>
  </si>
  <si>
    <t>-772.680277378156 62.1572125669975 -686.990765943671</t>
  </si>
  <si>
    <t>-807.039358073456 91.3427441740707 -555.701617991615</t>
  </si>
  <si>
    <t>-818.249824260748 226.915274909809 -535.921438516505</t>
  </si>
  <si>
    <t>-736.778226434842 261.311991889293 -255.260633948737</t>
  </si>
  <si>
    <t>-498.076642663242 275.491508248756 -225.742541471238</t>
  </si>
  <si>
    <t>-799.537162627487 36.4543968473793 -554.234914997556</t>
  </si>
  <si>
    <t>-627.375480715629 35.2615000812566 -320.635659950392</t>
  </si>
  <si>
    <t>-796.65643140641 177.484445937064 -98.3338976444866</t>
  </si>
  <si>
    <t>-789.436489680047 183.767375567475 305.105152175478</t>
  </si>
  <si>
    <t>-859.104948687469 205.84916452179 747.001052169451</t>
  </si>
  <si>
    <t>-714.15576346658 224.399942021841 808.098375945341</t>
  </si>
  <si>
    <t>-690.085045075308 -3.95598812686444 306.306416506543</t>
  </si>
  <si>
    <t>-690.721402337892 -17.4942912709225 754.073345476446</t>
  </si>
  <si>
    <t>-586.801140639072 -111.202289020613 828.280324591816</t>
  </si>
  <si>
    <t>9763-20170724T105133.812053500.bin</t>
  </si>
  <si>
    <t>-769.791668396429 85.3501416340632 -95.0319866922659</t>
  </si>
  <si>
    <t>-788.065072335182 77.2389938802078 -209.121988086045</t>
  </si>
  <si>
    <t>-796.289804956817 72.6167430767721 -307.293361070346</t>
  </si>
  <si>
    <t>-801.286954972042 69.1016836702918 -396.18046562709</t>
  </si>
  <si>
    <t>-803.4806692571 66.2416478180494 -485.204367626364</t>
  </si>
  <si>
    <t>-803.588145631862 62.8546933032385 -609.740878507625</t>
  </si>
  <si>
    <t>-772.85081509272 62.5157780827049 -686.942732946413</t>
  </si>
  <si>
    <t>-807.27024016067 91.7920062899041 -555.681792183052</t>
  </si>
  <si>
    <t>-818.494179852315 227.367885285203 -535.922483170353</t>
  </si>
  <si>
    <t>-738.080176195539 261.191673319561 -254.887445833686</t>
  </si>
  <si>
    <t>-499.247473359953 275.370594432308 -226.448503743018</t>
  </si>
  <si>
    <t>-799.811283115405 36.898247711471 -554.195241238786</t>
  </si>
  <si>
    <t>-627.563281008017 35.4860730726539 -320.644232376351</t>
  </si>
  <si>
    <t>-797.088084258189 178.040269513142 -98.2969509674575</t>
  </si>
  <si>
    <t>-789.757048239081 184.118152353884 305.143222587058</t>
  </si>
  <si>
    <t>-859.137704994048 205.972739172843 747.11115905828</t>
  </si>
  <si>
    <t>-714.141058187471 224.020302103671 808.24693574567</t>
  </si>
  <si>
    <t>-690.356909546515 -3.45638239575101 306.324673715675</t>
  </si>
  <si>
    <t>-690.674749098467 -17.3616743178281 754.067760009817</t>
  </si>
  <si>
    <t>-587.001775695387 -111.312652288321 828.313474908001</t>
  </si>
  <si>
    <t>9763-20170724T105133.877914000.bin</t>
  </si>
  <si>
    <t>-770.13285583772 85.7351982094476 -94.9876788814177</t>
  </si>
  <si>
    <t>-788.324541899148 77.7022197493359 -209.0961282752</t>
  </si>
  <si>
    <t>-796.469681757786 73.1072162089231 -307.275590477842</t>
  </si>
  <si>
    <t>-801.392554904613 69.6021214994573 -396.167122067844</t>
  </si>
  <si>
    <t>-803.509575587437 66.7375202450419 -485.192859393246</t>
  </si>
  <si>
    <t>-803.508184776445 63.3283548809636 -609.728722350983</t>
  </si>
  <si>
    <t>-772.751938997823 62.9046697627364 -686.922692713457</t>
  </si>
  <si>
    <t>-807.195514326643 92.2809298537818 -555.678133999351</t>
  </si>
  <si>
    <t>-818.280790504293 227.871805903978 -535.933322112926</t>
  </si>
  <si>
    <t>-738.744770637201 261.486369570846 -254.623267508007</t>
  </si>
  <si>
    <t>-499.884948634296 275.622652784668 -226.391817932134</t>
  </si>
  <si>
    <t>-799.822083407585 37.3762178715879 -554.175131598253</t>
  </si>
  <si>
    <t>-627.634396031793 35.6842287613445 -320.488971163668</t>
  </si>
  <si>
    <t>-797.285613263721 178.455624991 -98.2593800508912</t>
  </si>
  <si>
    <t>-790.103283006647 184.367931495615 305.185999757144</t>
  </si>
  <si>
    <t>-859.106371675258 205.959601284313 747.232489715</t>
  </si>
  <si>
    <t>-714.113473251114 223.888475062822 808.411664262823</t>
  </si>
  <si>
    <t>-690.685757797666 -3.30328104929868 306.338963639244</t>
  </si>
  <si>
    <t>-690.80013922977 -17.5408820613729 754.077447939706</t>
  </si>
  <si>
    <t>-586.868875606674 -111.203405586366 828.32628007869</t>
  </si>
  <si>
    <t>9763-20170724T105133.914009600.bin</t>
  </si>
  <si>
    <t>-770.160244317354 85.9882157888205 -94.965163454374</t>
  </si>
  <si>
    <t>-788.290437876889 78.009182963586 -209.087341697977</t>
  </si>
  <si>
    <t>-796.37441174657 73.4468787610954 -307.273404889695</t>
  </si>
  <si>
    <t>-801.239145629503 69.9668760214161 -396.16916891515</t>
  </si>
  <si>
    <t>-803.295018768517 67.1223466681038 -485.196677618631</t>
  </si>
  <si>
    <t>-803.20555461046 63.7369593184621 -609.733266203476</t>
  </si>
  <si>
    <t>-772.447103380743 63.2789645507985 -686.926109512152</t>
  </si>
  <si>
    <t>-806.903395872949 92.6830570596669 -555.679953162175</t>
  </si>
  <si>
    <t>-817.877789415212 228.275904989972 -535.913894609164</t>
  </si>
  <si>
    <t>-738.957736311183 261.733728203652 -254.411835117141</t>
  </si>
  <si>
    <t>-500.096340262026 275.965714174411 -226.241668176434</t>
  </si>
  <si>
    <t>-799.586662485895 37.7704036381047 -554.181862247889</t>
  </si>
  <si>
    <t>-627.555045230525 35.8809284733079 -320.371920969299</t>
  </si>
  <si>
    <t>-797.202929620822 178.644602326408 -98.2310834965726</t>
  </si>
  <si>
    <t>-790.216191491727 184.533583113563 305.217973692267</t>
  </si>
  <si>
    <t>-859.108226674449 205.990225251279 747.302817096976</t>
  </si>
  <si>
    <t>-714.122380854079 223.903222655914 808.50339263644</t>
  </si>
  <si>
    <t>-690.764803033348 -3.0847022401997 306.348791072353</t>
  </si>
  <si>
    <t>-690.695670675352 -17.2896558320833 754.079485589899</t>
  </si>
  <si>
    <t>-587.248698789444 -111.462313499753 828.35944420998</t>
  </si>
  <si>
    <t>9763-20170724T105133.943590400.bin</t>
  </si>
  <si>
    <t>-770.169498283263 86.1252859815113 -94.9333035628458</t>
  </si>
  <si>
    <t>-788.223518855608 78.2127554973267 -209.072168336014</t>
  </si>
  <si>
    <t>-796.230462729316 73.6997898007094 -307.266770492624</t>
  </si>
  <si>
    <t>-801.021078711657 70.2625014041373 -396.16824421237</t>
  </si>
  <si>
    <t>-802.998897339745 67.4587644890121 -485.198987442791</t>
  </si>
  <si>
    <t>-802.796214819337 64.1286104460921 -609.736848546589</t>
  </si>
  <si>
    <t>-772.03109284661 63.6495287243515 -686.926844364149</t>
  </si>
  <si>
    <t>-806.516444174396 93.0542708944456 -555.674068152758</t>
  </si>
  <si>
    <t>-817.366777197743 228.654102201598 -535.870851286322</t>
  </si>
  <si>
    <t>-739.257750342867 261.891163673667 -254.116603332791</t>
  </si>
  <si>
    <t>-500.404955816204 276.261316589539 -225.943277554466</t>
  </si>
  <si>
    <t>-799.254459830517 38.1339824792003 -554.19367113186</t>
  </si>
  <si>
    <t>-627.395642905619 35.9744984402382 -320.227415225928</t>
  </si>
  <si>
    <t>-797.043524027915 178.765089754031 -98.1818642896076</t>
  </si>
  <si>
    <t>-790.29262561493 184.619718644154 305.271812716978</t>
  </si>
  <si>
    <t>-859.066252910865 205.8998136661 747.380623341905</t>
  </si>
  <si>
    <t>-714.07875122069 223.730725497898 808.601139904952</t>
  </si>
  <si>
    <t>-690.969297205525 -3.09668623771267 306.379382491211</t>
  </si>
  <si>
    <t>-690.784237368222 -17.4058712895267 754.104088213857</t>
  </si>
  <si>
    <t>-587.005831601755 -111.234683373013 828.357239083427</t>
  </si>
  <si>
    <t>9763-20170724T105134.011798900.bin</t>
  </si>
  <si>
    <t>-769.859954336041 86.471004869491 -94.8575026151334</t>
  </si>
  <si>
    <t>-787.732001987847 78.7143578425421 -209.035610548337</t>
  </si>
  <si>
    <t>-795.558073443337 74.3159561606744 -307.249959356935</t>
  </si>
  <si>
    <t>-800.176387941959 70.9779588528124 -396.164398335193</t>
  </si>
  <si>
    <t>-801.973431118876 68.2691518154368 -485.201943038511</t>
  </si>
  <si>
    <t>-801.509202225441 65.0676583059189 -609.74243179705</t>
  </si>
  <si>
    <t>-770.682180466304 64.5578916140155 -686.907572509621</t>
  </si>
  <si>
    <t>-805.287422865102 93.9446499674561 -555.657743214149</t>
  </si>
  <si>
    <t>-815.90548600962 229.55252903647 -535.781099701478</t>
  </si>
  <si>
    <t>-739.866057794311 262.187685479673 -253.391125425215</t>
  </si>
  <si>
    <t>-501.074405933214 276.970919175692 -224.916018145982</t>
  </si>
  <si>
    <t>-798.139261483002 39.0083715209769 -554.218918700561</t>
  </si>
  <si>
    <t>-626.704725750968 36.1415575523545 -319.916460968757</t>
  </si>
  <si>
    <t>-796.509507995799 179.021960328876 -98.0496699409936</t>
  </si>
  <si>
    <t>-789.951690906342 184.841718484721 305.407634189681</t>
  </si>
  <si>
    <t>-859.086971611858 205.948626275895 747.520205834614</t>
  </si>
  <si>
    <t>-714.068291264579 223.457230854915 808.760150737434</t>
  </si>
  <si>
    <t>-691.284813898009 -2.99064914467158 306.448359591596</t>
  </si>
  <si>
    <t>-690.81666138906 -17.3333699631148 754.153255367094</t>
  </si>
  <si>
    <t>-587.413231979722 -111.573019791173 828.409111133721</t>
  </si>
  <si>
    <t>9763-20170724T105134.042906800.bin</t>
  </si>
  <si>
    <t>-769.646438131217 86.5882456044435 -94.7914011908639</t>
  </si>
  <si>
    <t>-787.453787235095 78.9129088009902 -208.985056570928</t>
  </si>
  <si>
    <t>-795.197638509444 74.5704262747022 -307.208530712856</t>
  </si>
  <si>
    <t>-799.731615704782 71.2791427403945 -396.128889749279</t>
  </si>
  <si>
    <t>-801.434364539813 68.6126877574329 -485.169663607376</t>
  </si>
  <si>
    <t>-800.828193804344 65.4662549270363 -609.710958166339</t>
  </si>
  <si>
    <t>-769.937653625328 64.9391577951699 -686.850648897267</t>
  </si>
  <si>
    <t>-804.633016162667 94.3239416545525 -555.617782270173</t>
  </si>
  <si>
    <t>-815.096456634362 229.93739605149 -535.688397350315</t>
  </si>
  <si>
    <t>-740.379608540584 262.224243664305 -252.905508410209</t>
  </si>
  <si>
    <t>-501.635729870583 277.371119356373 -224.220371020164</t>
  </si>
  <si>
    <t>-797.556723331678 39.3777435554359 -554.195020229081</t>
  </si>
  <si>
    <t>-626.290960417629 36.0982811725064 -319.72264323793</t>
  </si>
  <si>
    <t>-796.123039353291 179.103925609739 -97.9608934478155</t>
  </si>
  <si>
    <t>-789.50552376684 184.760135797146 305.497767420935</t>
  </si>
  <si>
    <t>-858.994345894019 205.741779817958 747.570639305775</t>
  </si>
  <si>
    <t>-714.020606677483 223.647886131467 808.801729036192</t>
  </si>
  <si>
    <t>-691.31254512249 -3.10834937608843 306.502418368032</t>
  </si>
  <si>
    <t>-690.867864323823 -17.3869111914632 754.187721596679</t>
  </si>
  <si>
    <t>-587.337493191197 -111.500105668473 828.427089608051</t>
  </si>
  <si>
    <t>9763-20170724T105134.112634700.bin</t>
  </si>
  <si>
    <t>-768.856337158299 86.4388014273291 -94.6985558278154</t>
  </si>
  <si>
    <t>-786.550959628576 78.9675233833595 -208.923368651486</t>
  </si>
  <si>
    <t>-794.092799418875 74.7511883365653 -307.167977418188</t>
  </si>
  <si>
    <t>-798.4037028638 71.5568664218299 -396.103141135687</t>
  </si>
  <si>
    <t>-799.843231197866 68.9690829882641 -485.150634595132</t>
  </si>
  <si>
    <t>-798.827913103022 65.9132457415742 -609.691576415477</t>
  </si>
  <si>
    <t>-767.738269173799 65.3324288343756 -686.750897370959</t>
  </si>
  <si>
    <t>-802.710789312174 94.7441594901309 -555.589765746902</t>
  </si>
  <si>
    <t>-812.750047704329 230.374845787193 -535.565293882832</t>
  </si>
  <si>
    <t>-740.627716520115 262.050070704618 -252.04061773463</t>
  </si>
  <si>
    <t>-501.931256868318 278.08318650186 -223.442902482807</t>
  </si>
  <si>
    <t>-795.838692287982 39.771710435761 -554.184763616497</t>
  </si>
  <si>
    <t>-625.030626658119 35.6056601615453 -319.437351988776</t>
  </si>
  <si>
    <t>-794.69663367991 178.834611547501 -97.7836851469377</t>
  </si>
  <si>
    <t>-788.322641049073 184.508147873492 305.678602436115</t>
  </si>
  <si>
    <t>-858.857203556821 205.515518129744 747.578212904454</t>
  </si>
  <si>
    <t>-713.958002323269 223.89540164363 808.845506258944</t>
  </si>
  <si>
    <t>-691.293538005675 -3.62562416738388 306.559100335496</t>
  </si>
  <si>
    <t>-690.970276401036 -17.5382812190112 754.239721345468</t>
  </si>
  <si>
    <t>-587.163639509161 -111.364950313836 828.455820537838</t>
  </si>
  <si>
    <t>9763-20170724T105134.144723600.bin</t>
  </si>
  <si>
    <t>-768.163860936589 86.2192284079399 -94.6334539458703</t>
  </si>
  <si>
    <t>-785.797016752113 78.8830203767977 -208.876540945613</t>
  </si>
  <si>
    <t>-793.20912934675 74.734666291891 -307.133940050057</t>
  </si>
  <si>
    <t>-797.373452670436 71.5842915318335 -396.077619929474</t>
  </si>
  <si>
    <t>-798.637359651171 69.0213558018995 -485.128557730437</t>
  </si>
  <si>
    <t>-797.346756145331 65.979898572961 -609.667251637675</t>
  </si>
  <si>
    <t>-766.135341371081 65.3346058738662 -686.676715673712</t>
  </si>
  <si>
    <t>-801.277150592846 94.8134863545379 -555.570321444502</t>
  </si>
  <si>
    <t>-811.042374515667 230.464081883837 -535.591832313274</t>
  </si>
  <si>
    <t>-739.620913622505 262.218229502743 -251.898708392827</t>
  </si>
  <si>
    <t>-500.88470898343 278.554234403798 -223.809008336235</t>
  </si>
  <si>
    <t>-794.552220187698 39.8230250399408 -554.157537967653</t>
  </si>
  <si>
    <t>-624.029549064082 35.0662119212666 -319.326840805026</t>
  </si>
  <si>
    <t>-793.547099771529 178.557422578752 -97.662771113817</t>
  </si>
  <si>
    <t>-787.212909387336 184.192770312658 305.800678805212</t>
  </si>
  <si>
    <t>-858.751887131079 205.297817403807 747.558099196218</t>
  </si>
  <si>
    <t>-713.876775460426 223.852805799122 808.829805924522</t>
  </si>
  <si>
    <t>-691.192056946063 -4.00269337611576 306.593288727698</t>
  </si>
  <si>
    <t>-690.965157809552 -17.4861915766669 754.268762701558</t>
  </si>
  <si>
    <t>-587.281111834875 -111.456713094505 828.474156379431</t>
  </si>
  <si>
    <t>9763-20170724T105134.207399200.bin</t>
  </si>
  <si>
    <t>-766.584977397312 85.3886428387636 -94.4049250463305</t>
  </si>
  <si>
    <t>-784.151525558062 78.3580135492236 -208.67734831949</t>
  </si>
  <si>
    <t>-791.364594857825 74.3364996512919 -306.954939975224</t>
  </si>
  <si>
    <t>-795.295705178669 71.2504596464212 -395.911393977516</t>
  </si>
  <si>
    <t>-796.273826850919 68.6972417128591 -484.966201638344</t>
  </si>
  <si>
    <t>-794.530457342537 65.6115829374526 -609.498377733392</t>
  </si>
  <si>
    <t>-763.127655401938 64.7299759769769 -686.427754250607</t>
  </si>
  <si>
    <t>-798.428898254763 94.4914129572728 -555.423730661111</t>
  </si>
  <si>
    <t>-807.177392295127 230.221459389132 -535.525960295049</t>
  </si>
  <si>
    <t>-735.217735999007 262.505918421126 -252.028677624671</t>
  </si>
  <si>
    <t>-496.305562629379 278.141400478367 -225.058445125988</t>
  </si>
  <si>
    <t>-792.166268136657 39.447473630164 -553.972106046864</t>
  </si>
  <si>
    <t>-622.1756966441 33.1472733267879 -318.95599303196</t>
  </si>
  <si>
    <t>-790.972869402919 177.532076794256 -97.2720155202186</t>
  </si>
  <si>
    <t>-784.702269054951 183.023551387833 306.194480667677</t>
  </si>
  <si>
    <t>-858.685773206697 204.953137269711 747.54371516133</t>
  </si>
  <si>
    <t>-713.847267700996 224.082934162128 808.725194346754</t>
  </si>
  <si>
    <t>-690.851332038542 -5.06271846274831 306.725226414999</t>
  </si>
  <si>
    <t>-691.080725001468 -17.7061130670625 754.341360242793</t>
  </si>
  <si>
    <t>-587.06706119517 -111.34047429297 828.510693839081</t>
  </si>
  <si>
    <t>9763-20170724T105134.243515000.bin</t>
  </si>
  <si>
    <t>-765.681004832609 84.8654279878119 -94.2997864743274</t>
  </si>
  <si>
    <t>-783.24857750011 77.9628164048638 -208.580003118004</t>
  </si>
  <si>
    <t>-790.405080356609 73.998772990951 -306.863906674665</t>
  </si>
  <si>
    <t>-794.263471993843 70.9448267827772 -395.824662577734</t>
  </si>
  <si>
    <t>-795.147357556099 68.4012537317738 -484.880677092747</t>
  </si>
  <si>
    <t>-793.250316361302 65.3036622130096 -609.410356321094</t>
  </si>
  <si>
    <t>-761.789955619072 64.2440664613073 -686.313818022731</t>
  </si>
  <si>
    <t>-797.042360718181 94.2078758668795 -555.341121897007</t>
  </si>
  <si>
    <t>-804.849316633805 229.999339212103 -535.473474189361</t>
  </si>
  <si>
    <t>-731.488409436891 262.532176262763 -252.363917451141</t>
  </si>
  <si>
    <t>-492.473494232728 277.395449373354 -225.871546840047</t>
  </si>
  <si>
    <t>-791.127921288773 39.1256413103667 -553.880916468594</t>
  </si>
  <si>
    <t>-621.384251667322 31.8920768648084 -318.688972481971</t>
  </si>
  <si>
    <t>-789.617232621017 177.034906962 -97.1451745106425</t>
  </si>
  <si>
    <t>-783.654785875322 182.448021693187 306.326976848688</t>
  </si>
  <si>
    <t>-858.660964852116 204.820195847718 747.482727485813</t>
  </si>
  <si>
    <t>-713.847053051182 224.265734125759 808.622330281314</t>
  </si>
  <si>
    <t>-690.492469578216 -5.7393871541999 306.770869621948</t>
  </si>
  <si>
    <t>-691.131537177684 -17.8255069285437 754.370395009752</t>
  </si>
  <si>
    <t>-587.034089748291 -111.36361104212 828.543553646337</t>
  </si>
  <si>
    <t>9763-20170724T105134.307686400.bin</t>
  </si>
  <si>
    <t>-763.61048286388 84.2046184777187 -94.2085922591683</t>
  </si>
  <si>
    <t>-781.185976631791 77.507092882498 -208.499708869988</t>
  </si>
  <si>
    <t>-788.313209116298 73.6338367805708 -306.789417328978</t>
  </si>
  <si>
    <t>-792.132360611978 70.6302221019541 -395.753628351699</t>
  </si>
  <si>
    <t>-792.964284092158 68.0969885101333 -484.810611329282</t>
  </si>
  <si>
    <t>-790.981738183951 64.9690237539412 -609.338016123694</t>
  </si>
  <si>
    <t>-759.511900507369 63.4323625875072 -686.229551847648</t>
  </si>
  <si>
    <t>-794.359835816347 93.9313282795974 -555.272446035002</t>
  </si>
  <si>
    <t>-799.628911033827 229.846662634269 -535.419039281471</t>
  </si>
  <si>
    <t>-721.553614284069 262.875735342976 -253.63080012669</t>
  </si>
  <si>
    <t>-482.228583614902 275.211215092755 -228.686297169855</t>
  </si>
  <si>
    <t>-789.34845674346 38.7598013095835 -553.806851642643</t>
  </si>
  <si>
    <t>-620.024788111397 29.0281342963397 -318.412301359903</t>
  </si>
  <si>
    <t>-786.661910677456 176.401900298646 -97.0327938686203</t>
  </si>
  <si>
    <t>-781.890978927209 181.683368274336 306.456959368336</t>
  </si>
  <si>
    <t>-858.698964298763 204.729431599759 747.321693015174</t>
  </si>
  <si>
    <t>-713.866235119579 224.386816315744 808.349172855689</t>
  </si>
  <si>
    <t>-689.652992747637 -6.7436488413714 306.852801086674</t>
  </si>
  <si>
    <t>-691.043618206776 -17.6790524868327 754.424257845792</t>
  </si>
  <si>
    <t>-587.277811969919 -111.568390190532 828.618220685996</t>
  </si>
  <si>
    <t>9763-20170724T105134.344782800.bin</t>
  </si>
  <si>
    <t>-762.591375237105 83.9985371338025 -94.2168734446478</t>
  </si>
  <si>
    <t>-780.141260960995 77.3919434819882 -208.517397043096</t>
  </si>
  <si>
    <t>-787.283886488466 73.5496903065323 -306.807080118526</t>
  </si>
  <si>
    <t>-791.1327895053 70.5562120879592 -395.77025464037</t>
  </si>
  <si>
    <t>-792.010157489916 68.0103838940208 -484.826441842691</t>
  </si>
  <si>
    <t>-790.108077039862 64.8395611528249 -609.354142875901</t>
  </si>
  <si>
    <t>-758.683202078617 63.0109308537981 -686.25762849617</t>
  </si>
  <si>
    <t>-793.179456214228 93.8438336856268 -555.2928617716</t>
  </si>
  <si>
    <t>-796.950818742253 229.811723758041 -535.447253879419</t>
  </si>
  <si>
    <t>-715.66226822985 262.823004809569 -254.56723623868</t>
  </si>
  <si>
    <t>-476.2113142997 273.214303645066 -229.946948170423</t>
  </si>
  <si>
    <t>-788.710803779471 38.6258262429919 -553.818409140548</t>
  </si>
  <si>
    <t>-619.440150911741 27.3670130894309 -318.354913145665</t>
  </si>
  <si>
    <t>-785.244405057394 176.301469219509 -97.0369266080347</t>
  </si>
  <si>
    <t>-781.279588756748 181.527098590761 306.462319734957</t>
  </si>
  <si>
    <t>-858.749736546238 204.739254319502 747.235860164158</t>
  </si>
  <si>
    <t>-713.86192720716 224.210673202098 808.192447963914</t>
  </si>
  <si>
    <t>-689.24539271272 -7.20651124155779 306.885046197142</t>
  </si>
  <si>
    <t>-691.000111951481 -17.6057298022697 754.446384250862</t>
  </si>
  <si>
    <t>-587.343710077033 -111.607623276755 828.650712937736</t>
  </si>
  <si>
    <t>9763-20170724T105134.412965500.bin</t>
  </si>
  <si>
    <t>-760.540509425597 83.4043229272027 -94.250876371573</t>
  </si>
  <si>
    <t>-778.078589535588 76.9934122561128 -208.564348044392</t>
  </si>
  <si>
    <t>-785.297115180813 73.2483084915802 -306.85216225794</t>
  </si>
  <si>
    <t>-789.250574250503 70.3162094332831 -395.813059551636</t>
  </si>
  <si>
    <t>-790.267765571074 67.7955019802075 -484.868273123917</t>
  </si>
  <si>
    <t>-788.598236047194 64.6180070804487 -609.39917039799</t>
  </si>
  <si>
    <t>-757.383023430294 62.2318881269048 -686.37274533129</t>
  </si>
  <si>
    <t>-791.016805413988 93.6646260333546 -555.327278769727</t>
  </si>
  <si>
    <t>-791.524930794632 229.67327045578 -535.392404480455</t>
  </si>
  <si>
    <t>-702.686684589799 261.672927788032 -256.690022227065</t>
  </si>
  <si>
    <t>-462.957635075181 267.908183982498 -233.41056742504</t>
  </si>
  <si>
    <t>-787.649152184039 38.3680803173909 -553.871206341454</t>
  </si>
  <si>
    <t>-618.356924030945 23.9436957475993 -318.415857200226</t>
  </si>
  <si>
    <t>-782.416671443061 175.925961786892 -97.0756792140901</t>
  </si>
  <si>
    <t>-779.607525242761 180.845633122124 306.437146403371</t>
  </si>
  <si>
    <t>-858.778375164956 204.66849301364 746.91502205395</t>
  </si>
  <si>
    <t>-713.847729601199 224.32889997702 807.708569189548</t>
  </si>
  <si>
    <t>-688.230389319595 -8.20162974423511 306.888656420631</t>
  </si>
  <si>
    <t>-690.779726400134 -17.2288800620709 754.45038431404</t>
  </si>
  <si>
    <t>-587.667213320856 -111.782434293759 828.711609857666</t>
  </si>
  <si>
    <t>9763-20170724T105134.442548000.bin</t>
  </si>
  <si>
    <t>-759.661441300216 82.9818135914761 -94.2857572736384</t>
  </si>
  <si>
    <t>-777.211414358394 76.6801125086652 -208.603251051197</t>
  </si>
  <si>
    <t>-784.467355827303 72.9932713301775 -306.890691456747</t>
  </si>
  <si>
    <t>-788.465823393235 70.1000833717931 -395.850721585479</t>
  </si>
  <si>
    <t>-789.539453743884 67.6002648678254 -484.905939157359</t>
  </si>
  <si>
    <t>-787.96099526488 64.4306529637549 -609.438245146357</t>
  </si>
  <si>
    <t>-756.866377382497 61.8004703336492 -686.452719792161</t>
  </si>
  <si>
    <t>-790.083364791159 93.4883189977693 -555.359867796317</t>
  </si>
  <si>
    <t>-788.928212473835 229.495410669999 -535.359549496118</t>
  </si>
  <si>
    <t>-696.122859595297 260.636309738696 -257.855271590641</t>
  </si>
  <si>
    <t>-456.336566042047 264.821865235428 -234.70653035587</t>
  </si>
  <si>
    <t>-787.227884865124 38.1626365545421 -553.915488398495</t>
  </si>
  <si>
    <t>-617.905960481577 22.1963182981326 -318.451758761166</t>
  </si>
  <si>
    <t>-781.194474455983 175.653922328945 -97.1110727273996</t>
  </si>
  <si>
    <t>-778.821334400785 180.389501392856 306.406759294749</t>
  </si>
  <si>
    <t>-858.782650477504 204.530703291122 746.729597305483</t>
  </si>
  <si>
    <t>-713.813488474633 224.150673933272 807.444295780889</t>
  </si>
  <si>
    <t>-687.686566464108 -8.80273994045137 306.859769915024</t>
  </si>
  <si>
    <t>-690.834004935277 -17.3440752143367 754.450289861687</t>
  </si>
  <si>
    <t>-587.64015361786 -111.806042630781 828.715100817141</t>
  </si>
  <si>
    <t>9763-20170724T105134.510230400.bin</t>
  </si>
  <si>
    <t>-757.88586510241 81.964858013539 -94.3099618853784</t>
  </si>
  <si>
    <t>-775.459463345235 75.8844948577241 -208.635882194119</t>
  </si>
  <si>
    <t>-782.756990960211 72.3011023453741 -306.924028343348</t>
  </si>
  <si>
    <t>-786.803690360165 69.4672632050188 -395.883699786659</t>
  </si>
  <si>
    <t>-787.935720732095 66.9835004425811 -484.93885702814</t>
  </si>
  <si>
    <t>-786.450931357388 63.7873287733355 -609.471517944471</t>
  </si>
  <si>
    <t>-755.598926388602 60.6883542253165 -686.566137217538</t>
  </si>
  <si>
    <t>-788.058381995852 92.876977116799 -555.392731453892</t>
  </si>
  <si>
    <t>-783.874145044249 228.813464557872 -535.369098327504</t>
  </si>
  <si>
    <t>-684.323636360188 258.499123850327 -260.051652920674</t>
  </si>
  <si>
    <t>-444.500423370665 259.544756206606 -236.930670188245</t>
  </si>
  <si>
    <t>-786.150091630827 37.5105746540814 -553.948960287885</t>
  </si>
  <si>
    <t>-617.058713010985 18.6952757333397 -318.448799955892</t>
  </si>
  <si>
    <t>-778.679247025181 174.835789119733 -97.1201583453088</t>
  </si>
  <si>
    <t>-777.111095969909 179.232958965999 306.405350731837</t>
  </si>
  <si>
    <t>-858.773001009096 204.271069323305 746.393116942355</t>
  </si>
  <si>
    <t>-713.757505034835 223.983834972953 806.967187437195</t>
  </si>
  <si>
    <t>-686.777797297314 -10.0145539536252 306.812574564058</t>
  </si>
  <si>
    <t>-690.961104227735 -17.5552219788501 754.435220263084</t>
  </si>
  <si>
    <t>-587.434977338629 -111.662464570925 828.687865117674</t>
  </si>
  <si>
    <t>9763-20170724T105134.542821100.bin</t>
  </si>
  <si>
    <t>-757.063597337042 81.505283816691 -94.3338281599123</t>
  </si>
  <si>
    <t>-774.608997644957 75.54795052848 -208.670701531022</t>
  </si>
  <si>
    <t>-781.897001920627 72.0316318716668 -306.961917500589</t>
  </si>
  <si>
    <t>-785.941850604176 69.2444432336513 -395.923281178858</t>
  </si>
  <si>
    <t>-787.079110635219 66.7904009812112 -484.978981226313</t>
  </si>
  <si>
    <t>-785.609170031971 63.6163190920272 -609.512395636981</t>
  </si>
  <si>
    <t>-754.863793136503 60.315637089773 -686.641128342366</t>
  </si>
  <si>
    <t>-787.009730748843 92.7027001960196 -555.425974712484</t>
  </si>
  <si>
    <t>-781.557632790535 228.605195492687 -535.398407680379</t>
  </si>
  <si>
    <t>-679.588283290038 257.379849255362 -260.870709534272</t>
  </si>
  <si>
    <t>-439.776737892865 257.800011049527 -237.608081215772</t>
  </si>
  <si>
    <t>-785.502421605705 37.3235258836369 -553.996715232839</t>
  </si>
  <si>
    <t>-616.677568745378 17.3800067316445 -318.381014818214</t>
  </si>
  <si>
    <t>-777.443863134663 174.450571603937 -97.1219713388992</t>
  </si>
  <si>
    <t>-776.361918159805 178.760182829902 306.406108936326</t>
  </si>
  <si>
    <t>-858.755300660404 204.150740021288 746.243969496587</t>
  </si>
  <si>
    <t>-713.720586412824 223.878071002243 806.767086609356</t>
  </si>
  <si>
    <t>-686.408210364303 -10.4384965125732 306.796447544934</t>
  </si>
  <si>
    <t>-690.984496407169 -17.5656811282927 754.420417060411</t>
  </si>
  <si>
    <t>-587.54654384246 -111.764895949124 828.679426729424</t>
  </si>
  <si>
    <t>9763-20170724T105134.613252200.bin</t>
  </si>
  <si>
    <t>-755.529031891429 80.989127023458 -94.3838294704032</t>
  </si>
  <si>
    <t>-772.968393750848 75.2793025505366 -208.749449494376</t>
  </si>
  <si>
    <t>-780.219688789511 71.8826946444108 -307.047558564781</t>
  </si>
  <si>
    <t>-784.255729168301 69.1711321455866 -396.011564952628</t>
  </si>
  <si>
    <t>-785.408966636203 66.755977705122 -485.068266951919</t>
  </si>
  <si>
    <t>-783.988845517988 63.5969386115653 -609.602629216109</t>
  </si>
  <si>
    <t>-753.41060853671 59.9351040571703 -686.781583303151</t>
  </si>
  <si>
    <t>-785.039487439971 92.6838448678052 -555.508654794297</t>
  </si>
  <si>
    <t>-777.883208223683 228.540867188737 -535.663417680314</t>
  </si>
  <si>
    <t>-672.995104670141 255.523582231117 -262.054973486608</t>
  </si>
  <si>
    <t>-433.24792446663 255.80245618322 -238.136887537392</t>
  </si>
  <si>
    <t>-784.188168632839 37.2902764921871 -554.093753791908</t>
  </si>
  <si>
    <t>-616.018444982788 15.5799236052494 -318.140176149461</t>
  </si>
  <si>
    <t>-775.245420489273 173.999454346279 -97.1219830541252</t>
  </si>
  <si>
    <t>-775.005291213745 178.169610342149 306.408921284266</t>
  </si>
  <si>
    <t>-858.707107781567 203.993437383923 745.992446991134</t>
  </si>
  <si>
    <t>-713.637805204928 223.69739200513 806.44017039198</t>
  </si>
  <si>
    <t>-685.761203693022 -11.1004587922034 306.744059371778</t>
  </si>
  <si>
    <t>-690.932373570921 -17.3868010825036 754.385913419053</t>
  </si>
  <si>
    <t>-587.794611383412 -111.903406150686 828.659111520485</t>
  </si>
  <si>
    <t>9763-20170724T105134.641829300.bin</t>
  </si>
  <si>
    <t>-754.94873575807 80.8824219327546 -94.3679628212826</t>
  </si>
  <si>
    <t>-772.341703719817 75.2867559675092 -208.746238052378</t>
  </si>
  <si>
    <t>-779.559262249629 71.9348744027075 -307.048572727279</t>
  </si>
  <si>
    <t>-783.568672104069 69.2443958614199 -396.014390901081</t>
  </si>
  <si>
    <t>-784.699722492384 66.8289716563688 -485.071250680602</t>
  </si>
  <si>
    <t>-783.2539969873 63.6473759160788 -609.604857337603</t>
  </si>
  <si>
    <t>-752.707493170011 59.843869226358 -686.789507277127</t>
  </si>
  <si>
    <t>-784.196709396649 92.7455369307761 -555.515051175219</t>
  </si>
  <si>
    <t>-776.532657944821 228.58590023901 -535.828391618635</t>
  </si>
  <si>
    <t>-671.63535290034 255.424640339141 -262.209178969945</t>
  </si>
  <si>
    <t>-431.961536150637 255.825563729751 -237.568563098388</t>
  </si>
  <si>
    <t>-783.583456423434 37.3492182882076 -554.092619690342</t>
  </si>
  <si>
    <t>-615.739039816681 14.8942605814773 -317.972899030806</t>
  </si>
  <si>
    <t>-774.357106091969 173.818684649398 -97.0899630182392</t>
  </si>
  <si>
    <t>-774.380649604738 177.916064488141 306.441790291538</t>
  </si>
  <si>
    <t>-858.659191256666 203.884513498341 745.898962796515</t>
  </si>
  <si>
    <t>-713.563066714238 223.456786610191 806.324878646628</t>
  </si>
  <si>
    <t>-685.42722024829 -11.4375665560842 306.725162789891</t>
  </si>
  <si>
    <t>-690.912434456736 -17.3158503694406 754.370159250851</t>
  </si>
  <si>
    <t>-587.806674300111 -111.869829022532 828.640237254785</t>
  </si>
  <si>
    <t>9763-20170724T105134.708061100.bin</t>
  </si>
  <si>
    <t>-754.093109828369 80.6026163216611 -94.3037924928958</t>
  </si>
  <si>
    <t>-771.418106280768 75.1771981951235 -208.700572696052</t>
  </si>
  <si>
    <t>-778.589241235404 71.9000219930892 -307.008674690547</t>
  </si>
  <si>
    <t>-782.563549527785 69.2528163713791 -395.977508874368</t>
  </si>
  <si>
    <t>-783.667111192532 66.85571813093 -485.035165649487</t>
  </si>
  <si>
    <t>-782.191885108718 63.6743615798462 -609.568342795084</t>
  </si>
  <si>
    <t>-751.608240302979 59.7325991821358 -686.731366420494</t>
  </si>
  <si>
    <t>-783.048779026853 92.7735019449265 -555.477527273427</t>
  </si>
  <si>
    <t>-775.19530604106 228.64279849296 -535.998325637485</t>
  </si>
  <si>
    <t>-672.594399507924 255.521143137879 -261.513724388624</t>
  </si>
  <si>
    <t>-432.989310306718 255.991553157834 -236.214213424834</t>
  </si>
  <si>
    <t>-782.633341114824 37.3750233623193 -554.057416679011</t>
  </si>
  <si>
    <t>-615.245139695612 14.0703624486207 -317.395670326007</t>
  </si>
  <si>
    <t>-773.164055294798 173.506947851394 -96.9992329342515</t>
  </si>
  <si>
    <t>-773.229654487141 177.403156296885 306.53456351172</t>
  </si>
  <si>
    <t>-858.597800838712 203.794672761276 745.737418654704</t>
  </si>
  <si>
    <t>-713.499482404688 223.530672457443 806.105363753863</t>
  </si>
  <si>
    <t>-684.898434880626 -12.0457546182438 306.705160655368</t>
  </si>
  <si>
    <t>-691.036046262986 -17.5160380334673 754.333761458893</t>
  </si>
  <si>
    <t>-587.772618784309 -111.894265898624 828.608458996951</t>
  </si>
  <si>
    <t>9763-20170724T105134.741654600.bin</t>
  </si>
  <si>
    <t>-753.724190440323 80.5813619322864 -94.2782273346442</t>
  </si>
  <si>
    <t>-771.05747115075 75.1992183129037 -208.675835582073</t>
  </si>
  <si>
    <t>-778.247432626956 71.9481226228738 -306.983549870595</t>
  </si>
  <si>
    <t>-782.24383986109 69.3213160615521 -395.951865486357</t>
  </si>
  <si>
    <t>-783.374791879297 66.942305100315 -485.009739811963</t>
  </si>
  <si>
    <t>-781.943480884537 63.7846016645676 -609.543914778744</t>
  </si>
  <si>
    <t>-751.292985270233 59.8595432934451 -686.681336090434</t>
  </si>
  <si>
    <t>-782.807160944147 92.8731634313572 -555.447594458034</t>
  </si>
  <si>
    <t>-775.182648707761 228.748530221432 -535.972636488543</t>
  </si>
  <si>
    <t>-673.798575829603 255.483405991541 -261.022321381879</t>
  </si>
  <si>
    <t>-434.261032342283 255.706827243756 -235.088608766426</t>
  </si>
  <si>
    <t>-782.339596112322 37.475055843536 -554.037622683053</t>
  </si>
  <si>
    <t>-615.092323635088 14.2772306274501 -317.168784396119</t>
  </si>
  <si>
    <t>-772.771941900312 173.410469011637 -96.9469837938906</t>
  </si>
  <si>
    <t>-772.641085303737 177.226941962947 306.587453761799</t>
  </si>
  <si>
    <t>-858.570599989429 203.787319669911 745.664255358098</t>
  </si>
  <si>
    <t>-713.470440398724 223.593916513302 806.004598102544</t>
  </si>
  <si>
    <t>-684.552135398164 -12.2270711274741 306.692599182537</t>
  </si>
  <si>
    <t>-691.047631108651 -17.537895789445 754.31364651723</t>
  </si>
  <si>
    <t>-587.956180936792 -112.089943304881 828.605792014831</t>
  </si>
  <si>
    <t>9763-20170724T105134.812345200.bin</t>
  </si>
  <si>
    <t>-753.232345316249 80.3755394680948 -94.253551422855</t>
  </si>
  <si>
    <t>-770.578043628982 74.9938353351961 -208.649331413977</t>
  </si>
  <si>
    <t>-777.824381440679 71.7545258753473 -306.953164240579</t>
  </si>
  <si>
    <t>-781.88947906164 69.1431625165428 -395.918845740764</t>
  </si>
  <si>
    <t>-783.107634043062 66.787777577845 -484.976204640505</t>
  </si>
  <si>
    <t>-781.817029625238 63.6730990601898 -609.513111086382</t>
  </si>
  <si>
    <t>-750.971873912308 59.922975964419 -686.58157620155</t>
  </si>
  <si>
    <t>-782.763100575282 92.741483803841 -555.407310200069</t>
  </si>
  <si>
    <t>-775.90770155009 228.637103042975 -535.860153980347</t>
  </si>
  <si>
    <t>-676.095554497415 255.308393380337 -260.328958092876</t>
  </si>
  <si>
    <t>-436.764767189383 255.77151339417 -232.55455731282</t>
  </si>
  <si>
    <t>-782.006826501505 37.3460618986189 -554.013967806712</t>
  </si>
  <si>
    <t>-614.74317757875 15.3141241002195 -316.934810747545</t>
  </si>
  <si>
    <t>-772.420599491623 173.160884925414 -96.8633034281121</t>
  </si>
  <si>
    <t>-771.650538775567 176.828105956543 306.671869123736</t>
  </si>
  <si>
    <t>-858.514271156319 203.776824604612 745.499859083571</t>
  </si>
  <si>
    <t>-713.391953530192 223.512600622231 805.809885723583</t>
  </si>
  <si>
    <t>-683.822004863217 -12.4223971483677 306.65829284184</t>
  </si>
  <si>
    <t>-691.065419694204 -17.5992256717325 754.259729958253</t>
  </si>
  <si>
    <t>-587.73213729224 -111.87519220542 828.566908147261</t>
  </si>
  <si>
    <t>9763-20170724T105134.842940000.bin</t>
  </si>
  <si>
    <t>-753.028673387949 80.3567369691227 -94.2776200296895</t>
  </si>
  <si>
    <t>-770.371349236586 74.9439535791316 -208.6723192859</t>
  </si>
  <si>
    <t>-777.631034997274 71.696079763818 -306.974865721458</t>
  </si>
  <si>
    <t>-781.714426876751 69.0832594518852 -395.93987240745</t>
  </si>
  <si>
    <t>-782.956590407429 66.7343455256059 -484.99691690412</t>
  </si>
  <si>
    <t>-781.705213989829 63.6374518475795 -609.534719510967</t>
  </si>
  <si>
    <t>-750.75662375083 60.0233511521892 -686.568211354364</t>
  </si>
  <si>
    <t>-782.726242497482 92.6966563337974 -555.425220043282</t>
  </si>
  <si>
    <t>-776.320232913724 228.615649971311 -535.840328148464</t>
  </si>
  <si>
    <t>-677.067119776184 255.226659739714 -260.101556018475</t>
  </si>
  <si>
    <t>-437.846852438296 256.082697952891 -231.399910067196</t>
  </si>
  <si>
    <t>-781.785522117538 37.3038806685643 -554.038265080592</t>
  </si>
  <si>
    <t>-614.527816614952 16.0468652368543 -317.051126603878</t>
  </si>
  <si>
    <t>-772.349763434976 173.129690456257 -96.8641007310493</t>
  </si>
  <si>
    <t>-771.444543699677 176.803082470167 306.670719085117</t>
  </si>
  <si>
    <t>-858.497995747292 203.847139687905 745.426181855649</t>
  </si>
  <si>
    <t>-713.391798475017 223.717429554169 805.730929832913</t>
  </si>
  <si>
    <t>-683.458331600686 -12.3597929447169 306.630983505566</t>
  </si>
  <si>
    <t>-691.065275646687 -17.5974656696608 754.239766430433</t>
  </si>
  <si>
    <t>-587.899002326164 -112.042858295016 828.563798631191</t>
  </si>
  <si>
    <t>9763-20170724T105134.910622100.bin</t>
  </si>
  <si>
    <t>-752.986515943963 80.5463530151596 -94.4030319631127</t>
  </si>
  <si>
    <t>-770.268485642399 75.0449769358909 -208.802760217791</t>
  </si>
  <si>
    <t>-777.494178238953 71.7500895879634 -307.106324203989</t>
  </si>
  <si>
    <t>-781.553086034178 69.1026567156807 -396.071219274459</t>
  </si>
  <si>
    <t>-782.776906218556 66.7299393888447 -485.127957096122</t>
  </si>
  <si>
    <t>-781.505966571333 63.6114626061533 -609.665061131396</t>
  </si>
  <si>
    <t>-750.423185292132 60.2772643440474 -686.657048355512</t>
  </si>
  <si>
    <t>-782.726036576808 92.6761061382795 -555.56266809149</t>
  </si>
  <si>
    <t>-777.290641589751 228.63154279404 -535.980427068949</t>
  </si>
  <si>
    <t>-679.014763188446 255.506150639668 -259.917287091053</t>
  </si>
  <si>
    <t>-439.938404359171 256.987464117715 -230.064789415174</t>
  </si>
  <si>
    <t>-781.404483377286 37.2914672707543 -554.162339154001</t>
  </si>
  <si>
    <t>-614.146296302521 17.46168421824 -317.415934649158</t>
  </si>
  <si>
    <t>-772.742012447974 173.375094240603 -96.9809491173934</t>
  </si>
  <si>
    <t>-771.733688430934 176.999841129463 306.554082409285</t>
  </si>
  <si>
    <t>-858.471824978247 204.025485999262 745.327536606364</t>
  </si>
  <si>
    <t>-713.424692369385 224.31356649249 805.635512106094</t>
  </si>
  <si>
    <t>-682.948471541366 -12.2630537602149 306.545622465651</t>
  </si>
  <si>
    <t>-691.103450485749 -17.6850349569602 754.188126774492</t>
  </si>
  <si>
    <t>-587.68601783046 -111.85813240605 828.508682545695</t>
  </si>
  <si>
    <t>9763-20170724T105134.942207000.bin</t>
  </si>
  <si>
    <t>-753.103766176112 80.767517533382 -94.4512516282308</t>
  </si>
  <si>
    <t>-770.330666224648 75.2339099156352 -208.857737643356</t>
  </si>
  <si>
    <t>-777.518065035058 71.9165865544001 -307.163313808387</t>
  </si>
  <si>
    <t>-781.54534430871 69.2496283006863 -396.129081762495</t>
  </si>
  <si>
    <t>-782.740782928886 66.858965099678 -485.185762302199</t>
  </si>
  <si>
    <t>-781.433600402375 63.7174800860957 -609.721982716787</t>
  </si>
  <si>
    <t>-750.31403856138 60.5154651614041 -686.704675560911</t>
  </si>
  <si>
    <t>-782.765570374336 92.7896241506849 -555.626125936498</t>
  </si>
  <si>
    <t>-777.799370895418 228.768179843616 -536.055789569336</t>
  </si>
  <si>
    <t>-679.838886787755 255.688032221668 -259.885110705684</t>
  </si>
  <si>
    <t>-440.821939206466 257.50660019618 -229.578758116516</t>
  </si>
  <si>
    <t>-781.252062222244 37.4102299318863 -554.213205610176</t>
  </si>
  <si>
    <t>-614.016899357095 18.1924120760539 -317.500484988613</t>
  </si>
  <si>
    <t>-773.147640674719 173.60375460521 -97.0379077572435</t>
  </si>
  <si>
    <t>-771.97715632826 177.141156558799 306.497438474565</t>
  </si>
  <si>
    <t>-858.447006753651 204.078361162667 745.310541222157</t>
  </si>
  <si>
    <t>-713.382949571947 224.197772951302 805.634215208573</t>
  </si>
  <si>
    <t>-682.717004227782 -12.078272301633 306.488671739955</t>
  </si>
  <si>
    <t>-691.045872051743 -17.5917280159167 754.150244830533</t>
  </si>
  <si>
    <t>-587.799282121754 -111.938387764947 828.488361087389</t>
  </si>
  <si>
    <t>9763-20170724T105135.008426400.bin</t>
  </si>
  <si>
    <t>-753.321378724317 81.2470114589414 -94.5141223484634</t>
  </si>
  <si>
    <t>-770.480906315463 75.6635855862207 -208.928344133347</t>
  </si>
  <si>
    <t>-777.585791620718 72.2982070255191 -307.238318376878</t>
  </si>
  <si>
    <t>-781.528636111442 69.5820789842212 -396.206325073278</t>
  </si>
  <si>
    <t>-782.629921409722 67.1392507697421 -485.262822839552</t>
  </si>
  <si>
    <t>-781.181340190017 63.9213136739063 -609.795397747305</t>
  </si>
  <si>
    <t>-749.973550186422 60.9196041083233 -686.750508680749</t>
  </si>
  <si>
    <t>-782.751920407772 93.0212504945384 -555.720960931731</t>
  </si>
  <si>
    <t>-778.595738234091 229.027487134892 -536.196915905674</t>
  </si>
  <si>
    <t>-680.883731926207 256.412006616278 -259.983935494443</t>
  </si>
  <si>
    <t>-441.971856017736 259.055164551494 -228.918924228653</t>
  </si>
  <si>
    <t>-780.885833846587 37.6535596486292 -554.268597100679</t>
  </si>
  <si>
    <t>-613.691576133157 19.4927796995362 -317.533578576752</t>
  </si>
  <si>
    <t>-773.777909031073 174.045912414995 -97.1183756257319</t>
  </si>
  <si>
    <t>-772.482366195774 177.569759511517 306.416658181716</t>
  </si>
  <si>
    <t>-858.418016025568 204.243112136883 745.31095097731</t>
  </si>
  <si>
    <t>-713.344566865804 224.206035953308 805.663862862521</t>
  </si>
  <si>
    <t>-682.532540723571 -11.668987815528 306.404179684775</t>
  </si>
  <si>
    <t>-691.084007255305 -17.6819813984907 754.081739587481</t>
  </si>
  <si>
    <t>-587.994177397691 -112.176268768165 828.449895232846</t>
  </si>
  <si>
    <t>9763-20170724T105135.043028800.bin</t>
  </si>
  <si>
    <t>-753.474278798663 81.5898261983878 -94.5315658817581</t>
  </si>
  <si>
    <t>-770.611712363449 76.000048390785 -208.948726063978</t>
  </si>
  <si>
    <t>-777.681464843932 72.6185674446413 -307.260634471187</t>
  </si>
  <si>
    <t>-781.58612604697 69.8822495404504 -396.229726869547</t>
  </si>
  <si>
    <t>-782.643045405219 67.4144687459559 -485.28618829496</t>
  </si>
  <si>
    <t>-781.12634103596 64.157093280347 -609.816881925545</t>
  </si>
  <si>
    <t>-749.868735756341 61.231984039651 -686.754832714187</t>
  </si>
  <si>
    <t>-782.810148915027 93.2710428658122 -555.753492476323</t>
  </si>
  <si>
    <t>-779.027799315684 229.299936182685 -536.270819803772</t>
  </si>
  <si>
    <t>-681.525419567601 256.979356584882 -260.012995398813</t>
  </si>
  <si>
    <t>-442.6626376325 260.097412441371 -228.617465265222</t>
  </si>
  <si>
    <t>-780.777501624011 37.9098935251839 -554.280717252402</t>
  </si>
  <si>
    <t>-613.631023631212 20.4431655573576 -317.471413737427</t>
  </si>
  <si>
    <t>-774.098421330123 174.379584093575 -97.1389027569346</t>
  </si>
  <si>
    <t>-772.795931448408 177.873776765215 306.396428961695</t>
  </si>
  <si>
    <t>-858.391926697818 204.272533582666 745.342058023371</t>
  </si>
  <si>
    <t>-713.303853473798 224.089884953515 805.707596236791</t>
  </si>
  <si>
    <t>-682.485746929993 -11.3446473089084 306.360110548741</t>
  </si>
  <si>
    <t>-691.019086326028 -17.559188348408 754.04938740426</t>
  </si>
  <si>
    <t>-588.055540339848 -112.183377702256 828.427244085682</t>
  </si>
  <si>
    <t>9763-20170724T105135.109710500.bin</t>
  </si>
  <si>
    <t>-753.945047029081 82.3216321666437 -94.5436108318535</t>
  </si>
  <si>
    <t>-771.102456544001 76.7151925797577 -208.956856087392</t>
  </si>
  <si>
    <t>-778.134050898147 73.2291352866639 -307.268033619394</t>
  </si>
  <si>
    <t>-781.983393347137 70.3597912839682 -396.235322806945</t>
  </si>
  <si>
    <t>-782.966342517684 67.7218287946953 -485.287648619091</t>
  </si>
  <si>
    <t>-781.327484008062 64.1879465359909 -609.809262694673</t>
  </si>
  <si>
    <t>-749.952696300988 61.3203338790424 -686.701517840766</t>
  </si>
  <si>
    <t>-783.206061028919 93.4162727756848 -555.814068780162</t>
  </si>
  <si>
    <t>-780.111602892917 229.490645421907 -536.53597104301</t>
  </si>
  <si>
    <t>-683.15870647727 257.649178447227 -260.133433082836</t>
  </si>
  <si>
    <t>-444.462271241688 261.686588939372 -227.596989558589</t>
  </si>
  <si>
    <t>-780.89142468304 38.0697768986427 -554.212829060982</t>
  </si>
  <si>
    <t>-613.906809566674 22.1301643135187 -317.262141390948</t>
  </si>
  <si>
    <t>-774.847701013268 175.142002482686 -97.1094629547727</t>
  </si>
  <si>
    <t>-773.245060664933 178.403433509028 306.426744411605</t>
  </si>
  <si>
    <t>-858.353600603421 204.354437793605 745.446292226212</t>
  </si>
  <si>
    <t>-713.255155463135 224.039212032388 805.830622433614</t>
  </si>
  <si>
    <t>-682.409605001769 -10.9567626948715 306.284263367248</t>
  </si>
  <si>
    <t>-691.105939020912 -17.7548122282799 753.996618917473</t>
  </si>
  <si>
    <t>-587.963346462316 -112.180110986608 828.379270369032</t>
  </si>
  <si>
    <t>9763-20170724T105135.143804000.bin</t>
  </si>
  <si>
    <t>-754.223387470657 82.5867868771302 -94.541029934637</t>
  </si>
  <si>
    <t>-771.415433972201 76.9600631322285 -208.948232275782</t>
  </si>
  <si>
    <t>-778.441380470818 73.4116354619421 -307.257473653532</t>
  </si>
  <si>
    <t>-782.27263145508 70.4659007656796 -396.223041411686</t>
  </si>
  <si>
    <t>-783.224771068811 67.7326207728065 -485.2727728828</t>
  </si>
  <si>
    <t>-781.530481503029 64.0451744855666 -609.78927612884</t>
  </si>
  <si>
    <t>-750.088598260536 61.1767398032639 -686.654165670225</t>
  </si>
  <si>
    <t>-783.493526832623 93.3375170172874 -555.831669250835</t>
  </si>
  <si>
    <t>-780.680273573111 229.429723439509 -536.676136531541</t>
  </si>
  <si>
    <t>-683.969548110953 258.050069639668 -260.236090613984</t>
  </si>
  <si>
    <t>-445.359128664491 262.551881272803 -227.135071087106</t>
  </si>
  <si>
    <t>-781.058510338389 37.9982045156739 -554.159792042971</t>
  </si>
  <si>
    <t>-614.080379740172 22.7313446458668 -317.142462340316</t>
  </si>
  <si>
    <t>-775.275890078405 175.442740226823 -97.0881583492961</t>
  </si>
  <si>
    <t>-773.457286954633 178.596683310978 306.448014006443</t>
  </si>
  <si>
    <t>-858.341166785192 204.401314189667 745.512745398073</t>
  </si>
  <si>
    <t>-713.239634397567 224.033519141472 805.906754106724</t>
  </si>
  <si>
    <t>-682.387809578397 -10.8342219708525 306.259128588826</t>
  </si>
  <si>
    <t>-691.154330536904 -17.8694450256457 753.971914615896</t>
  </si>
  <si>
    <t>-587.827963109894 -112.093643494435 828.354414792113</t>
  </si>
  <si>
    <t>9763-20170724T105135.213183500.bin</t>
  </si>
  <si>
    <t>-754.621440303731 83.2663494270473 -94.5361353712066</t>
  </si>
  <si>
    <t>-771.860811558925 77.5566955244099 -208.932084328119</t>
  </si>
  <si>
    <t>-778.889769075317 73.8666005974028 -307.235807184557</t>
  </si>
  <si>
    <t>-782.70997950757 70.7618128229194 -396.196533897618</t>
  </si>
  <si>
    <t>-783.638459738092 67.8386592743309 -485.240501955228</t>
  </si>
  <si>
    <t>-781.898806180634 63.8532321562275 -609.747161802602</t>
  </si>
  <si>
    <t>-750.349073844338 60.920891402526 -686.565509488097</t>
  </si>
  <si>
    <t>-783.978005090273 93.2702257380906 -555.861847933068</t>
  </si>
  <si>
    <t>-781.66698212497 229.407337589601 -536.922739571591</t>
  </si>
  <si>
    <t>-685.177135988037 258.658323861796 -260.471555000005</t>
  </si>
  <si>
    <t>-446.682866369389 264.056506489636 -226.674332611207</t>
  </si>
  <si>
    <t>-781.350789497792 37.9438726512217 -554.054051050196</t>
  </si>
  <si>
    <t>-614.349337055555 23.9126946872295 -317.02701566666</t>
  </si>
  <si>
    <t>-775.969679576031 176.160312577509 -97.0849764021076</t>
  </si>
  <si>
    <t>-773.829262912927 179.087150866446 306.451298724872</t>
  </si>
  <si>
    <t>-858.309510879185 204.48194866014 745.631019596673</t>
  </si>
  <si>
    <t>-713.20462809165 224.036360635398 806.042166976674</t>
  </si>
  <si>
    <t>-682.272873926446 -10.2084893576441 306.234705329653</t>
  </si>
  <si>
    <t>-691.110116604083 -17.8060077332275 753.937053925841</t>
  </si>
  <si>
    <t>-588.245258580938 -112.499945912862 828.362882410181</t>
  </si>
  <si>
    <t>9763-20170724T105135.241273400.bin</t>
  </si>
  <si>
    <t>-754.789445596218 83.6318832185939 -94.5415097781847</t>
  </si>
  <si>
    <t>-772.047161354249 77.8715681919425 -208.932159910406</t>
  </si>
  <si>
    <t>-779.080254777801 74.1008559258994 -307.232548389267</t>
  </si>
  <si>
    <t>-782.90008598082 70.9067688230914 -396.190130910612</t>
  </si>
  <si>
    <t>-783.825050912591 67.8779310682717 -485.230664367527</t>
  </si>
  <si>
    <t>-782.077304751413 63.7271403311047 -609.731737382322</t>
  </si>
  <si>
    <t>-750.494118715779 60.725989177922 -686.533690658668</t>
  </si>
  <si>
    <t>-784.193052636241 93.2140786962268 -555.886074059493</t>
  </si>
  <si>
    <t>-782.090099550187 229.373370977588 -537.072681070063</t>
  </si>
  <si>
    <t>-685.566808784934 258.919629052514 -260.66457282211</t>
  </si>
  <si>
    <t>-447.104630439386 264.61070650035 -226.6907184609</t>
  </si>
  <si>
    <t>-781.499740228086 37.8934720629909 -554.003875097884</t>
  </si>
  <si>
    <t>-614.456468805283 24.2617826387473 -317.015544130752</t>
  </si>
  <si>
    <t>-776.24620566654 176.49862882313 -97.0885823684703</t>
  </si>
  <si>
    <t>-773.927386696446 179.342361092726 306.447275356801</t>
  </si>
  <si>
    <t>-858.290210964128 204.486835771927 745.673294763132</t>
  </si>
  <si>
    <t>-713.177110091942 223.953759089503 806.092728193879</t>
  </si>
  <si>
    <t>-682.228444165474 -9.85772120191086 306.231920688488</t>
  </si>
  <si>
    <t>-690.991721649951 -17.6029390088022 753.917207614941</t>
  </si>
  <si>
    <t>-588.24982106956 -112.417736409669 828.358898658268</t>
  </si>
  <si>
    <t>9763-20170724T105135.309453700.bin</t>
  </si>
  <si>
    <t>-755.169687149401 84.1510706524195 -94.5459682245175</t>
  </si>
  <si>
    <t>-772.442169292566 78.312144369457 -208.93045678305</t>
  </si>
  <si>
    <t>-779.467570667839 74.4099566861671 -307.226193899875</t>
  </si>
  <si>
    <t>-783.273587336126 71.0684424352319 -396.178949577091</t>
  </si>
  <si>
    <t>-784.178806061167 67.8643652802705 -485.213573592966</t>
  </si>
  <si>
    <t>-782.398191487998 63.4388213491191 -609.704689258112</t>
  </si>
  <si>
    <t>-750.77335442074 60.299972569487 -686.483965624848</t>
  </si>
  <si>
    <t>-784.575255665709 93.042119512696 -555.925457454931</t>
  </si>
  <si>
    <t>-782.715361721487 229.238008104738 -537.366054634422</t>
  </si>
  <si>
    <t>-686.004521470991 259.331298512441 -261.082563350055</t>
  </si>
  <si>
    <t>-447.587403985476 265.544740211677 -226.883465972143</t>
  </si>
  <si>
    <t>-781.788249258331 37.7305338035796 -553.919317665851</t>
  </si>
  <si>
    <t>-614.654738149039 24.8064808306003 -317.007618197482</t>
  </si>
  <si>
    <t>-776.827413017028 177.116384072721 -97.0947782497041</t>
  </si>
  <si>
    <t>-774.121747767172 179.728170105057 306.440249843482</t>
  </si>
  <si>
    <t>-858.263972520711 204.545675168884 745.734353548838</t>
  </si>
  <si>
    <t>-713.131465832176 223.794439133159 806.177353632283</t>
  </si>
  <si>
    <t>-682.242977438369 -9.53636168732851 306.225255418585</t>
  </si>
  <si>
    <t>-691.17578540774 -17.9575081505079 753.918794056103</t>
  </si>
  <si>
    <t>-588.026541978637 -112.339231479417 828.347549899798</t>
  </si>
  <si>
    <t>9763-20170724T105135.378642100.bin</t>
  </si>
  <si>
    <t>-755.591581093932 84.7295738801458 -94.5363684291581</t>
  </si>
  <si>
    <t>-772.879581333423 78.8314842001078 -208.915388274825</t>
  </si>
  <si>
    <t>-779.882755144486 74.8109223032232 -307.208034852825</t>
  </si>
  <si>
    <t>-783.655674987564 71.3332722309144 -396.156913103153</t>
  </si>
  <si>
    <t>-784.51598512449 67.9636935921192 -485.185889369896</t>
  </si>
  <si>
    <t>-782.660798669462 63.2749360315511 -609.666342991087</t>
  </si>
  <si>
    <t>-751.025434593663 59.989518146906 -686.435078252792</t>
  </si>
  <si>
    <t>-784.900897508317 92.9902847430099 -555.951422566648</t>
  </si>
  <si>
    <t>-783.217225182265 229.225492735209 -537.637659918496</t>
  </si>
  <si>
    <t>-686.476713238293 259.739739766317 -261.410566764385</t>
  </si>
  <si>
    <t>-448.075000684369 266.310799692931 -227.171033248762</t>
  </si>
  <si>
    <t>-782.053404176027 37.6861427529136 -553.825885623999</t>
  </si>
  <si>
    <t>-614.680982920849 25.1386176339608 -316.947365332611</t>
  </si>
  <si>
    <t>-777.411908336869 177.703667042397 -97.1184425193845</t>
  </si>
  <si>
    <t>-774.286891197565 180.088321768259 306.415052387247</t>
  </si>
  <si>
    <t>-858.222379934912 204.534412376352 745.783933785599</t>
  </si>
  <si>
    <t>-713.065430390593 223.5347103453 806.246940752988</t>
  </si>
  <si>
    <t>-682.229376852779 -9.17017459862336 306.215413111478</t>
  </si>
  <si>
    <t>-691.149273812392 -17.9177311199899 753.900325810457</t>
  </si>
  <si>
    <t>-588.299960575744 -112.598997454512 828.363617101426</t>
  </si>
  <si>
    <t>9763-20170724T105135.410747600.bin</t>
  </si>
  <si>
    <t>-755.748573309294 84.9270515356141 -94.5209807675685</t>
  </si>
  <si>
    <t>-773.067366986216 78.9993347168174 -208.893863919205</t>
  </si>
  <si>
    <t>-780.076898622942 74.931001835484 -307.184022513439</t>
  </si>
  <si>
    <t>-783.848119084746 71.4004610612603 -396.130935878665</t>
  </si>
  <si>
    <t>-784.699560124361 67.9674632416295 -485.157574221083</t>
  </si>
  <si>
    <t>-782.824711975975 63.1795169617342 -609.633972013061</t>
  </si>
  <si>
    <t>-751.192318233719 59.8266981804313 -686.400958079332</t>
  </si>
  <si>
    <t>-785.085140713855 92.9369811011161 -555.943194668065</t>
  </si>
  <si>
    <t>-783.476511993589 229.182717836492 -537.720168883227</t>
  </si>
  <si>
    <t>-686.762897600987 259.830591604798 -261.498574695629</t>
  </si>
  <si>
    <t>-448.367403330655 266.504295349065 -227.236038159943</t>
  </si>
  <si>
    <t>-782.214396527464 37.6359272185575 -553.772849801982</t>
  </si>
  <si>
    <t>-614.78293888395 25.293601408425 -316.888817096935</t>
  </si>
  <si>
    <t>-777.633222963433 177.882960010616 -97.1066556746051</t>
  </si>
  <si>
    <t>-774.273786675839 180.15246915856 306.425552072211</t>
  </si>
  <si>
    <t>-858.221056770072 204.564291264682 745.799454053418</t>
  </si>
  <si>
    <t>-713.073336779164 223.646776732579 806.258478613029</t>
  </si>
  <si>
    <t>-682.179652918167 -9.09815611571844 306.217598927719</t>
  </si>
  <si>
    <t>-691.16035970928 -17.9499357097138 753.893855405523</t>
  </si>
  <si>
    <t>-588.216039891932 -112.522229183518 828.364455773121</t>
  </si>
  <si>
    <t>9763-20170724T105135.444820600.bin</t>
  </si>
  <si>
    <t>-755.890853655857 85.0998759647357 -94.5048333391233</t>
  </si>
  <si>
    <t>-773.240455891005 79.1583466822731 -208.872270792384</t>
  </si>
  <si>
    <t>-780.264410587466 75.057165005355 -307.160023867134</t>
  </si>
  <si>
    <t>-784.044166546092 71.487887655923 -396.105204611025</t>
  </si>
  <si>
    <t>-784.899890262747 68.0071435553689 -485.129794627059</t>
  </si>
  <si>
    <t>-783.027060233464 63.142651129564 -609.603275791352</t>
  </si>
  <si>
    <t>-751.397356867165 59.7239975026516 -686.368560675363</t>
  </si>
  <si>
    <t>-785.297070219314 92.9325966639949 -555.930917226686</t>
  </si>
  <si>
    <t>-783.741996272093 229.18386692416 -537.763946879021</t>
  </si>
  <si>
    <t>-687.059247685392 260.010952024067 -261.551513803318</t>
  </si>
  <si>
    <t>-448.665314221797 266.788005588196 -227.298654414707</t>
  </si>
  <si>
    <t>-782.405327693373 37.6339493817716 -553.72629885246</t>
  </si>
  <si>
    <t>-614.919106239219 25.4813410767767 -316.901104689703</t>
  </si>
  <si>
    <t>-777.862331892497 178.079540924032 -97.101555206464</t>
  </si>
  <si>
    <t>-774.286671233118 180.231193923793 306.429456416349</t>
  </si>
  <si>
    <t>-858.210898240815 204.573524862669 745.815055043954</t>
  </si>
  <si>
    <t>-713.070574139858 223.719406331218 806.271816766921</t>
  </si>
  <si>
    <t>-682.121033018004 -8.92347803174926 306.218617195121</t>
  </si>
  <si>
    <t>-691.104563792966 -17.8569637119178 753.881518695496</t>
  </si>
  <si>
    <t>-588.3600236061 -112.627476396667 828.375887762592</t>
  </si>
  <si>
    <t>9763-20170724T105135.511704000.bin</t>
  </si>
  <si>
    <t>-756.030374404854 85.284702286408 -94.501659989911</t>
  </si>
  <si>
    <t>-773.462278671735 79.3151375511061 -208.855029619181</t>
  </si>
  <si>
    <t>-780.533258124497 75.1674013872614 -307.137559411416</t>
  </si>
  <si>
    <t>-784.346658345013 71.5460089750027 -396.079070486106</t>
  </si>
  <si>
    <t>-785.22724010006 68.0032784987593 -485.101034314116</t>
  </si>
  <si>
    <t>-783.38074623163 63.0413780455344 -609.571095101598</t>
  </si>
  <si>
    <t>-751.757268741048 59.5194551738964 -686.33425231373</t>
  </si>
  <si>
    <t>-785.657658280478 92.872363986206 -555.921856400701</t>
  </si>
  <si>
    <t>-784.206921933003 229.135603671947 -537.807124866008</t>
  </si>
  <si>
    <t>-687.540380755916 259.978300164778 -261.590596774691</t>
  </si>
  <si>
    <t>-449.177948517751 267.099826670488 -227.18865411633</t>
  </si>
  <si>
    <t>-782.728905080945 37.5774608590682 -553.674148732409</t>
  </si>
  <si>
    <t>-615.015500745532 25.66766202996 -316.909004895992</t>
  </si>
  <si>
    <t>-778.018023954977 178.297265105198 -97.0904337631562</t>
  </si>
  <si>
    <t>-774.390141014401 180.409543174027 306.440264127832</t>
  </si>
  <si>
    <t>-858.187364913561 204.60073207934 745.849970891997</t>
  </si>
  <si>
    <t>-713.053451970036 223.76507538795 806.316295707808</t>
  </si>
  <si>
    <t>-681.934755499065 -8.63439829555864 306.187212673285</t>
  </si>
  <si>
    <t>-690.985816786753 -17.662249304886 753.849447370069</t>
  </si>
  <si>
    <t>-588.406341703812 -112.581410425571 828.382137537801</t>
  </si>
  <si>
    <t>9763-20170724T105135.544294300.bin</t>
  </si>
  <si>
    <t>-756.151106943996 85.3460178756291 -94.4983272386778</t>
  </si>
  <si>
    <t>-773.621755004698 79.3676356088019 -208.845362743127</t>
  </si>
  <si>
    <t>-780.709572018417 75.2070350176402 -307.126134872064</t>
  </si>
  <si>
    <t>-784.531742872509 71.5714561715545 -396.066626613439</t>
  </si>
  <si>
    <t>-785.414768580816 68.011683409057 -485.08796682269</t>
  </si>
  <si>
    <t>-783.564758533615 63.0223382200829 -609.556869581823</t>
  </si>
  <si>
    <t>-751.946847823023 59.4761501138628 -686.321194807482</t>
  </si>
  <si>
    <t>-785.850554513894 92.8647076718632 -555.914318314701</t>
  </si>
  <si>
    <t>-784.425178603146 229.122780893101 -537.812136607312</t>
  </si>
  <si>
    <t>-687.753813643005 259.963962871142 -261.597328453354</t>
  </si>
  <si>
    <t>-449.405911869834 267.1769812645 -227.113784032983</t>
  </si>
  <si>
    <t>-782.907032957139 37.5710025398139 -553.654082551125</t>
  </si>
  <si>
    <t>-615.149675469315 25.6992406423587 -316.977296467006</t>
  </si>
  <si>
    <t>-778.173613624514 178.402976810117 -97.0818352158331</t>
  </si>
  <si>
    <t>-774.464386085268 180.46288586759 306.448398366742</t>
  </si>
  <si>
    <t>-858.173220069744 204.590672797781 745.874662434412</t>
  </si>
  <si>
    <t>-713.023054830321 223.623965358859 806.34329786709</t>
  </si>
  <si>
    <t>-681.903549057585 -8.6484113986894 306.171252779325</t>
  </si>
  <si>
    <t>-691.116333306316 -17.9078916007165 753.848175947903</t>
  </si>
  <si>
    <t>-588.497925283145 -112.779466738629 828.387864608322</t>
  </si>
  <si>
    <t>9763-20170724T105135.607561600.bin</t>
  </si>
  <si>
    <t>-756.435439809914 85.4492677299509 -94.4697140690454</t>
  </si>
  <si>
    <t>-773.990591331962 79.4735973295487 -208.803905251221</t>
  </si>
  <si>
    <t>-781.118746428335 75.3076829344498 -307.081671971945</t>
  </si>
  <si>
    <t>-784.964413924038 71.6639450735092 -396.020899140529</t>
  </si>
  <si>
    <t>-785.858329928848 68.0921563139345 -485.041443297656</t>
  </si>
  <si>
    <t>-784.010498454031 63.0823077760831 -609.509647218919</t>
  </si>
  <si>
    <t>-752.404485492791 59.5353394607346 -686.278791450924</t>
  </si>
  <si>
    <t>-786.304076223842 92.9330531753858 -555.872037939655</t>
  </si>
  <si>
    <t>-784.911126028414 229.194870448912 -537.748043800931</t>
  </si>
  <si>
    <t>-688.268844381804 259.919715140587 -261.509952549743</t>
  </si>
  <si>
    <t>-449.944424192281 267.167138490874 -226.872112721788</t>
  </si>
  <si>
    <t>-783.34293508959 37.6406589515557 -553.602553176091</t>
  </si>
  <si>
    <t>-615.511220890612 25.8168485939414 -317.046341090674</t>
  </si>
  <si>
    <t>-778.498065234839 178.569706874479 -97.0427401289727</t>
  </si>
  <si>
    <t>-774.51199247219 180.504541265181 306.485454937132</t>
  </si>
  <si>
    <t>-858.144990959112 204.57412681988 745.937491984616</t>
  </si>
  <si>
    <t>-712.986973253581 223.533242725415 806.41074128644</t>
  </si>
  <si>
    <t>-681.757700887882 -8.58927904623283 306.145713761227</t>
  </si>
  <si>
    <t>-691.029563067599 -17.7367556914264 753.823624087194</t>
  </si>
  <si>
    <t>-588.516820194546 -112.711718107178 828.377037275573</t>
  </si>
  <si>
    <t>9763-20170724T105135.640647700.bin</t>
  </si>
  <si>
    <t>-756.522773281925 85.4892760164555 -94.4411868906369</t>
  </si>
  <si>
    <t>-774.137025705178 79.5088806203244 -208.766049995414</t>
  </si>
  <si>
    <t>-781.297755822173 75.3429910601647 -307.041457258836</t>
  </si>
  <si>
    <t>-785.165458587222 71.700757925126 -395.979706831834</t>
  </si>
  <si>
    <t>-786.073957190532 68.131660307226 -485.000295858155</t>
  </si>
  <si>
    <t>-784.238732639691 63.1271201372374 -609.468799757003</t>
  </si>
  <si>
    <t>-752.63962870788 59.5881190790947 -686.24119596001</t>
  </si>
  <si>
    <t>-786.529177054416 92.9756264311136 -555.829779129523</t>
  </si>
  <si>
    <t>-785.146069935446 229.234418517276 -537.678120799359</t>
  </si>
  <si>
    <t>-688.500787573035 259.838412690765 -261.427776223563</t>
  </si>
  <si>
    <t>-450.162750852958 266.991837490672 -226.863503253984</t>
  </si>
  <si>
    <t>-783.56344754874 37.6833121232751 -553.562900269139</t>
  </si>
  <si>
    <t>-615.64948491941 25.8144065154117 -317.024711367385</t>
  </si>
  <si>
    <t>-778.602715313951 178.600275411297 -97.0189977535678</t>
  </si>
  <si>
    <t>-774.541081801081 180.534740737269 306.508520940801</t>
  </si>
  <si>
    <t>-858.138073499374 204.590656514247 745.974165452842</t>
  </si>
  <si>
    <t>-713.006623004857 223.763562152523 806.443780723494</t>
  </si>
  <si>
    <t>-681.632146558525 -8.49718173054657 306.133274677901</t>
  </si>
  <si>
    <t>-690.936025079581 -17.5459864173386 753.810101114689</t>
  </si>
  <si>
    <t>-588.843199297954 -112.952417076865 828.388716521169</t>
  </si>
  <si>
    <t>9763-20170724T105135.708393600.bin</t>
  </si>
  <si>
    <t>-756.839941316766 85.2782397148271 -94.3669774313718</t>
  </si>
  <si>
    <t>-774.582894792967 79.2896205316981 -208.671442362536</t>
  </si>
  <si>
    <t>-781.832693975847 75.1356697992865 -306.940852074948</t>
  </si>
  <si>
    <t>-785.77171672473 71.5108567003235 -395.876668268918</t>
  </si>
  <si>
    <t>-786.742326497511 67.9661529662048 -484.897637384048</t>
  </si>
  <si>
    <t>-784.983651182754 63.0017520178958 -609.368844871481</t>
  </si>
  <si>
    <t>-753.40210082219 59.4921364144832 -686.149775572944</t>
  </si>
  <si>
    <t>-787.237050764758 92.8331004096985 -555.718726066481</t>
  </si>
  <si>
    <t>-785.857338425765 229.08326081427 -537.497217316454</t>
  </si>
  <si>
    <t>-689.258126199058 259.386551589027 -261.197602319936</t>
  </si>
  <si>
    <t>-450.883965410592 266.305976265141 -226.835609676439</t>
  </si>
  <si>
    <t>-784.278211363642 37.5396989647218 -553.47161761941</t>
  </si>
  <si>
    <t>-616.083458566761 25.4948095524373 -316.942365141779</t>
  </si>
  <si>
    <t>-778.902667791156 178.513934524526 -96.9400034388359</t>
  </si>
  <si>
    <t>-774.627439703142 180.415098841486 306.585385385468</t>
  </si>
  <si>
    <t>-858.119332441117 204.588397988042 746.044224620889</t>
  </si>
  <si>
    <t>-712.989551455679 223.794179040472 806.507230971295</t>
  </si>
  <si>
    <t>-681.663545863411 -8.77136836171167 306.143264609019</t>
  </si>
  <si>
    <t>-691.120198737645 -17.8589637827538 753.810775321194</t>
  </si>
  <si>
    <t>-588.321636190265 -112.533297148943 828.352940755654</t>
  </si>
  <si>
    <t>9763-20170724T105135.742990600.bin</t>
  </si>
  <si>
    <t>-756.938242058856 85.2578309512348 -94.3439229853805</t>
  </si>
  <si>
    <t>-774.743561629305 79.263601519601 -208.638557590756</t>
  </si>
  <si>
    <t>-782.0399531876 75.1225199780372 -306.904820698007</t>
  </si>
  <si>
    <t>-786.018285198875 71.5165322848197 -395.839722898578</t>
  </si>
  <si>
    <t>-787.024455964427 67.9978440983632 -484.861306332962</t>
  </si>
  <si>
    <t>-785.311953435179 63.0776575247339 -609.33491214705</t>
  </si>
  <si>
    <t>-753.744579926965 59.5963900856132 -686.123003841444</t>
  </si>
  <si>
    <t>-787.549646761541 92.8895787917374 -555.673505050799</t>
  </si>
  <si>
    <t>-786.191802733494 229.129879765682 -537.391489252901</t>
  </si>
  <si>
    <t>-689.588161742933 259.302005652249 -261.079052491307</t>
  </si>
  <si>
    <t>-451.187604640589 266.137302260342 -226.8834388176</t>
  </si>
  <si>
    <t>-784.58142707008 37.5960096194215 -553.44700235212</t>
  </si>
  <si>
    <t>-616.274060649602 25.4260547358933 -317.013688691256</t>
  </si>
  <si>
    <t>-778.998026052785 178.482749671178 -96.9098855067978</t>
  </si>
  <si>
    <t>-774.629728380833 180.367420103948 306.614608786131</t>
  </si>
  <si>
    <t>-858.0954701172 204.540644230936 746.081340751875</t>
  </si>
  <si>
    <t>-712.943186825204 223.573458581167 806.544866239597</t>
  </si>
  <si>
    <t>-681.565621189676 -8.69793703226628 306.132124471122</t>
  </si>
  <si>
    <t>-691.044272085291 -17.7133289077944 753.796533575844</t>
  </si>
  <si>
    <t>-588.659824214495 -112.807525208956 828.374044927276</t>
  </si>
  <si>
    <t>9763-20170724T105135.806189500.bin</t>
  </si>
  <si>
    <t>-757.297171025503 84.9995113507907 -94.3156059260535</t>
  </si>
  <si>
    <t>-775.227422476653 78.9845338284699 -208.589668316151</t>
  </si>
  <si>
    <t>-782.624652255956 74.8834476446095 -306.850085369579</t>
  </si>
  <si>
    <t>-786.690356171476 71.3378295715584 -395.783408334818</t>
  </si>
  <si>
    <t>-787.779603508229 67.9037619400706 -484.807331352422</t>
  </si>
  <si>
    <t>-786.177574280772 63.1276401936473 -609.288046946452</t>
  </si>
  <si>
    <t>-754.662618815876 59.7430865088804 -686.102081701658</t>
  </si>
  <si>
    <t>-788.386607855669 92.876449996279 -555.590423704459</t>
  </si>
  <si>
    <t>-787.062366410658 229.102116582253 -537.197402172877</t>
  </si>
  <si>
    <t>-690.632882870007 259.018559601867 -260.796274910849</t>
  </si>
  <si>
    <t>-452.206119795103 265.864932608911 -226.786585250463</t>
  </si>
  <si>
    <t>-785.378370259074 37.5822876003751 -553.430183044113</t>
  </si>
  <si>
    <t>-616.791825184504 25.2935180029388 -317.109166388463</t>
  </si>
  <si>
    <t>-779.365952504763 178.300812309058 -96.8640584512125</t>
  </si>
  <si>
    <t>-774.69064297955 180.135526543667 306.657281047631</t>
  </si>
  <si>
    <t>-858.067342253986 204.480552719542 746.144679430938</t>
  </si>
  <si>
    <t>-712.913822529829 223.538601788209 806.59774445965</t>
  </si>
  <si>
    <t>-681.592450889475 -8.79625431595355 306.123182902725</t>
  </si>
  <si>
    <t>-691.158250848803 -17.8976302855351 753.787933026476</t>
  </si>
  <si>
    <t>-588.515170315087 -112.714991203031 828.36245315245</t>
  </si>
  <si>
    <t>9763-20170724T105135.844796900.bin</t>
  </si>
  <si>
    <t>-757.525939571577 85.0048127532166 -94.3115292206859</t>
  </si>
  <si>
    <t>-775.519297688686 78.9594313764135 -208.574091601099</t>
  </si>
  <si>
    <t>-782.97136537149 74.86347509185 -306.83051845351</t>
  </si>
  <si>
    <t>-787.08598499156 71.3349648160508 -395.762305459511</t>
  </si>
  <si>
    <t>-788.22304036087 67.9308423016223 -484.78687732737</t>
  </si>
  <si>
    <t>-786.686412148296 63.2104268915632 -609.270455178299</t>
  </si>
  <si>
    <t>-755.191370985468 59.8723927965807 -686.094459854649</t>
  </si>
  <si>
    <t>-788.879566975809 92.9344773697028 -555.558487153769</t>
  </si>
  <si>
    <t>-787.601168292626 229.156036471811 -537.11269176524</t>
  </si>
  <si>
    <t>-691.040685562309 258.969863111159 -260.74613703571</t>
  </si>
  <si>
    <t>-452.626984115276 265.783714536711 -226.638307387051</t>
  </si>
  <si>
    <t>-785.845731446981 37.6408198015458 -553.424322591346</t>
  </si>
  <si>
    <t>-617.118722606287 25.3439219656675 -317.152733963899</t>
  </si>
  <si>
    <t>-779.634373682533 178.335814643703 -96.8620092353664</t>
  </si>
  <si>
    <t>-774.777860191744 180.133735072876 306.65731783806</t>
  </si>
  <si>
    <t>-858.06331280831 204.5166230772 746.167506310053</t>
  </si>
  <si>
    <t>-712.916280630576 223.623310867179 806.62052319174</t>
  </si>
  <si>
    <t>-681.570855469158 -8.67004419671366 306.114459991329</t>
  </si>
  <si>
    <t>-691.073051788531 -17.7194724861597 753.776246394943</t>
  </si>
  <si>
    <t>-588.79884432871 -112.912593013581 828.378993403251</t>
  </si>
  <si>
    <t>9763-20170724T105135.910976800.bin</t>
  </si>
  <si>
    <t>-758.265240324315 85.1074950175862 -94.327117619083</t>
  </si>
  <si>
    <t>-776.363280702082 78.9609437425434 -208.56772990121</t>
  </si>
  <si>
    <t>-783.931192400401 74.835545036907 -306.814136332185</t>
  </si>
  <si>
    <t>-788.159688317384 71.3020621873588 -395.740356652613</t>
  </si>
  <si>
    <t>-789.418928387841 67.9141723387872 -484.763865525908</t>
  </si>
  <si>
    <t>-788.060815112993 63.238342172305 -609.251213271071</t>
  </si>
  <si>
    <t>-756.619361410156 59.9534911262219 -686.099568740701</t>
  </si>
  <si>
    <t>-790.176281699688 92.9433086959125 -555.525610434197</t>
  </si>
  <si>
    <t>-788.934484766773 229.160169967016 -537.080865028518</t>
  </si>
  <si>
    <t>-691.507801704781 258.985952381098 -261.019899141926</t>
  </si>
  <si>
    <t>-453.083217401772 265.679529354056 -226.965106029772</t>
  </si>
  <si>
    <t>-787.140748822297 37.6486847777569 -553.415551278918</t>
  </si>
  <si>
    <t>-618.081934870928 25.1772411457173 -317.317828616342</t>
  </si>
  <si>
    <t>-780.510857546599 178.44856149957 -96.9184401151462</t>
  </si>
  <si>
    <t>-775.336527152374 180.285253456016 306.596776924451</t>
  </si>
  <si>
    <t>-858.026852249348 204.497998474698 746.229465162094</t>
  </si>
  <si>
    <t>-712.87579551085 223.522877818033 806.69889337091</t>
  </si>
  <si>
    <t>-681.861741291009 -8.39457095866987 306.102993252195</t>
  </si>
  <si>
    <t>-691.053362134241 -17.6441938092387 753.769543602617</t>
  </si>
  <si>
    <t>-588.843991904923 -112.898879510245 828.382412546523</t>
  </si>
  <si>
    <t>9763-20170724T105135.944566000.bin</t>
  </si>
  <si>
    <t>-758.686215997931 85.0659328149475 -94.3457870564122</t>
  </si>
  <si>
    <t>-776.799585457482 78.8657215766718 -208.580949400115</t>
  </si>
  <si>
    <t>-784.431931492846 74.7204479655034 -306.821564616317</t>
  </si>
  <si>
    <t>-788.738702024361 71.1788638311896 -395.743752426965</t>
  </si>
  <si>
    <t>-790.095757074432 67.7932276878282 -484.765975499961</t>
  </si>
  <si>
    <t>-788.894470303018 63.1307641455214 -609.255378335415</t>
  </si>
  <si>
    <t>-757.492661445885 59.8721174546006 -686.121071033495</t>
  </si>
  <si>
    <t>-790.928240224058 92.8307604535987 -555.523711805232</t>
  </si>
  <si>
    <t>-789.613251844457 229.054265617661 -537.087550777893</t>
  </si>
  <si>
    <t>-691.718557249175 258.881544579982 -261.192280284974</t>
  </si>
  <si>
    <t>-453.263094492782 265.538681262653 -227.34685069876</t>
  </si>
  <si>
    <t>-787.917903913486 37.5342139172317 -553.423721588386</t>
  </si>
  <si>
    <t>-618.708466188783 25.0732283471577 -317.411668238556</t>
  </si>
  <si>
    <t>-780.963650344704 178.423148237866 -96.9655322209467</t>
  </si>
  <si>
    <t>-775.749935056663 180.416258377458 306.548399896888</t>
  </si>
  <si>
    <t>-858.015513956608 204.539318343386 746.264401523324</t>
  </si>
  <si>
    <t>-712.861618256718 223.49279166585 806.749303090254</t>
  </si>
  <si>
    <t>-682.124106899518 -8.32104243772187 306.095643133987</t>
  </si>
  <si>
    <t>-691.156033370461 -17.8072827369092 753.774531473797</t>
  </si>
  <si>
    <t>-588.712947915747 -112.820705817994 828.374573523223</t>
  </si>
  <si>
    <t>9763-20170724T105136.013765400.bin</t>
  </si>
  <si>
    <t>-759.566563479451 85.1400679974777 -94.3704117741968</t>
  </si>
  <si>
    <t>-777.695110493335 78.8631371411591 -208.599077812528</t>
  </si>
  <si>
    <t>-785.434486777733 74.663744029403 -306.829011616707</t>
  </si>
  <si>
    <t>-789.875386098145 71.0787970488789 -395.742888247803</t>
  </si>
  <si>
    <t>-791.403952397911 67.6552841982925 -484.760759442812</t>
  </si>
  <si>
    <t>-790.481328094568 62.9458109738605 -609.250762539563</t>
  </si>
  <si>
    <t>-759.177181952938 59.6846968053512 -686.156234553904</t>
  </si>
  <si>
    <t>-792.368024840831 92.6674165073155 -555.525862270076</t>
  </si>
  <si>
    <t>-790.917329008568 228.904612173108 -537.183603115526</t>
  </si>
  <si>
    <t>-692.602262630272 258.820831275436 -261.447533730251</t>
  </si>
  <si>
    <t>-454.130605345781 265.374679368972 -227.695816366078</t>
  </si>
  <si>
    <t>-789.406778643065 37.3689510873039 -553.411891762892</t>
  </si>
  <si>
    <t>-620.088331380597 25.0027778574608 -317.563575750076</t>
  </si>
  <si>
    <t>-781.934054816639 178.658890637832 -97.0735497764204</t>
  </si>
  <si>
    <t>-776.689260088669 180.793055962735 306.439212862266</t>
  </si>
  <si>
    <t>-857.9866021928 204.604780167128 746.35687305767</t>
  </si>
  <si>
    <t>-712.858067664395 223.673174786914 806.866380090334</t>
  </si>
  <si>
    <t>-682.605100639177 -8.01548891082211 306.086236204136</t>
  </si>
  <si>
    <t>-691.181449911739 -17.784497744477 753.782629498741</t>
  </si>
  <si>
    <t>-588.796321927098 -112.861732092347 828.38106180045</t>
  </si>
  <si>
    <t>9763-20170724T105136.053891200.bin</t>
  </si>
  <si>
    <t>-760.084875774845 85.1883030622516 -94.3628250404788</t>
  </si>
  <si>
    <t>-778.221988121316 78.8853106651018 -208.588661757168</t>
  </si>
  <si>
    <t>-785.995214072065 74.6669554736031 -306.815117146484</t>
  </si>
  <si>
    <t>-790.476878288 71.0665410789043 -395.726336489231</t>
  </si>
  <si>
    <t>-792.056505121973 67.6292995016793 -484.742699259855</t>
  </si>
  <si>
    <t>-791.216383954144 62.9028288663164 -609.232825620629</t>
  </si>
  <si>
    <t>-759.946271862457 59.6274622923311 -686.151422207284</t>
  </si>
  <si>
    <t>-793.053607160852 92.632525430143 -555.510462504983</t>
  </si>
  <si>
    <t>-791.506748409558 228.860377364379 -537.209578122902</t>
  </si>
  <si>
    <t>-693.101305700058 258.906749033531 -261.519919442211</t>
  </si>
  <si>
    <t>-454.634264598607 265.33306193238 -227.710678927062</t>
  </si>
  <si>
    <t>-790.118586373452 37.3327939117687 -553.391146186959</t>
  </si>
  <si>
    <t>-620.743534950859 24.9564903267928 -317.578893665186</t>
  </si>
  <si>
    <t>-782.46426993462 178.766075341023 -97.0986311394876</t>
  </si>
  <si>
    <t>-777.123962442574 180.933439235826 306.412732672129</t>
  </si>
  <si>
    <t>-857.957837774415 204.578879000898 746.416246848916</t>
  </si>
  <si>
    <t>-712.794154052672 223.313162976201 806.945526354032</t>
  </si>
  <si>
    <t>-682.967077900508 -7.99015769245034 306.09539493899</t>
  </si>
  <si>
    <t>-691.296149161345 -17.9458432119957 753.793592521167</t>
  </si>
  <si>
    <t>-588.542729098245 -112.647012529871 828.363854694839</t>
  </si>
  <si>
    <t>9763-20170724T105136.109157900.bin</t>
  </si>
  <si>
    <t>-760.869979884776 85.6048777248648 -94.3342593057611</t>
  </si>
  <si>
    <t>-779.056832731506 79.2657979966605 -208.550207215702</t>
  </si>
  <si>
    <t>-786.888945923425 75.026637623806 -306.771042509442</t>
  </si>
  <si>
    <t>-791.430650196915 71.4128426876073 -395.678615443578</t>
  </si>
  <si>
    <t>-793.076829061035 67.9677218780428 -484.693560002237</t>
  </si>
  <si>
    <t>-792.335695023488 63.2360910707703 -609.184011333146</t>
  </si>
  <si>
    <t>-761.108502664409 59.8821646524343 -686.116784465661</t>
  </si>
  <si>
    <t>-794.094670682646 92.9698375285286 -555.461426718698</t>
  </si>
  <si>
    <t>-792.327509306064 229.208624130509 -537.211392782737</t>
  </si>
  <si>
    <t>-693.654894332738 259.341087070034 -261.626517846705</t>
  </si>
  <si>
    <t>-455.20295854469 265.739845252724 -227.706846886932</t>
  </si>
  <si>
    <t>-791.229015054327 37.6665116277654 -553.342409029876</t>
  </si>
  <si>
    <t>-621.839231598968 25.223396594879 -317.571070585662</t>
  </si>
  <si>
    <t>-783.187671238496 179.141045818063 -97.1117088580201</t>
  </si>
  <si>
    <t>-777.578713403234 181.271259914055 306.396245071152</t>
  </si>
  <si>
    <t>-857.938573345389 204.668923511317 746.528050170799</t>
  </si>
  <si>
    <t>-712.809128893798 223.618789315128 807.072690057042</t>
  </si>
  <si>
    <t>-683.499400607869 -7.46126809044358 306.10658240418</t>
  </si>
  <si>
    <t>-691.163514221092 -17.6011778465672 753.79291472772</t>
  </si>
  <si>
    <t>-589.046778218731 -112.965218282747 828.393334321538</t>
  </si>
  <si>
    <t>9763-20170724T105136.140240800.bin</t>
  </si>
  <si>
    <t>-761.215454022503 85.7165314108772 -94.3169715203143</t>
  </si>
  <si>
    <t>-779.423876790021 79.3692950023017 -208.52903425336</t>
  </si>
  <si>
    <t>-787.276086087672 75.1226325338353 -306.748006747358</t>
  </si>
  <si>
    <t>-791.836559751987 71.5025330956114 -395.654403382157</t>
  </si>
  <si>
    <t>-793.501990457159 68.051384942401 -484.668772455315</t>
  </si>
  <si>
    <t>-792.788765520994 63.3120083348936 -609.159036930217</t>
  </si>
  <si>
    <t>-761.579069727383 59.9069292123236 -686.096669902711</t>
  </si>
  <si>
    <t>-794.514053099879 93.0503118614354 -555.437740708927</t>
  </si>
  <si>
    <t>-792.623050115797 229.292600471841 -537.214478749635</t>
  </si>
  <si>
    <t>-693.833754884944 259.356778640163 -261.664147573967</t>
  </si>
  <si>
    <t>-455.379465302966 265.730427564498 -227.756164005082</t>
  </si>
  <si>
    <t>-791.691004664424 37.7448355227677 -553.316082091778</t>
  </si>
  <si>
    <t>-622.298887044785 25.2249873608148 -317.607585817133</t>
  </si>
  <si>
    <t>-783.44726604365 179.252752692386 -97.099989012171</t>
  </si>
  <si>
    <t>-777.751711175955 181.379019143903 306.40674590891</t>
  </si>
  <si>
    <t>-857.920501309915 204.672327628846 746.578728037031</t>
  </si>
  <si>
    <t>-712.789650206466 223.587651024387 807.130866718875</t>
  </si>
  <si>
    <t>-683.769989342764 -7.392218535334 306.124615010841</t>
  </si>
  <si>
    <t>-691.297298608273 -17.7908568218272 753.814957354077</t>
  </si>
  <si>
    <t>-589.046652669288 -113.023866155691 828.398829909298</t>
  </si>
  <si>
    <t>9763-20170724T105136.209952500.bin</t>
  </si>
  <si>
    <t>-761.720215866389 85.8205802176244 -94.2704733930631</t>
  </si>
  <si>
    <t>-779.971480554565 79.4908239777342 -208.476578606307</t>
  </si>
  <si>
    <t>-787.85133699637 75.2517781830124 -306.69367134992</t>
  </si>
  <si>
    <t>-792.433366544067 71.6366950913628 -395.599070685319</t>
  </si>
  <si>
    <t>-794.117393474495 68.1885257171132 -484.613229222302</t>
  </si>
  <si>
    <t>-793.426161037895 63.4514739466267 -609.103759428412</t>
  </si>
  <si>
    <t>-762.263769763335 59.9502160491913 -686.056207426074</t>
  </si>
  <si>
    <t>-795.099140069485 93.1908082489335 -555.381505994318</t>
  </si>
  <si>
    <t>-792.950025866092 229.434826401732 -537.191741534745</t>
  </si>
  <si>
    <t>-693.971450978502 259.491248951951 -261.708436782682</t>
  </si>
  <si>
    <t>-455.518850902876 265.847462563044 -227.784818080078</t>
  </si>
  <si>
    <t>-792.361407410389 37.8810888697606 -553.261649896781</t>
  </si>
  <si>
    <t>-622.867757200328 25.1174262420541 -317.664988757093</t>
  </si>
  <si>
    <t>-783.813274222123 179.412611193113 -97.0565250096737</t>
  </si>
  <si>
    <t>-777.933462840989 181.463233760725 306.448000698691</t>
  </si>
  <si>
    <t>-857.873436233239 204.610514001672 746.674901772131</t>
  </si>
  <si>
    <t>-712.709551097463 223.277122133947 807.225077524859</t>
  </si>
  <si>
    <t>-684.163394355001 -7.28663007436353 306.147818754238</t>
  </si>
  <si>
    <t>-691.30863177491 -17.7039519000966 753.844884378604</t>
  </si>
  <si>
    <t>-589.193342991804 -113.087908253584 828.421322411085</t>
  </si>
  <si>
    <t>9763-20170724T105136.244063300.bin</t>
  </si>
  <si>
    <t>-761.86022944807 85.8746402573911 -94.2447248158705</t>
  </si>
  <si>
    <t>-780.14855673923 79.5541587616208 -208.445423955697</t>
  </si>
  <si>
    <t>-788.054484110031 75.3188903966457 -306.660598301375</t>
  </si>
  <si>
    <t>-792.657953607513 71.706355518229 -395.565066316958</t>
  </si>
  <si>
    <t>-794.360876855068 68.2593590251545 -484.578837564703</t>
  </si>
  <si>
    <t>-793.694446411747 63.5223378714227 -609.069601505525</t>
  </si>
  <si>
    <t>-762.571403981475 59.9751881029338 -686.035804329304</t>
  </si>
  <si>
    <t>-795.337098973857 93.2628088278229 -555.346969327796</t>
  </si>
  <si>
    <t>-793.074655003505 229.509159925517 -537.171362879804</t>
  </si>
  <si>
    <t>-693.979534043479 259.494623266785 -261.72216536694</t>
  </si>
  <si>
    <t>-455.526648549355 265.75455294186 -227.782155300948</t>
  </si>
  <si>
    <t>-792.638393980005 37.9509780926023 -553.227775043709</t>
  </si>
  <si>
    <t>-623.016733289377 25.0216273641727 -317.63642934182</t>
  </si>
  <si>
    <t>-783.916652967317 179.489863656773 -97.0221762336573</t>
  </si>
  <si>
    <t>-777.903632480928 181.498824281577 306.48054459562</t>
  </si>
  <si>
    <t>-857.858526601499 204.594310312166 746.719647391068</t>
  </si>
  <si>
    <t>-712.710245115967 223.427651335633 807.255481205509</t>
  </si>
  <si>
    <t>-684.245887429794 -7.26408102992468 306.153083142694</t>
  </si>
  <si>
    <t>-691.33736175433 -17.7109614352576 753.855299343686</t>
  </si>
  <si>
    <t>-589.36042224668 -113.237557212899 828.438541794137</t>
  </si>
  <si>
    <t>9763-20170724T105136.310746700.bin</t>
  </si>
  <si>
    <t>-762.087439916801 85.7201339900514 -94.1738779988798</t>
  </si>
  <si>
    <t>-780.428550776329 79.4413312931038 -208.368496431566</t>
  </si>
  <si>
    <t>-788.399888918284 75.2266281589953 -306.579199219883</t>
  </si>
  <si>
    <t>-793.07126010823 71.6275043809828 -395.480644527253</t>
  </si>
  <si>
    <t>-794.850799493071 68.188482550557 -484.493277289053</t>
  </si>
  <si>
    <t>-794.300783775321 63.4573687616785 -608.984760506568</t>
  </si>
  <si>
    <t>-763.286255795986 59.8532065620832 -685.992086426365</t>
  </si>
  <si>
    <t>-795.869217147436 93.1963597975268 -555.259065269924</t>
  </si>
  <si>
    <t>-793.463966644654 229.440764145965 -537.114059355194</t>
  </si>
  <si>
    <t>-694.285355644153 259.403692772954 -261.692398387998</t>
  </si>
  <si>
    <t>-455.845206367749 265.613985634118 -227.655063695369</t>
  </si>
  <si>
    <t>-793.216463881405 37.8822439514247 -553.145296041151</t>
  </si>
  <si>
    <t>-623.442485334184 24.8988656159452 -317.556243233509</t>
  </si>
  <si>
    <t>-784.062554330725 179.410247683403 -96.9040718031891</t>
  </si>
  <si>
    <t>-777.542561267833 181.286825783881 306.591496766311</t>
  </si>
  <si>
    <t>-857.819744149241 204.510807163027 746.787240189323</t>
  </si>
  <si>
    <t>-712.670921201862 223.417906206846 807.29850588318</t>
  </si>
  <si>
    <t>-684.227759654367 -7.4825348369352 306.157110656371</t>
  </si>
  <si>
    <t>-691.390718438514 -17.7437425365717 753.860697820977</t>
  </si>
  <si>
    <t>-589.127607732389 -112.965559865962 828.441906706259</t>
  </si>
  <si>
    <t>9763-20170724T105136.343326500.bin</t>
  </si>
  <si>
    <t>-762.078305301649 85.4776321623815 -94.1184272674121</t>
  </si>
  <si>
    <t>-780.449182626341 79.2176346638321 -208.309287952256</t>
  </si>
  <si>
    <t>-788.455305213414 75.0101781295048 -306.517486017397</t>
  </si>
  <si>
    <t>-793.161893211003 71.4142735134965 -395.417168443242</t>
  </si>
  <si>
    <t>-794.98091786694 67.9754353022836 -484.429036880113</t>
  </si>
  <si>
    <t>-794.490133893667 63.2413113463833 -608.920576169654</t>
  </si>
  <si>
    <t>-763.550910008849 59.6182391701523 -685.957431512854</t>
  </si>
  <si>
    <t>-796.029702259346 92.9816962016839 -555.194946124842</t>
  </si>
  <si>
    <t>-793.588193140745 229.229122644455 -537.061788531711</t>
  </si>
  <si>
    <t>-694.353898716083 259.148098906133 -261.655662046271</t>
  </si>
  <si>
    <t>-455.919601498214 265.336319759577 -227.572743556462</t>
  </si>
  <si>
    <t>-793.382367362974 37.6673903354981 -553.081105107147</t>
  </si>
  <si>
    <t>-623.501623012344 24.6653997382118 -317.537114551378</t>
  </si>
  <si>
    <t>-783.996784343008 179.12883213509 -96.8165389882026</t>
  </si>
  <si>
    <t>-777.155965287212 180.999171272939 306.67371394694</t>
  </si>
  <si>
    <t>-857.797407514985 204.434597705819 746.801935695854</t>
  </si>
  <si>
    <t>-712.622290017262 223.175998253766 807.301959918182</t>
  </si>
  <si>
    <t>-684.08358361586 -7.64231007434569 306.162387765056</t>
  </si>
  <si>
    <t>-691.43400523399 -17.7938095029338 753.863463159357</t>
  </si>
  <si>
    <t>-589.283829998884 -113.122960928361 828.462311219676</t>
  </si>
  <si>
    <t>9763-20170724T105136.409607900.bin</t>
  </si>
  <si>
    <t>-761.977650452811 84.8941410744173 -93.9680470277328</t>
  </si>
  <si>
    <t>-780.386753212797 78.6341076027265 -208.152683896547</t>
  </si>
  <si>
    <t>-788.454822346913 74.4316566950754 -306.356151608635</t>
  </si>
  <si>
    <t>-793.229262551871 70.8422932523758 -395.252523164161</t>
  </si>
  <si>
    <t>-795.127625677154 67.4123257383978 -484.262935501919</t>
  </si>
  <si>
    <t>-794.760062586514 62.6933742852214 -608.755548970085</t>
  </si>
  <si>
    <t>-764.009141092026 59.0531399599834 -685.867022609123</t>
  </si>
  <si>
    <t>-796.252151091697 92.427041595203 -555.024938397796</t>
  </si>
  <si>
    <t>-793.776385731008 228.66411391614 -536.866822630043</t>
  </si>
  <si>
    <t>-694.37654242058 258.563383709956 -261.518048928492</t>
  </si>
  <si>
    <t>-455.933520389939 264.784191626959 -227.502575196709</t>
  </si>
  <si>
    <t>-793.591595694474 37.1128705354986 -552.920237490389</t>
  </si>
  <si>
    <t>-623.518683056219 24.3785827162155 -317.461950413848</t>
  </si>
  <si>
    <t>-783.874789081315 178.541662365224 -96.6288162902874</t>
  </si>
  <si>
    <t>-776.179860475569 180.269688967409 306.84661222198</t>
  </si>
  <si>
    <t>-857.772073864881 204.323140992177 746.769446110286</t>
  </si>
  <si>
    <t>-712.57901189108 223.030407407909 807.236813684021</t>
  </si>
  <si>
    <t>-683.885964891688 -8.03575077379469 306.23308104744</t>
  </si>
  <si>
    <t>-691.504483674958 -17.8491679089921 753.899754550992</t>
  </si>
  <si>
    <t>-589.148991264116 -112.965162065675 828.489099756223</t>
  </si>
  <si>
    <t>9763-20170724T105136.443200000.bin</t>
  </si>
  <si>
    <t>-761.924710745226 84.617473630522 -93.8972871649045</t>
  </si>
  <si>
    <t>-780.37039934902 78.3604166089706 -208.076197592457</t>
  </si>
  <si>
    <t>-788.458902661294 74.1630046222112 -306.27821902676</t>
  </si>
  <si>
    <t>-793.247413167711 70.5787538149762 -395.173979379461</t>
  </si>
  <si>
    <t>-795.154983267877 67.1548640682172 -484.184462736715</t>
  </si>
  <si>
    <t>-794.79571160641 62.4450796141157 -608.677498993099</t>
  </si>
  <si>
    <t>-764.091276572819 58.8063004014807 -685.807421512507</t>
  </si>
  <si>
    <t>-796.29097876933 92.1744698786551 -554.944473677648</t>
  </si>
  <si>
    <t>-793.819217597288 228.420145377822 -536.773965537969</t>
  </si>
  <si>
    <t>-694.292796360362 258.245629864206 -261.462879513463</t>
  </si>
  <si>
    <t>-455.847219616061 264.522964567786 -227.475266123635</t>
  </si>
  <si>
    <t>-793.616648120517 36.8607556486186 -552.844175060995</t>
  </si>
  <si>
    <t>-623.486687118396 24.3738683379129 -317.414569603929</t>
  </si>
  <si>
    <t>-783.769376997585 178.221809578224 -96.5576749718571</t>
  </si>
  <si>
    <t>-775.763592200149 179.978697378102 306.911685040943</t>
  </si>
  <si>
    <t>-857.772479220378 204.30736880113 746.730586974765</t>
  </si>
  <si>
    <t>-712.589552548557 223.145054308048 807.181845318569</t>
  </si>
  <si>
    <t>-683.828219024285 -8.19926698594895 306.272503580425</t>
  </si>
  <si>
    <t>-691.516182419824 -17.8484361994535 753.919030096879</t>
  </si>
  <si>
    <t>-589.048401884322 -112.847979578771 828.50282875869</t>
  </si>
  <si>
    <t>9763-20170724T105136.508433900.bin</t>
  </si>
  <si>
    <t>-761.80978922015 84.2940910965381 -93.8436195044319</t>
  </si>
  <si>
    <t>-780.334048117371 78.0426978729274 -208.01008717363</t>
  </si>
  <si>
    <t>-788.484583866083 73.8382942971755 -306.206593650547</t>
  </si>
  <si>
    <t>-793.326970690945 70.243468857512 -395.099113650555</t>
  </si>
  <si>
    <t>-795.287095128482 66.8044073851884 -484.108001159449</t>
  </si>
  <si>
    <t>-794.99914457156 62.0689218371324 -608.600117120046</t>
  </si>
  <si>
    <t>-764.390949794641 58.4167924217311 -685.767648090076</t>
  </si>
  <si>
    <t>-796.474987632822 91.8087338350933 -554.872301288943</t>
  </si>
  <si>
    <t>-794.052737730208 228.050791766086 -536.710604550753</t>
  </si>
  <si>
    <t>-694.398509441426 257.982100701077 -261.4572730108</t>
  </si>
  <si>
    <t>-455.938464813795 264.323423406463 -227.583034288807</t>
  </si>
  <si>
    <t>-793.776852962165 36.4965859779188 -552.762120740464</t>
  </si>
  <si>
    <t>-623.524870479065 24.2012856869294 -317.390084179663</t>
  </si>
  <si>
    <t>-783.689626913577 177.858365760169 -96.4829233606259</t>
  </si>
  <si>
    <t>-775.222595732604 179.539817749439 306.977353813733</t>
  </si>
  <si>
    <t>-857.737789773627 204.184756281548 746.661892461902</t>
  </si>
  <si>
    <t>-712.547751561451 223.016275378196 807.098112381692</t>
  </si>
  <si>
    <t>-683.528159341254 -8.22555551231994 306.287585468471</t>
  </si>
  <si>
    <t>-691.401637038768 -17.594567720495 753.924484568482</t>
  </si>
  <si>
    <t>-589.523809304219 -113.193466215778 828.550619550237</t>
  </si>
  <si>
    <t>9763-20170724T105136.541518500.bin</t>
  </si>
  <si>
    <t>-761.815836098745 84.1388244910097 -93.8437719704506</t>
  </si>
  <si>
    <t>-780.359896103049 77.8909751404028 -208.00731281161</t>
  </si>
  <si>
    <t>-788.525501804232 73.6802770288293 -306.202161594243</t>
  </si>
  <si>
    <t>-793.381338423056 70.0759129602379 -395.093490041484</t>
  </si>
  <si>
    <t>-795.354433748769 66.6236938647103 -484.101603108769</t>
  </si>
  <si>
    <t>-795.084537441517 61.866108435913 -608.593037426899</t>
  </si>
  <si>
    <t>-764.486533018832 58.2005462559614 -685.764038556665</t>
  </si>
  <si>
    <t>-796.558490606869 91.615285121766 -554.870281311338</t>
  </si>
  <si>
    <t>-794.161826685995 227.857020162566 -536.724299290661</t>
  </si>
  <si>
    <t>-694.496634250981 257.838999008815 -261.480529604837</t>
  </si>
  <si>
    <t>-456.028778039976 264.179736578472 -227.660675807894</t>
  </si>
  <si>
    <t>-793.848041280172 36.3041274127968 -552.750658565304</t>
  </si>
  <si>
    <t>-623.601730410469 24.0760509543288 -317.400224797583</t>
  </si>
  <si>
    <t>-783.633790687895 177.666495835455 -96.4856275101241</t>
  </si>
  <si>
    <t>-775.227967922414 179.453532188383 306.975432702326</t>
  </si>
  <si>
    <t>-857.737583566653 204.2115472504 746.637528085017</t>
  </si>
  <si>
    <t>-712.566386779207 223.201319739886 807.069340335597</t>
  </si>
  <si>
    <t>-683.524533412057 -8.36344290395755 306.285326752856</t>
  </si>
  <si>
    <t>-691.462124233311 -17.6842234986277 753.933215903427</t>
  </si>
  <si>
    <t>-589.329862129481 -113.024922355551 828.541954015515</t>
  </si>
  <si>
    <t>9763-20170724T105136.613219700.bin</t>
  </si>
  <si>
    <t>-761.92825641626 83.8607053887986 -93.844172710291</t>
  </si>
  <si>
    <t>-780.476463637718 77.6116956631436 -208.007051585449</t>
  </si>
  <si>
    <t>-788.651013922216 73.3948043180478 -306.200947907031</t>
  </si>
  <si>
    <t>-793.517090680624 69.7836356413325 -395.091508060588</t>
  </si>
  <si>
    <t>-795.502761704632 66.3233735099582 -484.098863172381</t>
  </si>
  <si>
    <t>-795.253067479309 61.5540823563015 -608.589916722898</t>
  </si>
  <si>
    <t>-764.66822691274 57.8714368181973 -685.765172441099</t>
  </si>
  <si>
    <t>-796.731939339989 91.3076108275789 -554.86966077695</t>
  </si>
  <si>
    <t>-794.418746227022 227.557418611628 -536.752481891765</t>
  </si>
  <si>
    <t>-694.747440015197 257.64529774738 -261.522507400514</t>
  </si>
  <si>
    <t>-456.282566505056 264.047583815644 -227.693666516761</t>
  </si>
  <si>
    <t>-793.993927618258 35.9979893033726 -552.745296116528</t>
  </si>
  <si>
    <t>-623.763823801142 23.8597514922881 -317.338941867963</t>
  </si>
  <si>
    <t>-783.676650993525 177.414900109064 -96.4946044955353</t>
  </si>
  <si>
    <t>-775.2371164925 179.32419123021 306.965164493861</t>
  </si>
  <si>
    <t>-857.712844503037 204.163414295468 746.615868972792</t>
  </si>
  <si>
    <t>-712.544900396269 223.182073182429 807.046356612443</t>
  </si>
  <si>
    <t>-683.6149584887 -8.63998111807246 306.284424304693</t>
  </si>
  <si>
    <t>-691.603198939012 -17.8827199606478 753.947298025931</t>
  </si>
  <si>
    <t>-589.102924533966 -112.85169462192 828.525240315685</t>
  </si>
  <si>
    <t>9763-20170724T105136.642296200.bin</t>
  </si>
  <si>
    <t>-762.05387539437 83.8598836539168 -93.8464831751066</t>
  </si>
  <si>
    <t>-780.605159983724 77.6130392585021 -208.008818655254</t>
  </si>
  <si>
    <t>-788.783200376192 73.382039415553 -306.201882060767</t>
  </si>
  <si>
    <t>-793.653263095943 69.7517873254637 -395.091348342086</t>
  </si>
  <si>
    <t>-795.644137487136 66.2665451858863 -484.097789637048</t>
  </si>
  <si>
    <t>-795.402692648781 61.4565226665497 -608.587194047539</t>
  </si>
  <si>
    <t>-764.818705235688 57.7593616173915 -685.762309961106</t>
  </si>
  <si>
    <t>-796.886149243585 91.2272981344499 -554.876729067256</t>
  </si>
  <si>
    <t>-794.637325457629 227.485971137941 -536.79233900805</t>
  </si>
  <si>
    <t>-694.998319977626 257.5108471099 -261.543814252226</t>
  </si>
  <si>
    <t>-456.539266863466 263.902794720957 -227.671021112269</t>
  </si>
  <si>
    <t>-794.131817768012 35.9191160506341 -552.734398263254</t>
  </si>
  <si>
    <t>-624.035210171111 23.9751149864424 -317.25188003017</t>
  </si>
  <si>
    <t>-783.826020397164 177.380205846522 -96.4988014120601</t>
  </si>
  <si>
    <t>-775.226392773918 179.307682621476 306.957556469678</t>
  </si>
  <si>
    <t>-857.699421584852 204.150220190246 746.609208256935</t>
  </si>
  <si>
    <t>-712.531117851069 223.1650480792 807.040047942888</t>
  </si>
  <si>
    <t>-683.649199813345 -8.56003869204164 306.277071427872</t>
  </si>
  <si>
    <t>-691.542210777422 -17.7398513082248 753.942870475585</t>
  </si>
  <si>
    <t>-589.386804153612 -113.067717335969 828.536248659902</t>
  </si>
  <si>
    <t>9763-20170724T105136.710017000.bin</t>
  </si>
  <si>
    <t>-762.373339091818 83.9185934997859 -93.8647330437008</t>
  </si>
  <si>
    <t>-780.838093095163 77.6873056489733 -208.042079096754</t>
  </si>
  <si>
    <t>-788.885093670751 73.4234899104144 -306.244418402109</t>
  </si>
  <si>
    <t>-793.614698043653 69.7443609894008 -395.139432172419</t>
  </si>
  <si>
    <t>-795.443802380513 66.1912958496137 -484.146693694957</t>
  </si>
  <si>
    <t>-794.954886985435 61.2656139600447 -608.630803354391</t>
  </si>
  <si>
    <t>-764.275807219192 57.5224621990581 -685.765844614802</t>
  </si>
  <si>
    <t>-796.567737665489 91.0849786138144 -554.951213917688</t>
  </si>
  <si>
    <t>-794.491424355018 227.342762654398 -536.868838169678</t>
  </si>
  <si>
    <t>-694.988629572756 257.332977724159 -261.567179254408</t>
  </si>
  <si>
    <t>-456.531683063581 263.77679107098 -227.69056923399</t>
  </si>
  <si>
    <t>-793.772445678573 35.7811455889869 -552.751895770506</t>
  </si>
  <si>
    <t>-623.675632727206 23.8456187627933 -317.013499878718</t>
  </si>
  <si>
    <t>-784.178321169968 177.376616951318 -96.5323436524484</t>
  </si>
  <si>
    <t>-775.50731164427 179.414319091466 306.921944743792</t>
  </si>
  <si>
    <t>-857.670292817974 204.098048064721 746.625714156444</t>
  </si>
  <si>
    <t>-712.486577238317 222.998871939095 807.055373513236</t>
  </si>
  <si>
    <t>-683.948778906982 -8.43088113257386 306.273206867133</t>
  </si>
  <si>
    <t>-691.549588443291 -17.6592286694397 753.955440015959</t>
  </si>
  <si>
    <t>-589.504989625979 -113.12261782015 828.527173310152</t>
  </si>
  <si>
    <t>9763-20170724T105136.745113700.bin</t>
  </si>
  <si>
    <t>-762.499990871818 84.0220221464051 -93.8689414959155</t>
  </si>
  <si>
    <t>-780.922402077441 77.787893086087 -208.052829359792</t>
  </si>
  <si>
    <t>-788.889756252511 73.4989823268768 -306.260760155483</t>
  </si>
  <si>
    <t>-793.530484189726 69.7870191586353 -395.159177562826</t>
  </si>
  <si>
    <t>-795.254072765187 66.1898426132329 -484.166605587765</t>
  </si>
  <si>
    <t>-794.600735994045 61.1907951471419 -608.647094290291</t>
  </si>
  <si>
    <t>-763.810731760873 57.4450973273449 -685.737932176232</t>
  </si>
  <si>
    <t>-796.288495042716 91.0416798113788 -554.987282907596</t>
  </si>
  <si>
    <t>-794.215244673794 227.303041284099 -536.919671386058</t>
  </si>
  <si>
    <t>-694.766421590759 257.233254222506 -261.591936085804</t>
  </si>
  <si>
    <t>-456.310886406086 263.709494575763 -227.710692393997</t>
  </si>
  <si>
    <t>-793.488039684362 35.7395726358136 -552.75153296552</t>
  </si>
  <si>
    <t>-623.426598996321 23.835059607319 -316.891210122393</t>
  </si>
  <si>
    <t>-784.303444130174 177.435617804525 -96.5397972855084</t>
  </si>
  <si>
    <t>-775.677861179479 179.553011503263 306.915049339796</t>
  </si>
  <si>
    <t>-857.659902572477 204.115589838947 746.645197298149</t>
  </si>
  <si>
    <t>-712.472228995212 222.978403792758 807.077238431953</t>
  </si>
  <si>
    <t>-684.101891374292 -8.39368304685013 306.280886709737</t>
  </si>
  <si>
    <t>-691.581212481111 -17.662718797118 753.97159743194</t>
  </si>
  <si>
    <t>-589.46994687612 -113.07778974745 828.513709264819</t>
  </si>
  <si>
    <t>9763-20170724T105136.810314100.bin</t>
  </si>
  <si>
    <t>-762.696013231249 84.1128032131978 -93.8680346801508</t>
  </si>
  <si>
    <t>-781.132460712212 77.8590645815307 -208.048693017416</t>
  </si>
  <si>
    <t>-789.085753218104 73.5195598983698 -306.255391328733</t>
  </si>
  <si>
    <t>-793.704076185177 69.7472104871856 -395.152384372893</t>
  </si>
  <si>
    <t>-795.396047868565 66.0748784282216 -484.157494103443</t>
  </si>
  <si>
    <t>-794.689067714456 60.9542380016101 -608.632734726899</t>
  </si>
  <si>
    <t>-763.535840730085 57.261602983906 -685.579946201419</t>
  </si>
  <si>
    <t>-796.396027984666 90.8577667398174 -555.002738860912</t>
  </si>
  <si>
    <t>-794.298446106375 227.12223450277 -536.978083692717</t>
  </si>
  <si>
    <t>-694.787595538143 257.063966954365 -261.673934343825</t>
  </si>
  <si>
    <t>-456.355370607293 263.546195063705 -227.631354084278</t>
  </si>
  <si>
    <t>-793.604402012237 35.5574721714904 -552.711865307576</t>
  </si>
  <si>
    <t>-623.488471327843 23.8413636832313 -316.483682779587</t>
  </si>
  <si>
    <t>-784.53819378378 177.507540802052 -96.5536324220154</t>
  </si>
  <si>
    <t>-775.774348714531 179.631087260768 306.898187678144</t>
  </si>
  <si>
    <t>-857.62819259914 204.059424818133 746.681832188902</t>
  </si>
  <si>
    <t>-712.420123622273 222.775874507714 807.110116858144</t>
  </si>
  <si>
    <t>-684.3274861065 -8.26169878358769 306.297215822612</t>
  </si>
  <si>
    <t>-691.686074200544 -17.7529459967739 754.006787683606</t>
  </si>
  <si>
    <t>-589.423307294726 -113.047765377609 828.495300778569</t>
  </si>
  <si>
    <t>9763-20170724T105136.845911100.bin</t>
  </si>
  <si>
    <t>-762.793248736976 84.0445947466339 -93.8519756070041</t>
  </si>
  <si>
    <t>-781.287788515427 77.7826066458983 -208.022827435759</t>
  </si>
  <si>
    <t>-789.292564588644 73.4388226447247 -306.225178692807</t>
  </si>
  <si>
    <t>-793.95782491879 69.6640190513403 -395.119616449006</t>
  </si>
  <si>
    <t>-795.697488420886 65.9907401632765 -484.123647500766</t>
  </si>
  <si>
    <t>-795.05763792803 60.8704487847754 -608.599361135101</t>
  </si>
  <si>
    <t>-763.732543712657 57.2399811032474 -685.479687392872</t>
  </si>
  <si>
    <t>-796.732405851393 90.7739608840302 -554.968412663638</t>
  </si>
  <si>
    <t>-794.614269890026 227.034103494512 -536.932396365976</t>
  </si>
  <si>
    <t>-694.988510883105 256.884362872359 -261.66008570837</t>
  </si>
  <si>
    <t>-456.544896443806 263.364348032587 -227.696411156353</t>
  </si>
  <si>
    <t>-793.946027339408 35.4732885909452 -552.679179247313</t>
  </si>
  <si>
    <t>-623.817017705824 23.7854506549256 -316.420010231997</t>
  </si>
  <si>
    <t>-784.640075649599 177.424145336133 -96.5311755497312</t>
  </si>
  <si>
    <t>-775.742182316926 179.566785292726 306.917571537021</t>
  </si>
  <si>
    <t>-857.611833752837 204.008850483283 746.700822375204</t>
  </si>
  <si>
    <t>-712.346692667621 222.28236078722 807.127907076237</t>
  </si>
  <si>
    <t>-684.396492842672 -8.21054965081112 306.307175469321</t>
  </si>
  <si>
    <t>-691.665667898641 -17.6642134208166 754.014179332517</t>
  </si>
  <si>
    <t>-589.557997361386 -113.132220243528 828.493634594967</t>
  </si>
  <si>
    <t>9763-20170724T105136.908613500.bin</t>
  </si>
  <si>
    <t>-763.033614686367 83.8546183988778 -93.8108983069201</t>
  </si>
  <si>
    <t>-781.648780075158 77.5817515537121 -207.961447143521</t>
  </si>
  <si>
    <t>-789.786654449081 73.2550580382947 -306.153700136769</t>
  </si>
  <si>
    <t>-794.583971107663 69.5077972202291 -395.042363179959</t>
  </si>
  <si>
    <t>-796.4664885113 65.8744358707606 -484.045065022893</t>
  </si>
  <si>
    <t>-796.037459788169 60.8239452584999 -608.524523961832</t>
  </si>
  <si>
    <t>-764.469823979168 57.3403277247533 -685.312323088352</t>
  </si>
  <si>
    <t>-797.604678622573 90.6982975425929 -554.874018152365</t>
  </si>
  <si>
    <t>-795.391978864201 226.952446238782 -536.765163142702</t>
  </si>
  <si>
    <t>-695.371957751958 256.543630797836 -261.607823812486</t>
  </si>
  <si>
    <t>-456.906547878317 263.017526413328 -227.796999911806</t>
  </si>
  <si>
    <t>-794.847762898707 35.3945537998331 -552.620578962307</t>
  </si>
  <si>
    <t>-624.513821198815 23.633310150379 -316.59586845909</t>
  </si>
  <si>
    <t>-784.798614682682 177.250163501559 -96.488766152891</t>
  </si>
  <si>
    <t>-775.707873030206 179.386811518027 306.955771144485</t>
  </si>
  <si>
    <t>-857.59211770304 203.930754332445 746.735219767885</t>
  </si>
  <si>
    <t>-712.353089919861 222.527321290421 807.126404017271</t>
  </si>
  <si>
    <t>-684.592296559302 -8.34247409238105 306.337153432304</t>
  </si>
  <si>
    <t>-691.753505090142 -17.7232496401618 754.045302369845</t>
  </si>
  <si>
    <t>-589.327113830543 -112.893107121889 828.468361097976</t>
  </si>
  <si>
    <t>9763-20170724T105136.941701400.bin</t>
  </si>
  <si>
    <t>-763.159379785746 83.83467685545 -93.7996024345931</t>
  </si>
  <si>
    <t>-781.806852853409 77.5549071221005 -207.944394233754</t>
  </si>
  <si>
    <t>-790.001784374468 73.2453495604539 -306.132628212074</t>
  </si>
  <si>
    <t>-794.862173720534 69.5242495352004 -395.018992894902</t>
  </si>
  <si>
    <t>-796.818768895664 65.9279083049075 -484.021720555849</t>
  </si>
  <si>
    <t>-796.504606849743 60.9404279615781 -608.503957777815</t>
  </si>
  <si>
    <t>-764.897166411722 57.5427519486962 -685.27936224827</t>
  </si>
  <si>
    <t>-798.009918077997 90.7880361101595 -554.836879478721</t>
  </si>
  <si>
    <t>-795.752111274962 227.029658064577 -536.675901649173</t>
  </si>
  <si>
    <t>-695.59141468622 256.52615425934 -261.559653382062</t>
  </si>
  <si>
    <t>-457.114126186899 263.00608372084 -227.83284158107</t>
  </si>
  <si>
    <t>-795.275564294043 35.482265793818 -552.614125184415</t>
  </si>
  <si>
    <t>-624.882063760627 23.6146009324937 -316.714011344663</t>
  </si>
  <si>
    <t>-784.893928522297 177.207763169755 -96.4865387356274</t>
  </si>
  <si>
    <t>-775.757465685275 179.376846808563 306.956708755512</t>
  </si>
  <si>
    <t>-857.588012973741 203.914416200731 746.753855816411</t>
  </si>
  <si>
    <t>-712.380811382194 222.827645075153 807.123294180974</t>
  </si>
  <si>
    <t>-684.706354682726 -8.32603598265337 306.357232071867</t>
  </si>
  <si>
    <t>-691.729007182608 -17.6168274143595 754.059205711742</t>
  </si>
  <si>
    <t>-589.540748085247 -113.046413124734 828.477201286398</t>
  </si>
  <si>
    <t>9763-20170724T105137.016959100.bin</t>
  </si>
  <si>
    <t>-763.270449101195 83.7944602045493 -93.7714641093477</t>
  </si>
  <si>
    <t>-781.961890824051 77.5134157326829 -207.909129172765</t>
  </si>
  <si>
    <t>-790.193445501028 73.2871765395621 -306.09787307012</t>
  </si>
  <si>
    <t>-795.084511621425 69.6761017949536 -394.987073601863</t>
  </si>
  <si>
    <t>-797.06831744563 66.2247197567622 -483.99495503335</t>
  </si>
  <si>
    <t>-796.787381402506 61.4768184902323 -608.486644975517</t>
  </si>
  <si>
    <t>-765.154108900638 58.2493255637894 -685.258676127033</t>
  </si>
  <si>
    <t>-798.26179029884 91.2220485214696 -554.761821690494</t>
  </si>
  <si>
    <t>-795.983826214868 227.438324234035 -536.407516674021</t>
  </si>
  <si>
    <t>-695.819079805227 256.477694576856 -261.2440848439</t>
  </si>
  <si>
    <t>-457.325213082803 263.055858512276 -227.65367227297</t>
  </si>
  <si>
    <t>-795.56013342122 35.9101910275429 -552.646150971757</t>
  </si>
  <si>
    <t>-625.1310227745 23.6899613772493 -316.699820944641</t>
  </si>
  <si>
    <t>-784.905011521692 177.100211972701 -96.4618387503921</t>
  </si>
  <si>
    <t>-775.782274681702 179.233011796289 306.981979951577</t>
  </si>
  <si>
    <t>-857.54314636694 203.739709730359 746.794513195194</t>
  </si>
  <si>
    <t>-712.291238201192 222.38342138709 807.140294520469</t>
  </si>
  <si>
    <t>-684.8940811758 -8.21784596498151 306.400492877114</t>
  </si>
  <si>
    <t>-691.705138088113 -17.474802243124 754.097599197302</t>
  </si>
  <si>
    <t>-589.936515329724 -113.363653130922 828.500118896541</t>
  </si>
  <si>
    <t>9763-20170724T105137.041040400.bin</t>
  </si>
  <si>
    <t>-763.292148877696 83.6416905058447 -93.7473052533137</t>
  </si>
  <si>
    <t>-781.99741330828 77.3616078396271 -207.882678079464</t>
  </si>
  <si>
    <t>-790.202733013911 73.1910216411454 -306.076140927349</t>
  </si>
  <si>
    <t>-795.053744886794 69.6521227166036 -394.97033574223</t>
  </si>
  <si>
    <t>-796.980213877727 66.2943825794882 -483.982995394909</t>
  </si>
  <si>
    <t>-796.600457694196 61.6996304602453 -608.480288711364</t>
  </si>
  <si>
    <t>-764.951973890038 58.554640547452 -685.249367311961</t>
  </si>
  <si>
    <t>-798.122929432726 91.3783894455642 -554.720029641756</t>
  </si>
  <si>
    <t>-795.854682780221 227.581701165785 -536.254005920993</t>
  </si>
  <si>
    <t>-695.809326757861 256.330267903669 -261.01650202133</t>
  </si>
  <si>
    <t>-457.321671940632 262.996077878189 -227.399543814211</t>
  </si>
  <si>
    <t>-795.412191130241 36.0646356624875 -552.67036342143</t>
  </si>
  <si>
    <t>-625.106657641049 23.5971783298776 -316.669205986906</t>
  </si>
  <si>
    <t>-784.875426438377 176.921788296882 -96.4378681950585</t>
  </si>
  <si>
    <t>-775.68863099868 179.053633899178 307.004468522206</t>
  </si>
  <si>
    <t>-857.522260938074 203.657327446591 746.802690139015</t>
  </si>
  <si>
    <t>-712.257948599189 222.257968790193 807.131877202342</t>
  </si>
  <si>
    <t>-684.973503741769 -8.34395823684235 306.420031067134</t>
  </si>
  <si>
    <t>-691.803909456628 -17.6248510792529 754.117710557791</t>
  </si>
  <si>
    <t>-589.706168331252 -113.187664714247 828.489050910612</t>
  </si>
  <si>
    <t>9763-20170724T105137.107204400.bin</t>
  </si>
  <si>
    <t>-763.310100394108 83.2465535853562 -93.7130232209443</t>
  </si>
  <si>
    <t>-782.0265346546 76.9893307952004 -207.847891809186</t>
  </si>
  <si>
    <t>-790.149022389589 72.9298889634229 -306.052826986378</t>
  </si>
  <si>
    <t>-794.885459780217 69.5270507998941 -394.958501020568</t>
  </si>
  <si>
    <t>-796.656793703393 66.3403778055583 -483.980757603602</t>
  </si>
  <si>
    <t>-796.016185124985 62.0207307771686 -608.486672983452</t>
  </si>
  <si>
    <t>-764.281750802022 59.025146300442 -685.226358782774</t>
  </si>
  <si>
    <t>-797.673897704634 91.5795546498077 -554.664511948206</t>
  </si>
  <si>
    <t>-795.469028156516 227.756905685769 -535.993674460951</t>
  </si>
  <si>
    <t>-695.759134603917 256.05601195141 -260.587958588609</t>
  </si>
  <si>
    <t>-457.291203432332 262.829931787579 -226.853579396398</t>
  </si>
  <si>
    <t>-794.92222621666 36.2635977998791 -552.731072542558</t>
  </si>
  <si>
    <t>-624.825168335158 23.4630723238199 -316.534037953297</t>
  </si>
  <si>
    <t>-784.824136351802 176.579105150331 -96.3857211737937</t>
  </si>
  <si>
    <t>-775.596149963541 178.719181326984 307.055647299489</t>
  </si>
  <si>
    <t>-857.494037844558 203.578020128764 746.815529774808</t>
  </si>
  <si>
    <t>-712.211219461198 222.07737623773 807.131067779717</t>
  </si>
  <si>
    <t>-685.054595907888 -8.54540692181376 306.434319127407</t>
  </si>
  <si>
    <t>-691.784442261398 -17.5299307996381 754.141134787865</t>
  </si>
  <si>
    <t>-589.752510918818 -113.172507661992 828.500309528066</t>
  </si>
  <si>
    <t>9763-20170724T105137.142297600.bin</t>
  </si>
  <si>
    <t>-763.285354752743 83.0162377168433 -93.6836458729143</t>
  </si>
  <si>
    <t>-781.993014334439 76.773655746922 -207.820827930564</t>
  </si>
  <si>
    <t>-790.07581215177 72.7548889396608 -306.030586562171</t>
  </si>
  <si>
    <t>-794.76299724045 69.3997524477861 -394.940734452041</t>
  </si>
  <si>
    <t>-796.471179087953 66.2715688098506 -483.966259035959</t>
  </si>
  <si>
    <t>-795.727798947674 62.0449882350117 -608.474738575202</t>
  </si>
  <si>
    <t>-763.928534620875 59.1131609859112 -685.1900223025</t>
  </si>
  <si>
    <t>-797.447685393897 91.5627660881851 -554.632053282422</t>
  </si>
  <si>
    <t>-795.31394207282 227.733514052735 -535.877807526832</t>
  </si>
  <si>
    <t>-695.674204979503 255.810765291243 -260.424026641798</t>
  </si>
  <si>
    <t>-457.21207922697 262.59739276843 -226.651023388024</t>
  </si>
  <si>
    <t>-794.662260412927 36.247117335186 -552.73755480695</t>
  </si>
  <si>
    <t>-624.569894707605 23.3954847418968 -316.480095124144</t>
  </si>
  <si>
    <t>-784.725501376857 176.370228647596 -96.3556003780062</t>
  </si>
  <si>
    <t>-775.590877935511 178.585394887926 307.087502766881</t>
  </si>
  <si>
    <t>-857.491882583758 203.5884417701 746.822905098726</t>
  </si>
  <si>
    <t>-712.234775582981 222.321815042645 807.128260313074</t>
  </si>
  <si>
    <t>-685.047984002803 -8.73393389308217 306.440156624332</t>
  </si>
  <si>
    <t>-691.848749847722 -17.6275044474821 754.151445266323</t>
  </si>
  <si>
    <t>-589.672623610707 -113.125099788891 828.498840632359</t>
  </si>
  <si>
    <t>9763-20170724T105137.211496300.bin</t>
  </si>
  <si>
    <t>-763.240768444949 82.7875354329253 -93.6569560966676</t>
  </si>
  <si>
    <t>-781.95580438715 76.5641138600054 -207.793798338347</t>
  </si>
  <si>
    <t>-789.981152929196 72.5898328943249 -306.010193641242</t>
  </si>
  <si>
    <t>-794.590060816725 69.2845967221606 -394.926249806064</t>
  </si>
  <si>
    <t>-796.193500329937 66.2161032715794 -483.955791885605</t>
  </si>
  <si>
    <t>-795.275006772213 62.0828189687495 -608.466436650605</t>
  </si>
  <si>
    <t>-763.363192533858 59.2496261045967 -685.138699845649</t>
  </si>
  <si>
    <t>-797.105458407471 91.558375038544 -554.604073288844</t>
  </si>
  <si>
    <t>-795.13772392092 227.712089559413 -535.729738108879</t>
  </si>
  <si>
    <t>-695.6361085281 255.49603443259 -260.196282291514</t>
  </si>
  <si>
    <t>-457.162188963533 262.386328859162 -226.527387881368</t>
  </si>
  <si>
    <t>-794.252879314478 36.24500414728 -552.746798582484</t>
  </si>
  <si>
    <t>-624.239824492041 23.511462586255 -316.431047849484</t>
  </si>
  <si>
    <t>-784.69952476345 176.143319489621 -96.3140700020392</t>
  </si>
  <si>
    <t>-775.608043578458 178.395243560283 307.129826572245</t>
  </si>
  <si>
    <t>-857.469236784212 203.555019985573 746.845861574119</t>
  </si>
  <si>
    <t>-712.217456014253 222.35461659795 807.14337554964</t>
  </si>
  <si>
    <t>-684.988352339532 -8.89294740390415 306.436639936428</t>
  </si>
  <si>
    <t>-691.820124927947 -17.5490712978042 754.149209947092</t>
  </si>
  <si>
    <t>-589.828802301594 -113.236722027566 828.506205761713</t>
  </si>
  <si>
    <t>9763-20170724T105137.244587600.bin</t>
  </si>
  <si>
    <t>-763.186149058038 82.6791235831613 -93.6552406117265</t>
  </si>
  <si>
    <t>-781.902938039926 76.4528203268908 -207.791706887285</t>
  </si>
  <si>
    <t>-789.916521488498 72.4860342817192 -306.009429346219</t>
  </si>
  <si>
    <t>-794.509279869679 69.1915382505686 -394.926678548854</t>
  </si>
  <si>
    <t>-796.090772784413 66.1376262535925 -483.957221281261</t>
  </si>
  <si>
    <t>-795.136066207507 62.0286756855944 -608.468259285195</t>
  </si>
  <si>
    <t>-763.198833863579 59.2374856544941 -685.131561910565</t>
  </si>
  <si>
    <t>-797.000530588582 91.4928189101011 -554.600763386257</t>
  </si>
  <si>
    <t>-795.119677580548 227.640978022537 -535.692955804815</t>
  </si>
  <si>
    <t>-695.637800458227 255.392827709927 -260.149229725587</t>
  </si>
  <si>
    <t>-457.163907183508 262.361728637531 -226.495937644754</t>
  </si>
  <si>
    <t>-794.111916850168 36.1808302869356 -552.753334245095</t>
  </si>
  <si>
    <t>-624.1603053076 23.5040121261434 -316.389781528722</t>
  </si>
  <si>
    <t>-784.677406218643 176.043324807503 -96.3036658351327</t>
  </si>
  <si>
    <t>-775.591446997584 178.309795711504 307.1402518417</t>
  </si>
  <si>
    <t>-857.470177328457 203.582870645756 746.850926512177</t>
  </si>
  <si>
    <t>-712.23383933362 222.5081610941 807.146197994749</t>
  </si>
  <si>
    <t>-684.926119583339 -8.94721346956612 306.435729033449</t>
  </si>
  <si>
    <t>-691.815296650533 -17.5267398143549 754.148793890895</t>
  </si>
  <si>
    <t>-589.849573645077 -113.241645414736 828.505686762066</t>
  </si>
  <si>
    <t>9763-20170724T105137.309292500.bin</t>
  </si>
  <si>
    <t>-763.089398367702 82.5140223140261 -93.6421283562316</t>
  </si>
  <si>
    <t>-781.795986654834 76.2834620187466 -207.780068957231</t>
  </si>
  <si>
    <t>-789.758010969741 72.3265894653603 -306.002278653523</t>
  </si>
  <si>
    <t>-794.286533292425 69.045781093311 -394.923450562025</t>
  </si>
  <si>
    <t>-795.786039606518 66.0104587527542 -483.955845750167</t>
  </si>
  <si>
    <t>-794.697920721609 61.9327743538515 -608.467054997282</t>
  </si>
  <si>
    <t>-762.741100646351 59.2191806890271 -685.124750227428</t>
  </si>
  <si>
    <t>-796.657705923078 91.3813559172238 -554.594382284139</t>
  </si>
  <si>
    <t>-794.987172071125 227.530091484192 -535.666655043058</t>
  </si>
  <si>
    <t>-695.618306456888 255.302722970482 -260.084177036162</t>
  </si>
  <si>
    <t>-457.139203397011 262.457499745382 -226.506714072234</t>
  </si>
  <si>
    <t>-793.695901194417 36.0728972886488 -552.757172024463</t>
  </si>
  <si>
    <t>-623.823513401447 23.4585434798478 -316.340448933961</t>
  </si>
  <si>
    <t>-784.563187100956 175.892318944499 -96.2767241495366</t>
  </si>
  <si>
    <t>-775.571102750284 178.245832128398 307.168776487964</t>
  </si>
  <si>
    <t>-857.460736631238 203.594781864956 746.858743987953</t>
  </si>
  <si>
    <t>-712.228770601166 222.550486727316 807.155037018889</t>
  </si>
  <si>
    <t>-684.847600945625 -9.09266028330558 306.449792730976</t>
  </si>
  <si>
    <t>-691.897475655641 -17.6451724901369 754.165323846677</t>
  </si>
  <si>
    <t>-589.873315656299 -113.310179012178 828.506413978181</t>
  </si>
  <si>
    <t>9763-20170724T105137.343380100.bin</t>
  </si>
  <si>
    <t>-763.075145810153 82.4507372026251 -93.6332007619644</t>
  </si>
  <si>
    <t>-781.780393061579 76.2201584960776 -207.771371044355</t>
  </si>
  <si>
    <t>-789.705197402555 72.2644936739714 -305.996621318434</t>
  </si>
  <si>
    <t>-794.185455663084 68.9846592666568 -394.920236556518</t>
  </si>
  <si>
    <t>-795.622447863032 65.9500178766239 -483.953855317045</t>
  </si>
  <si>
    <t>-794.431611869283 61.8728466928264 -608.463901218141</t>
  </si>
  <si>
    <t>-762.458355655985 59.1839053107262 -685.115808258263</t>
  </si>
  <si>
    <t>-796.452811814918 91.3204313862811 -554.592967982852</t>
  </si>
  <si>
    <t>-794.850817507815 227.470244981659 -535.662261211389</t>
  </si>
  <si>
    <t>-695.59754756611 255.218288233451 -260.035679237679</t>
  </si>
  <si>
    <t>-457.1138912727 262.3898620913 -226.495195414245</t>
  </si>
  <si>
    <t>-793.458580631692 36.0138130266801 -552.753392455317</t>
  </si>
  <si>
    <t>-623.605535236239 23.4748703439898 -316.294460134053</t>
  </si>
  <si>
    <t>-784.577106335119 175.874082700463 -96.2590537712498</t>
  </si>
  <si>
    <t>-775.495553722425 178.17584785482 307.184706088089</t>
  </si>
  <si>
    <t>-857.446961531562 203.562782099109 746.861151461703</t>
  </si>
  <si>
    <t>-712.209717152548 222.470523209174 807.159732948045</t>
  </si>
  <si>
    <t>-684.856470664194 -9.20533540678525 306.45279221875</t>
  </si>
  <si>
    <t>-691.963350840523 -17.763599510587 754.165996050983</t>
  </si>
  <si>
    <t>-589.537498989485 -113.014710431984 828.48584967989</t>
  </si>
  <si>
    <t>9763-20170724T105137.411835100.bin</t>
  </si>
  <si>
    <t>-763.050005011038 82.4663169679352 -93.6221192832179</t>
  </si>
  <si>
    <t>-781.736668171829 76.2433493146191 -207.763690546756</t>
  </si>
  <si>
    <t>-789.584598028132 72.278937434131 -305.994834543391</t>
  </si>
  <si>
    <t>-793.971071020089 68.9846556230714 -394.922595989882</t>
  </si>
  <si>
    <t>-795.290137880332 65.9293005933544 -483.957263884182</t>
  </si>
  <si>
    <t>-793.909995425149 61.8161360160709 -608.464248900819</t>
  </si>
  <si>
    <t>-761.892508580451 59.1387202453082 -685.098067305568</t>
  </si>
  <si>
    <t>-796.044477258932 91.2774698092032 -554.605209968527</t>
  </si>
  <si>
    <t>-794.563744548674 227.428186447799 -535.691669764298</t>
  </si>
  <si>
    <t>-695.542025309774 255.22096337302 -259.986246361126</t>
  </si>
  <si>
    <t>-457.054211935581 262.31541587439 -226.458809014145</t>
  </si>
  <si>
    <t>-792.990090443927 35.9749744220846 -552.744378296259</t>
  </si>
  <si>
    <t>-623.232521530618 23.5920937447981 -316.178155825709</t>
  </si>
  <si>
    <t>-784.54751462611 175.917295904608 -96.2576605455727</t>
  </si>
  <si>
    <t>-775.436604018241 178.146640267376 307.185925065257</t>
  </si>
  <si>
    <t>-857.442284276307 203.59505771284 746.851502336604</t>
  </si>
  <si>
    <t>-712.227096352749 222.679479497115 807.147919721264</t>
  </si>
  <si>
    <t>-684.833511880676 -9.16946439789513 306.461866233435</t>
  </si>
  <si>
    <t>-692.004821785213 -17.8284379391259 754.164942565229</t>
  </si>
  <si>
    <t>-589.642314215143 -113.138897181884 828.496169200434</t>
  </si>
  <si>
    <t>9763-20170724T105137.443919300.bin</t>
  </si>
  <si>
    <t>-763.013631021243 82.603167640018 -93.6361390567304</t>
  </si>
  <si>
    <t>-781.67443790404 76.3848388819956 -207.782270302011</t>
  </si>
  <si>
    <t>-789.501530951951 72.4108126766894 -306.014640768466</t>
  </si>
  <si>
    <t>-793.870263349607 69.1027128745511 -394.942684787656</t>
  </si>
  <si>
    <t>-795.172833323765 66.028286442657 -483.976852643254</t>
  </si>
  <si>
    <t>-793.770829764722 61.8833781009564 -608.482726975299</t>
  </si>
  <si>
    <t>-761.739962887868 59.1980307399997 -685.110710225981</t>
  </si>
  <si>
    <t>-795.921407762977 91.3580121105076 -554.63163642839</t>
  </si>
  <si>
    <t>-794.488027368478 227.513212053216 -535.723515390245</t>
  </si>
  <si>
    <t>-695.517896274215 255.288297365557 -259.997774666555</t>
  </si>
  <si>
    <t>-457.038408705694 262.379493147619 -226.410342486012</t>
  </si>
  <si>
    <t>-792.854021046711 36.0567100640601 -552.756015492116</t>
  </si>
  <si>
    <t>-623.111788929673 23.7538488837156 -316.174716111912</t>
  </si>
  <si>
    <t>-784.50655427264 176.010976072097 -96.2716419588386</t>
  </si>
  <si>
    <t>-775.506496506184 178.262569103952 307.174296536749</t>
  </si>
  <si>
    <t>-857.43845573251 203.614774036192 746.854926853399</t>
  </si>
  <si>
    <t>-712.243573259726 222.840395997367 807.155089990711</t>
  </si>
  <si>
    <t>-684.807739217965 -9.07327184468727 306.452447251687</t>
  </si>
  <si>
    <t>-691.949384157946 -17.7168405608293 754.159036378263</t>
  </si>
  <si>
    <t>-589.846474906041 -113.293384881169 828.505566293139</t>
  </si>
  <si>
    <t>9763-20170724T105137.513164600.bin</t>
  </si>
  <si>
    <t>-763.037278210719 82.7889990285498 -93.6591539426624</t>
  </si>
  <si>
    <t>-781.710292416133 76.555898768713 -207.802420949167</t>
  </si>
  <si>
    <t>-789.504802805682 72.5549937360072 -306.036251212277</t>
  </si>
  <si>
    <t>-793.827094586949 69.2161743479578 -394.96553459235</t>
  </si>
  <si>
    <t>-795.066273486953 66.1045812528512 -483.999421813929</t>
  </si>
  <si>
    <t>-793.558452263075 61.9004145292326 -608.501804535221</t>
  </si>
  <si>
    <t>-761.489698321951 59.1788475375129 -685.112633365871</t>
  </si>
  <si>
    <t>-795.757927825181 91.4003784229817 -554.66672910681</t>
  </si>
  <si>
    <t>-794.356981794141 227.5548117049 -535.779692986632</t>
  </si>
  <si>
    <t>-695.360926881039 255.323241901194 -260.062759595872</t>
  </si>
  <si>
    <t>-456.87728221921 262.41527964408 -226.504938887903</t>
  </si>
  <si>
    <t>-792.686030504319 36.1004117246605 -552.76221926521</t>
  </si>
  <si>
    <t>-622.849855024055 23.9146248595594 -316.159814142975</t>
  </si>
  <si>
    <t>-784.531799511137 176.158737113499 -96.2968483339282</t>
  </si>
  <si>
    <t>-775.567909548254 178.377784600599 307.150048832526</t>
  </si>
  <si>
    <t>-857.408069383151 203.562218087003 746.862211683952</t>
  </si>
  <si>
    <t>-712.176492051511 222.459466896617 807.177810514546</t>
  </si>
  <si>
    <t>-684.85056958364 -8.93692618736122 306.443040120648</t>
  </si>
  <si>
    <t>-691.940293692042 -17.6808796086052 754.156596128092</t>
  </si>
  <si>
    <t>-589.823041962483 -113.241149791444 828.504617762552</t>
  </si>
  <si>
    <t>9763-20170724T105137.544749200.bin</t>
  </si>
  <si>
    <t>-763.091519028056 82.844728730104 -93.6737695827137</t>
  </si>
  <si>
    <t>-781.775043641849 76.6016998999442 -207.814838596113</t>
  </si>
  <si>
    <t>-789.543422014082 72.5890424970039 -306.050272524682</t>
  </si>
  <si>
    <t>-793.828004541358 69.2375594541063 -394.980930955308</t>
  </si>
  <si>
    <t>-795.015548623101 66.1109609681139 -484.014789936854</t>
  </si>
  <si>
    <t>-793.420860673128 61.8827730809512 -608.515467427928</t>
  </si>
  <si>
    <t>-761.320889205526 59.1512040744237 -685.112847709508</t>
  </si>
  <si>
    <t>-795.660145622577 91.3931637924948 -554.687563821255</t>
  </si>
  <si>
    <t>-794.256634437832 227.553574631972 -535.823366773683</t>
  </si>
  <si>
    <t>-695.26096500999 255.318010140812 -260.105833669341</t>
  </si>
  <si>
    <t>-456.779619836559 262.398173223132 -226.528826826401</t>
  </si>
  <si>
    <t>-792.585210905846 36.0936185148028 -552.770219198758</t>
  </si>
  <si>
    <t>-622.768098617313 23.9449095747559 -316.178805057292</t>
  </si>
  <si>
    <t>-784.61490932638 176.248721604389 -96.3093976466438</t>
  </si>
  <si>
    <t>-775.568012793755 178.412749649266 307.136003301022</t>
  </si>
  <si>
    <t>-857.414502363911 203.619379890304 746.8599184831</t>
  </si>
  <si>
    <t>-712.205314814933 222.690802916429 807.174693676979</t>
  </si>
  <si>
    <t>-684.849723685985 -8.8292074289684 306.431461685698</t>
  </si>
  <si>
    <t>-691.884264564182 -17.5704518700293 754.146093123687</t>
  </si>
  <si>
    <t>-590.038348408796 -113.404847052919 828.513304239379</t>
  </si>
  <si>
    <t>9763-20170724T105137.610009100.bin</t>
  </si>
  <si>
    <t>-763.211919717068 82.8294708919814 -93.6820190283014</t>
  </si>
  <si>
    <t>-781.861055209706 76.6019561200726 -207.829433480455</t>
  </si>
  <si>
    <t>-789.597160925366 72.5753191876931 -306.066997817252</t>
  </si>
  <si>
    <t>-793.85219612535 69.2006038062982 -394.998121552107</t>
  </si>
  <si>
    <t>-795.009986026897 66.0403507490951 -484.031343368025</t>
  </si>
  <si>
    <t>-793.374032332297 61.754579825536 -608.529369072056</t>
  </si>
  <si>
    <t>-761.275098176445 59.004221276828 -685.126498775524</t>
  </si>
  <si>
    <t>-795.635351229274 91.2896077181574 -554.715958731652</t>
  </si>
  <si>
    <t>-794.31006592696 227.45069119629 -535.884965959112</t>
  </si>
  <si>
    <t>-695.323387205851 255.316354342682 -260.174354952386</t>
  </si>
  <si>
    <t>-456.839813943309 262.437330662121 -226.622125450417</t>
  </si>
  <si>
    <t>-792.552518597391 35.9916096886127 -552.771925817508</t>
  </si>
  <si>
    <t>-622.852171489804 23.7925504021973 -316.228106889867</t>
  </si>
  <si>
    <t>-784.717923921962 176.276101672402 -96.3236329219608</t>
  </si>
  <si>
    <t>-775.664330899084 178.423867681693 307.121686663586</t>
  </si>
  <si>
    <t>-857.407356251714 203.626419058598 746.865208907771</t>
  </si>
  <si>
    <t>-712.222409131835 222.901507134536 807.173759220401</t>
  </si>
  <si>
    <t>-684.994065194519 -8.85093171802077 306.439540387489</t>
  </si>
  <si>
    <t>-691.986482941074 -17.7302734897194 754.151046499222</t>
  </si>
  <si>
    <t>-589.925272511028 -113.344357677631 828.506356779851</t>
  </si>
  <si>
    <t>9763-20170724T105137.645108000.bin</t>
  </si>
  <si>
    <t>-763.207657070234 82.817015802161 -93.6819861006837</t>
  </si>
  <si>
    <t>-781.815915001677 76.595383529278 -207.836470673115</t>
  </si>
  <si>
    <t>-789.529255242035 72.5649431264269 -306.075592909071</t>
  </si>
  <si>
    <t>-793.768731201576 69.1839898002515 -395.007108040369</t>
  </si>
  <si>
    <t>-794.916344241173 66.0151076833056 -484.04023044437</t>
  </si>
  <si>
    <t>-793.271611696385 61.7152178154729 -608.537607322814</t>
  </si>
  <si>
    <t>-761.168241295434 58.9607846397191 -685.132837670504</t>
  </si>
  <si>
    <t>-795.543273085573 91.2559683618867 -554.727885089781</t>
  </si>
  <si>
    <t>-794.243099509721 227.424867903296 -535.900726361486</t>
  </si>
  <si>
    <t>-695.320768337556 255.237648495769 -260.161773136754</t>
  </si>
  <si>
    <t>-456.840515547218 262.408678676116 -226.595865614215</t>
  </si>
  <si>
    <t>-792.447374121848 35.9588058661134 -552.777242635673</t>
  </si>
  <si>
    <t>-622.776734440043 23.7255383526683 -316.198439464536</t>
  </si>
  <si>
    <t>-784.624235742284 176.22972596097 -96.3331664459232</t>
  </si>
  <si>
    <t>-775.761407716386 178.452606660538 307.115946686426</t>
  </si>
  <si>
    <t>-857.3888336601 203.586802756804 746.871256045664</t>
  </si>
  <si>
    <t>-712.184666836238 222.687882263173 807.188342498755</t>
  </si>
  <si>
    <t>-685.113536646342 -8.97425344494764 306.445687031869</t>
  </si>
  <si>
    <t>-692.119880796754 -17.9639498718366 754.163565750103</t>
  </si>
  <si>
    <t>-589.626122679956 -113.137016856043 828.489904737463</t>
  </si>
  <si>
    <t>9763-20170724T105137.712798800.bin</t>
  </si>
  <si>
    <t>-763.091186699102 82.9201493075971 -93.6835030625838</t>
  </si>
  <si>
    <t>-781.715521631681 76.7112346275412 -207.835964702432</t>
  </si>
  <si>
    <t>-789.423588978795 72.6563466297066 -306.074552185452</t>
  </si>
  <si>
    <t>-793.651481138793 69.2392709860967 -395.005345895635</t>
  </si>
  <si>
    <t>-794.781078103818 66.0199017129992 -484.036765692633</t>
  </si>
  <si>
    <t>-793.104914625149 61.6342252131858 -608.530825162835</t>
  </si>
  <si>
    <t>-761.030212205235 58.8426089232601 -685.136730717692</t>
  </si>
  <si>
    <t>-795.385624668984 91.2122477388007 -554.741856529855</t>
  </si>
  <si>
    <t>-794.078573928327 227.389282834813 -535.985390879984</t>
  </si>
  <si>
    <t>-695.315673981292 255.28731167951 -260.197740802077</t>
  </si>
  <si>
    <t>-456.85095533744 262.403146305896 -226.510694221546</t>
  </si>
  <si>
    <t>-792.299417702335 35.916037854123 -552.75241160361</t>
  </si>
  <si>
    <t>-622.57752957562 23.544590528561 -315.971037899622</t>
  </si>
  <si>
    <t>-784.55732158383 176.28586679658 -96.3190977555837</t>
  </si>
  <si>
    <t>-775.618901123951 178.471410269568 307.1285298361</t>
  </si>
  <si>
    <t>-857.370524423825 203.587028383287 746.874887108073</t>
  </si>
  <si>
    <t>-712.16681209542 222.671886218113 807.19837614411</t>
  </si>
  <si>
    <t>-684.979945475011 -8.84897665788571 306.437288745923</t>
  </si>
  <si>
    <t>-691.988659383011 -17.7145595024733 754.152159292369</t>
  </si>
  <si>
    <t>-589.911452073752 -113.314896601278 828.503530022024</t>
  </si>
  <si>
    <t>9763-20170724T105137.743873600.bin</t>
  </si>
  <si>
    <t>-763.076502888249 82.8837808298292 -93.684838852775</t>
  </si>
  <si>
    <t>-781.727568970749 76.6873470482167 -207.833738778422</t>
  </si>
  <si>
    <t>-789.468673579476 72.6204021732692 -306.069166986407</t>
  </si>
  <si>
    <t>-793.731376639409 69.183695318563 -394.997531989297</t>
  </si>
  <si>
    <t>-794.90072752059 65.9362050785849 -484.027487096838</t>
  </si>
  <si>
    <t>-793.285756268306 61.502453012283 -608.520678351442</t>
  </si>
  <si>
    <t>-761.246276433544 58.6764473332717 -685.139908446995</t>
  </si>
  <si>
    <t>-795.53914656171 91.1013770319087 -554.741971633315</t>
  </si>
  <si>
    <t>-794.24935100422 227.285594350074 -536.036516646366</t>
  </si>
  <si>
    <t>-695.543780571192 255.193118117985 -260.229378857073</t>
  </si>
  <si>
    <t>-457.078648162405 262.272831750722 -226.537799506587</t>
  </si>
  <si>
    <t>-792.453839417953 35.8056880259164 -552.732714633076</t>
  </si>
  <si>
    <t>-622.744020577289 23.4171366713106 -315.868884637042</t>
  </si>
  <si>
    <t>-784.592367433724 176.287060485255 -96.3057452819527</t>
  </si>
  <si>
    <t>-775.534089380982 178.402323232001 307.139593167601</t>
  </si>
  <si>
    <t>-857.363876711441 203.575604747739 746.880882391847</t>
  </si>
  <si>
    <t>-712.138201618545 222.491959851467 807.204582807564</t>
  </si>
  <si>
    <t>-684.887230005247 -8.75536126547422 306.418201570579</t>
  </si>
  <si>
    <t>-691.89183312358 -17.5270026614323 754.136515126062</t>
  </si>
  <si>
    <t>-590.18981330276 -113.503912978182 828.517000419644</t>
  </si>
  <si>
    <t>9763-20170724T105137.811059500.bin</t>
  </si>
  <si>
    <t>-763.151964453702 82.6892362671265 -93.6623634033833</t>
  </si>
  <si>
    <t>-781.825897754646 76.5010844629526 -207.807917396987</t>
  </si>
  <si>
    <t>-789.659718837999 72.4215846008231 -306.035400844797</t>
  </si>
  <si>
    <t>-794.035713091732 68.9673425227413 -394.957668562752</t>
  </si>
  <si>
    <t>-795.348567324691 65.6971622393394 -483.984743378837</t>
  </si>
  <si>
    <t>-793.965860013774 61.2275458365966 -608.479450807514</t>
  </si>
  <si>
    <t>-762.000837443122 58.3177892989202 -685.126534826658</t>
  </si>
  <si>
    <t>-796.113694235118 90.8422511006597 -554.705184278746</t>
  </si>
  <si>
    <t>-794.80994909319 227.029738200446 -536.030230931391</t>
  </si>
  <si>
    <t>-695.992918143913 254.885331416931 -260.257731573192</t>
  </si>
  <si>
    <t>-457.5219803519 261.92099401411 -226.597657701328</t>
  </si>
  <si>
    <t>-793.035041947912 35.5466577464008 -552.685678221355</t>
  </si>
  <si>
    <t>-623.178584711758 23.2028298732921 -315.899051186663</t>
  </si>
  <si>
    <t>-784.585738387842 176.063975650172 -96.2935665981065</t>
  </si>
  <si>
    <t>-775.601035886849 178.282635485423 307.152796061838</t>
  </si>
  <si>
    <t>-857.339162827727 203.527409283493 746.896452757327</t>
  </si>
  <si>
    <t>-712.100072233974 222.335807884059 807.22178531607</t>
  </si>
  <si>
    <t>-685.012795717598 -8.93894993781805 306.428598216993</t>
  </si>
  <si>
    <t>-691.986235761069 -17.6565086423363 754.147641108056</t>
  </si>
  <si>
    <t>-589.991393921606 -113.33817683029 828.50738616204</t>
  </si>
  <si>
    <t>9763-20170724T105137.841139900.bin</t>
  </si>
  <si>
    <t>-763.215628730569 82.7238413687087 -93.6630606822871</t>
  </si>
  <si>
    <t>-781.888966018564 76.5293774766908 -207.80835922891</t>
  </si>
  <si>
    <t>-789.776162147678 72.4413781036756 -306.031204324125</t>
  </si>
  <si>
    <t>-794.222419040442 68.9794490222323 -394.949729604113</t>
  </si>
  <si>
    <t>-795.627216578639 65.7027199839285 -483.975142359809</t>
  </si>
  <si>
    <t>-794.395599364658 61.2252973616139 -608.471099722572</t>
  </si>
  <si>
    <t>-762.477831399004 58.2362381706728 -685.135000849437</t>
  </si>
  <si>
    <t>-796.477386078539 90.8434495553199 -554.696170675663</t>
  </si>
  <si>
    <t>-795.175502694859 227.029816819206 -536.037252849174</t>
  </si>
  <si>
    <t>-696.285790447413 255.005538004664 -260.303092476298</t>
  </si>
  <si>
    <t>-457.814221004416 262.097615931939 -226.659812724608</t>
  </si>
  <si>
    <t>-793.397884686214 35.5478825446892 -552.677061474693</t>
  </si>
  <si>
    <t>-623.418926553264 23.2674349563988 -315.975313387518</t>
  </si>
  <si>
    <t>-784.638162698821 176.068881156899 -96.297719212569</t>
  </si>
  <si>
    <t>-775.684538935273 178.338050956022 307.149107261641</t>
  </si>
  <si>
    <t>-857.342565765324 203.570726811575 746.905937768081</t>
  </si>
  <si>
    <t>-712.154785927364 222.790358414732 807.225341770689</t>
  </si>
  <si>
    <t>-685.09739733451 -8.85705178053581 306.433159436708</t>
  </si>
  <si>
    <t>-691.973239611559 -17.6183616116173 754.145240106289</t>
  </si>
  <si>
    <t>-590.159963904672 -113.48421814889 828.516580062014</t>
  </si>
  <si>
    <t>9763-20170724T105137.909339200.bin</t>
  </si>
  <si>
    <t>-763.447860818264 82.6544770195683 -93.6686474065332</t>
  </si>
  <si>
    <t>-782.127690924924 76.4228274700652 -207.810856395476</t>
  </si>
  <si>
    <t>-790.090174613635 72.310432045449 -306.026687579306</t>
  </si>
  <si>
    <t>-794.632201873857 68.8307894288414 -394.93960126133</t>
  </si>
  <si>
    <t>-796.16050011028 65.5411305023492 -483.962582210172</t>
  </si>
  <si>
    <t>-795.130740150881 61.0516688698251 -608.459989324599</t>
  </si>
  <si>
    <t>-763.2949252907 57.8262943523403 -685.148246741096</t>
  </si>
  <si>
    <t>-797.130255985835 90.6747032200799 -554.684510956793</t>
  </si>
  <si>
    <t>-795.873812868778 226.866286335802 -536.046247454941</t>
  </si>
  <si>
    <t>-696.869473631852 254.951645006011 -260.364220317351</t>
  </si>
  <si>
    <t>-458.38625859932 262.131542417978 -226.82172501063</t>
  </si>
  <si>
    <t>-794.037541448047 35.3797829851735 -552.665023976997</t>
  </si>
  <si>
    <t>-623.885672586121 23.1582976235059 -316.020607130329</t>
  </si>
  <si>
    <t>-784.955261340864 176.003038355849 -96.3155158308707</t>
  </si>
  <si>
    <t>-775.772044866055 178.287532060898 307.126029633934</t>
  </si>
  <si>
    <t>-857.309205874519 203.528515983621 746.912010880373</t>
  </si>
  <si>
    <t>-712.086780378166 222.458805959415 807.239573914738</t>
  </si>
  <si>
    <t>-685.272567376836 -8.83723782334846 306.450953635215</t>
  </si>
  <si>
    <t>-692.027698442857 -17.6860759131955 754.16148765629</t>
  </si>
  <si>
    <t>-590.246660198398 -113.589824968186 828.527857510378</t>
  </si>
  <si>
    <t>9763-20170724T105137.944433500.bin</t>
  </si>
  <si>
    <t>-763.514529197674 82.5752792539824 -93.6636513688835</t>
  </si>
  <si>
    <t>-782.199272521222 76.3298051677036 -207.804373741127</t>
  </si>
  <si>
    <t>-790.178385414153 72.2262261721144 -306.019228182021</t>
  </si>
  <si>
    <t>-794.739980784004 68.7629205408768 -394.931734746479</t>
  </si>
  <si>
    <t>-796.292262776522 65.4983658774336 -483.955101399667</t>
  </si>
  <si>
    <t>-795.300018937 61.0536106507648 -608.454488250723</t>
  </si>
  <si>
    <t>-763.489117816327 57.7371568358826 -685.14930398432</t>
  </si>
  <si>
    <t>-797.290857804209 90.6569390452519 -554.667835707516</t>
  </si>
  <si>
    <t>-796.060371063498 226.841975530426 -536.0145767557</t>
  </si>
  <si>
    <t>-697.089238021741 254.902723187334 -260.318081661644</t>
  </si>
  <si>
    <t>-458.599036058446 262.117983497142 -226.833385839726</t>
  </si>
  <si>
    <t>-794.182361332033 35.3620640734123 -552.669061183836</t>
  </si>
  <si>
    <t>-623.991903729052 23.0965063669851 -316.018074675373</t>
  </si>
  <si>
    <t>-785.02370596897 175.892274697985 -96.3309466552595</t>
  </si>
  <si>
    <t>-775.840466247247 178.260701989335 307.110137348256</t>
  </si>
  <si>
    <t>-857.296066636875 203.517738364803 746.91175377771</t>
  </si>
  <si>
    <t>-712.070823374849 222.4181134115 807.241800449975</t>
  </si>
  <si>
    <t>-685.367641378266 -8.79756948995373 306.461432412078</t>
  </si>
  <si>
    <t>-691.976218557149 -17.5725216261069 754.167470108326</t>
  </si>
  <si>
    <t>-590.338719480473 -113.627249449081 828.535387976676</t>
  </si>
  <si>
    <t>9763-20170724T105138.006611500.bin</t>
  </si>
  <si>
    <t>-763.704164005555 82.2556108360225 -93.6892966671682</t>
  </si>
  <si>
    <t>-782.445858779093 75.9825328497288 -207.819169004779</t>
  </si>
  <si>
    <t>-790.522396665759 71.8768175401631 -306.025924138652</t>
  </si>
  <si>
    <t>-795.191468677868 68.420898144994 -394.933144980839</t>
  </si>
  <si>
    <t>-796.869976474231 65.173731928651 -483.954969105009</t>
  </si>
  <si>
    <t>-796.073739650578 60.764065152576 -608.456794071408</t>
  </si>
  <si>
    <t>-764.306905256898 57.3405872423928 -685.165173578021</t>
  </si>
  <si>
    <t>-797.977597274433 90.3523415680247 -554.65888476437</t>
  </si>
  <si>
    <t>-796.822914617727 226.546807388325 -535.9802371629</t>
  </si>
  <si>
    <t>-697.990450542223 254.416368050952 -260.214604929366</t>
  </si>
  <si>
    <t>-459.514434724318 261.59753455315 -226.621794770361</t>
  </si>
  <si>
    <t>-794.870707293208 35.0566853325493 -552.680683649405</t>
  </si>
  <si>
    <t>-624.667535196489 22.5689513508096 -316.059783596358</t>
  </si>
  <si>
    <t>-785.21130363103 175.623726618789 -96.3513744047386</t>
  </si>
  <si>
    <t>-775.977428373582 178.149627314773 307.087578157349</t>
  </si>
  <si>
    <t>-857.286137027338 203.560961870705 746.90870218573</t>
  </si>
  <si>
    <t>-712.079966007752 222.595297290296 807.242586259107</t>
  </si>
  <si>
    <t>-685.61239167934 -8.96033741037286 306.467787970027</t>
  </si>
  <si>
    <t>-692.07552404681 -17.7007127846555 754.186066179953</t>
  </si>
  <si>
    <t>-590.185904741623 -113.510338520408 828.52511139011</t>
  </si>
  <si>
    <t>9763-20170724T105138.044710800.bin</t>
  </si>
  <si>
    <t>-763.851966851027 82.1564947687011 -93.7049879381384</t>
  </si>
  <si>
    <t>-782.605470925215 75.8677446869524 -207.832049049949</t>
  </si>
  <si>
    <t>-790.744992190498 71.7553760768301 -306.033386437685</t>
  </si>
  <si>
    <t>-795.491946707348 68.29758095225 -394.936373907448</t>
  </si>
  <si>
    <t>-797.269655998468 65.0533166382552 -483.95626870117</t>
  </si>
  <si>
    <t>-796.633807883071 60.6532143677957 -608.45968710517</t>
  </si>
  <si>
    <t>-764.878548641719 57.2345687891336 -685.172911723811</t>
  </si>
  <si>
    <t>-798.465233008563 90.2375414482406 -554.6568814877</t>
  </si>
  <si>
    <t>-797.310242819635 226.424123175044 -535.978174345208</t>
  </si>
  <si>
    <t>-698.489532691251 254.231333366059 -260.202178787056</t>
  </si>
  <si>
    <t>-460.019476746729 261.348895191494 -226.552748304421</t>
  </si>
  <si>
    <t>-795.361958988833 34.9415293488703 -552.68685365346</t>
  </si>
  <si>
    <t>-625.090841859383 22.4314258337977 -316.103947301703</t>
  </si>
  <si>
    <t>-785.338562062673 175.521696447523 -96.3755320029322</t>
  </si>
  <si>
    <t>-776.081223759278 178.144989851399 307.062300210948</t>
  </si>
  <si>
    <t>-857.266766785995 203.543003295076 746.911044826911</t>
  </si>
  <si>
    <t>-712.069325868315 222.630369583365 807.249059505363</t>
  </si>
  <si>
    <t>-685.758487439654 -8.97945995876512 306.470427393921</t>
  </si>
  <si>
    <t>-692.058490354678 -17.6384609355657 754.191167600213</t>
  </si>
  <si>
    <t>-590.096911935061 -113.380145035117 828.519142266993</t>
  </si>
  <si>
    <t>9763-20170724T105138.107425200.bin</t>
  </si>
  <si>
    <t>-764.185431641722 81.9872477009897 -93.6960463020487</t>
  </si>
  <si>
    <t>-782.976497310883 75.6805012961331 -207.815979617646</t>
  </si>
  <si>
    <t>-791.229368475765 71.5388292378677 -306.006531859064</t>
  </si>
  <si>
    <t>-796.111787819556 68.0510663891228 -394.900999744644</t>
  </si>
  <si>
    <t>-798.05800251837 64.7742761257896 -483.916289591123</t>
  </si>
  <si>
    <t>-797.692526860305 60.3273527023744 -608.418891996136</t>
  </si>
  <si>
    <t>-765.928222275094 56.9329093413189 -685.129480257448</t>
  </si>
  <si>
    <t>-799.399836821563 89.9322639255081 -554.623491578928</t>
  </si>
  <si>
    <t>-798.175855887936 226.134672840122 -536.039583933381</t>
  </si>
  <si>
    <t>-699.310313786583 254.205219073874 -260.306160797389</t>
  </si>
  <si>
    <t>-460.845640280086 261.241381286766 -226.602383739995</t>
  </si>
  <si>
    <t>-796.306925920134 34.6360897863949 -552.63941338609</t>
  </si>
  <si>
    <t>-625.89883138429 22.3036257591998 -316.093853784142</t>
  </si>
  <si>
    <t>-785.649805191509 175.355766490838 -96.3920062377535</t>
  </si>
  <si>
    <t>-776.309264998833 178.071636772799 307.043224494281</t>
  </si>
  <si>
    <t>-857.232952201669 203.512918673196 746.931070673942</t>
  </si>
  <si>
    <t>-712.015721729732 222.385909075507 807.288876980624</t>
  </si>
  <si>
    <t>-686.036699776849 -9.12778531525896 306.482425779304</t>
  </si>
  <si>
    <t>-692.222657124274 -17.8899703457903 754.219125988924</t>
  </si>
  <si>
    <t>-590.083655520662 -113.462159365137 828.521838108623</t>
  </si>
  <si>
    <t>9763-20170724T105138.147039600.bin</t>
  </si>
  <si>
    <t>-764.367138609406 81.8588900746108 -93.6854027961542</t>
  </si>
  <si>
    <t>-783.174606172646 75.5430832086383 -207.802037089297</t>
  </si>
  <si>
    <t>-791.458815116641 71.3805999997003 -305.989153547518</t>
  </si>
  <si>
    <t>-796.377264664818 67.8695342583267 -394.880816124119</t>
  </si>
  <si>
    <t>-798.366748583608 64.5648703764571 -483.894035761391</t>
  </si>
  <si>
    <t>-798.069956291421 60.0745623645964 -608.395378346626</t>
  </si>
  <si>
    <t>-766.288215546119 56.677833738617 -685.098700488071</t>
  </si>
  <si>
    <t>-799.747801269902 89.6982225088041 -554.609284805682</t>
  </si>
  <si>
    <t>-798.507443695435 225.910570088097 -536.111596655408</t>
  </si>
  <si>
    <t>-699.643273878044 254.20987543231 -260.40118198881</t>
  </si>
  <si>
    <t>-461.181012138755 261.208080991904 -226.672080001998</t>
  </si>
  <si>
    <t>-796.653390416763 34.4027552007731 -552.607682193294</t>
  </si>
  <si>
    <t>-626.304779989099 22.1911101364124 -316.063360070076</t>
  </si>
  <si>
    <t>-785.846056948705 175.260839792433 -96.3968210872799</t>
  </si>
  <si>
    <t>-776.426031239393 178.010642458588 307.036392214413</t>
  </si>
  <si>
    <t>-857.217796279704 203.508176058239 746.947617138272</t>
  </si>
  <si>
    <t>-712.002791589971 222.380440506552 807.310975093821</t>
  </si>
  <si>
    <t>-686.165396328593 -9.16125326359202 306.491038673683</t>
  </si>
  <si>
    <t>-692.219852829243 -17.8545119415501 754.228815051807</t>
  </si>
  <si>
    <t>-590.024297383477 -113.378451348131 828.515807591956</t>
  </si>
  <si>
    <t>9763-20170724T105138.207846300.bin</t>
  </si>
  <si>
    <t>-764.558185645326 81.7569236205343 -93.6818582461894</t>
  </si>
  <si>
    <t>-783.38084755073 75.4233467747815 -207.795084183747</t>
  </si>
  <si>
    <t>-791.706578197192 71.2213656527899 -305.976975372861</t>
  </si>
  <si>
    <t>-796.674258136859 67.6651784572127 -394.863983485871</t>
  </si>
  <si>
    <t>-798.72566938382 64.3068138230763 -483.873850456049</t>
  </si>
  <si>
    <t>-798.528353141384 59.7328149720304 -608.372239827737</t>
  </si>
  <si>
    <t>-766.708675945414 56.3015787887809 -685.058451070326</t>
  </si>
  <si>
    <t>-800.167801561706 89.3924738339229 -554.604861222329</t>
  </si>
  <si>
    <t>-798.91249335435 225.63297332832 -536.271494581797</t>
  </si>
  <si>
    <t>-700.090917737032 254.38193654112 -260.592439136481</t>
  </si>
  <si>
    <t>-461.654845838933 261.464494534957 -226.696970871821</t>
  </si>
  <si>
    <t>-797.062500214204 34.0988467746731 -552.568495901575</t>
  </si>
  <si>
    <t>-626.724091793732 22.1853797518831 -316.010325681868</t>
  </si>
  <si>
    <t>-786.017592147673 175.15491737037 -96.4076071357509</t>
  </si>
  <si>
    <t>-776.644555976931 178.04543100386 307.025706839686</t>
  </si>
  <si>
    <t>-857.198782066248 203.544094046966 746.97494883227</t>
  </si>
  <si>
    <t>-712.022311902137 222.674361320657 807.349811136255</t>
  </si>
  <si>
    <t>-686.299460165221 -9.07416211827376 306.494818921099</t>
  </si>
  <si>
    <t>-692.137264833422 -17.6447616847913 754.227116358184</t>
  </si>
  <si>
    <t>-590.30387258813 -113.549035943294 828.521300943819</t>
  </si>
  <si>
    <t>9763-20170724T105138.250461500.bin</t>
  </si>
  <si>
    <t>-764.643611223617 81.7616059362865 -93.6808813782964</t>
  </si>
  <si>
    <t>-783.473353874973 75.4107601691992 -207.791911060071</t>
  </si>
  <si>
    <t>-791.823475806129 71.1778163548913 -305.970483553353</t>
  </si>
  <si>
    <t>-796.820692669698 67.5872462991224 -394.854520581089</t>
  </si>
  <si>
    <t>-798.909398321285 64.1883896155639 -483.861973710863</t>
  </si>
  <si>
    <t>-798.772652624172 59.5514389734096 -608.35817597929</t>
  </si>
  <si>
    <t>-766.941169424429 56.0868006233766 -685.03775309322</t>
  </si>
  <si>
    <t>-800.389086295902 89.2379718891475 -554.604842280589</t>
  </si>
  <si>
    <t>-799.14448055667 225.481517236156 -536.345950894541</t>
  </si>
  <si>
    <t>-700.312695928728 254.447425691246 -260.693319086468</t>
  </si>
  <si>
    <t>-461.890841239266 261.562007164147 -226.704300671005</t>
  </si>
  <si>
    <t>-797.276628125303 33.9459569774122 -552.542130900407</t>
  </si>
  <si>
    <t>-626.898608235288 22.0872784711794 -315.940742196485</t>
  </si>
  <si>
    <t>-786.136476190623 175.127939489506 -96.408170413912</t>
  </si>
  <si>
    <t>-776.71547620906 178.068210375263 307.023719076634</t>
  </si>
  <si>
    <t>-857.18053152576 203.535972143809 746.991492567805</t>
  </si>
  <si>
    <t>-711.979053223123 222.439556764948 807.377349178631</t>
  </si>
  <si>
    <t>-686.366281633553 -9.10636135235859 306.503376944813</t>
  </si>
  <si>
    <t>-692.166697713646 -17.6729575870272 754.236660370683</t>
  </si>
  <si>
    <t>-590.350380991735 -113.598957482468 828.526473836029</t>
  </si>
  <si>
    <t>9763-20170724T105138.308126400.bin</t>
  </si>
  <si>
    <t>-764.799692294567 81.6483427670535 -93.6616051199046</t>
  </si>
  <si>
    <t>-783.660182679655 75.2681275717589 -207.765895090138</t>
  </si>
  <si>
    <t>-792.068446202275 70.9885706522641 -305.937388246212</t>
  </si>
  <si>
    <t>-797.1314651335 67.3477009838796 -394.815698801153</t>
  </si>
  <si>
    <t>-799.29955606719 63.8910261955944 -483.819088725976</t>
  </si>
  <si>
    <t>-799.288178404558 59.165510873456 -608.311924975298</t>
  </si>
  <si>
    <t>-767.462196834834 55.6330808978885 -684.990876717054</t>
  </si>
  <si>
    <t>-800.85807847537 88.8898988460135 -554.578246763713</t>
  </si>
  <si>
    <t>-799.637326744246 225.154447622749 -536.461742193189</t>
  </si>
  <si>
    <t>-700.818089305199 254.525931662454 -260.847407703705</t>
  </si>
  <si>
    <t>-462.416851583505 261.625854302806 -226.71032709161</t>
  </si>
  <si>
    <t>-797.728256306463 33.6001002677147 -552.479175339115</t>
  </si>
  <si>
    <t>-627.276326210697 21.9135486851487 -315.851582326149</t>
  </si>
  <si>
    <t>-786.320042720972 175.049940197619 -96.4116424912014</t>
  </si>
  <si>
    <t>-776.783394168861 178.048216514548 307.017111352991</t>
  </si>
  <si>
    <t>-857.16300154669 203.561144641829 747.006660694914</t>
  </si>
  <si>
    <t>-711.981597982507 222.62039852594 807.392221066999</t>
  </si>
  <si>
    <t>-686.485499322209 -9.12645540800418 306.523977887932</t>
  </si>
  <si>
    <t>-692.201192638461 -17.6920609366796 754.254734884392</t>
  </si>
  <si>
    <t>-590.307910596641 -113.546134882382 828.531550438355</t>
  </si>
  <si>
    <t>9763-20170724T105138.341230100.bin</t>
  </si>
  <si>
    <t>-764.856273975243 81.6105093580609 -93.6641414802647</t>
  </si>
  <si>
    <t>-783.735462155082 75.2165707309373 -207.7645718267</t>
  </si>
  <si>
    <t>-792.175193967121 70.9136436804386 -305.932439987708</t>
  </si>
  <si>
    <t>-797.273357419661 67.2471838880608 -394.807553801791</t>
  </si>
  <si>
    <t>-799.48334267724 63.7604144864406 -483.808745159143</t>
  </si>
  <si>
    <t>-799.537610107586 58.9886445919128 -608.299868966198</t>
  </si>
  <si>
    <t>-767.716094242913 55.4219236833421 -684.979049359395</t>
  </si>
  <si>
    <t>-801.083630645623 88.7326849656486 -554.576424147777</t>
  </si>
  <si>
    <t>-799.867106386933 225.005432090747 -536.528759991145</t>
  </si>
  <si>
    <t>-701.051994480651 254.493499420211 -260.925313538323</t>
  </si>
  <si>
    <t>-462.655973805332 261.573953177253 -226.74823301811</t>
  </si>
  <si>
    <t>-797.944107566618 33.4441553115721 -552.458540232318</t>
  </si>
  <si>
    <t>-627.415633861055 21.8065684399253 -315.872204614143</t>
  </si>
  <si>
    <t>-786.405786163948 175.014039221917 -96.4147343067284</t>
  </si>
  <si>
    <t>-776.822988422783 177.991943317816 307.01308757298</t>
  </si>
  <si>
    <t>-857.140737983812 203.511872133372 747.014401198374</t>
  </si>
  <si>
    <t>-711.898161986439 222.058932777234 807.412336173974</t>
  </si>
  <si>
    <t>-686.50491943464 -9.10711144577863 306.527116593824</t>
  </si>
  <si>
    <t>-692.178807261438 -17.6356828157454 754.257738523444</t>
  </si>
  <si>
    <t>-590.387581134895 -113.593729981627 828.540280381904</t>
  </si>
  <si>
    <t>9763-20170724T105138.411962000.bin</t>
  </si>
  <si>
    <t>-764.865715645955 81.4847569726714 -93.6568318745793</t>
  </si>
  <si>
    <t>-783.771261317343 75.0688278004909 -207.751772408933</t>
  </si>
  <si>
    <t>-792.274901088677 70.7436660259204 -305.91295487162</t>
  </si>
  <si>
    <t>-797.447629204865 67.0569750501734 -394.783136606261</t>
  </si>
  <si>
    <t>-799.748756792525 63.5504863919166 -483.781150558684</t>
  </si>
  <si>
    <t>-799.948438446498 58.752244272338 -608.271067689668</t>
  </si>
  <si>
    <t>-768.145475196097 55.1546874547337 -684.956544448952</t>
  </si>
  <si>
    <t>-801.444295475937 88.5069528605061 -554.55207976645</t>
  </si>
  <si>
    <t>-800.23602315925 224.789821980007 -536.593566612751</t>
  </si>
  <si>
    <t>-701.430408089856 254.453179718617 -261.005674752686</t>
  </si>
  <si>
    <t>-463.030668510366 261.489712477734 -226.845368239777</t>
  </si>
  <si>
    <t>-798.276819838194 33.2203764266833 -552.426301040514</t>
  </si>
  <si>
    <t>-627.641527957533 21.7125161665924 -315.851263348797</t>
  </si>
  <si>
    <t>-786.374908574461 174.891248360545 -96.4112272953212</t>
  </si>
  <si>
    <t>-776.843540464798 177.996319663238 307.016753405011</t>
  </si>
  <si>
    <t>-857.125192698935 203.529548625505 747.02209371136</t>
  </si>
  <si>
    <t>-711.928561375844 222.4270023734 807.421484011786</t>
  </si>
  <si>
    <t>-686.526730983065 -9.17146073740128 306.543989209524</t>
  </si>
  <si>
    <t>-692.26640633073 -17.7508386650302 754.271025529593</t>
  </si>
  <si>
    <t>-590.409824927151 -113.642023128128 828.550422715078</t>
  </si>
  <si>
    <t>9763-20170724T105138.442033600.bin</t>
  </si>
  <si>
    <t>-764.874158981365 81.4646691526959 -93.6462108721984</t>
  </si>
  <si>
    <t>-783.811694492173 75.0376382296774 -207.735180790549</t>
  </si>
  <si>
    <t>-792.344609891921 70.7061672661766 -305.893597913901</t>
  </si>
  <si>
    <t>-797.544465292436 67.0152591826718 -394.761873536948</t>
  </si>
  <si>
    <t>-799.873405107291 63.5066737844634 -483.75923101862</t>
  </si>
  <si>
    <t>-800.112270041882 58.7081962685877 -608.249117234831</t>
  </si>
  <si>
    <t>-768.317641186181 55.109419683607 -684.937938427255</t>
  </si>
  <si>
    <t>-801.605484094905 88.4621633805166 -554.529592656897</t>
  </si>
  <si>
    <t>-800.427423831701 224.752376988536 -536.605757831563</t>
  </si>
  <si>
    <t>-701.613844708498 254.490482135823 -261.028643866754</t>
  </si>
  <si>
    <t>-463.211325371781 261.5165426943 -226.886139466294</t>
  </si>
  <si>
    <t>-798.408772534267 33.1772872454546 -552.404754833482</t>
  </si>
  <si>
    <t>-627.686102379529 21.758978546942 -315.784984412529</t>
  </si>
  <si>
    <t>-786.373433858618 174.87080406408 -96.404059771418</t>
  </si>
  <si>
    <t>-776.814980151624 177.988968309299 307.023265769162</t>
  </si>
  <si>
    <t>-857.128268983694 203.565494321077 747.01928479254</t>
  </si>
  <si>
    <t>-711.954452047174 222.654958447644 807.413360713031</t>
  </si>
  <si>
    <t>-686.556693804866 -9.20768762149191 306.558505222361</t>
  </si>
  <si>
    <t>-692.333024134171 -17.8548915266479 754.28712651108</t>
  </si>
  <si>
    <t>-590.401000295291 -113.676726476258 828.552475446788</t>
  </si>
  <si>
    <t>9763-20170724T105138.511223400.bin</t>
  </si>
  <si>
    <t>-764.946782318508 81.4696007046812 -93.6298038800975</t>
  </si>
  <si>
    <t>-783.946905987442 75.0344336991539 -207.707896602743</t>
  </si>
  <si>
    <t>-792.548788525343 70.6865147682079 -305.85959251502</t>
  </si>
  <si>
    <t>-797.817684105391 66.9778816777084 -394.723190279094</t>
  </si>
  <si>
    <t>-800.222094262987 63.4492250078022 -483.717542836991</t>
  </si>
  <si>
    <t>-800.573824139912 58.6207644189726 -608.20605221059</t>
  </si>
  <si>
    <t>-768.810552942747 55.0170511569227 -684.907585825613</t>
  </si>
  <si>
    <t>-802.036049036701 88.3867983787429 -554.492303570716</t>
  </si>
  <si>
    <t>-800.896045351135 224.688152361216 -536.644873770093</t>
  </si>
  <si>
    <t>-702.090293157994 254.637699569428 -261.088042906246</t>
  </si>
  <si>
    <t>-463.67132313257 261.589008963624 -227.044843586582</t>
  </si>
  <si>
    <t>-798.802178789919 33.1043629337939 -552.35733871762</t>
  </si>
  <si>
    <t>-627.847985903655 21.7595247804131 -315.706154621366</t>
  </si>
  <si>
    <t>-786.468899995656 174.876324142708 -96.3784384625176</t>
  </si>
  <si>
    <t>-776.677155841161 177.915434086724 307.043825942333</t>
  </si>
  <si>
    <t>-857.108336816831 203.55258838314 747.015596848019</t>
  </si>
  <si>
    <t>-711.897854624312 222.32972547639 807.419467803362</t>
  </si>
  <si>
    <t>-686.58908388782 -9.20796936122497 306.563736958883</t>
  </si>
  <si>
    <t>-692.363574320742 -17.870395270374 754.294467731861</t>
  </si>
  <si>
    <t>-590.368089328004 -113.63988318374 828.539874541396</t>
  </si>
  <si>
    <t>9763-20170724T105138.545313700.bin</t>
  </si>
  <si>
    <t>-764.971490020193 81.5269652132449 -93.6246595020829</t>
  </si>
  <si>
    <t>-783.994144627148 75.0825209868865 -207.698500659745</t>
  </si>
  <si>
    <t>-792.634551836823 70.7275338534614 -305.84635643203</t>
  </si>
  <si>
    <t>-797.945922811342 67.0131801556265 -394.707230717425</t>
  </si>
  <si>
    <t>-800.400676310938 63.4802954616755 -483.700087482208</t>
  </si>
  <si>
    <t>-800.83057996899 58.6470620653952 -608.188070197323</t>
  </si>
  <si>
    <t>-769.087872134735 55.0443123321741 -684.898316748563</t>
  </si>
  <si>
    <t>-802.265016447653 88.414837460964 -554.474601979016</t>
  </si>
  <si>
    <t>-801.123049987265 224.717715674372 -536.66222178391</t>
  </si>
  <si>
    <t>-702.320558274103 254.771510668238 -261.115397141145</t>
  </si>
  <si>
    <t>-463.879061824648 261.646518652495 -227.213952039613</t>
  </si>
  <si>
    <t>-799.017690873076 33.1331366614288 -552.339636498115</t>
  </si>
  <si>
    <t>-627.957101980327 21.8462198063532 -315.692728860723</t>
  </si>
  <si>
    <t>-786.498687056317 174.904471471491 -96.3742360606608</t>
  </si>
  <si>
    <t>-776.667492333805 177.939469741411 307.047116762041</t>
  </si>
  <si>
    <t>-857.095969727362 203.534610797106 747.014038137694</t>
  </si>
  <si>
    <t>-711.894954518451 222.381462069471 807.419092365828</t>
  </si>
  <si>
    <t>-686.537885004753 -9.10353213349549 306.563063834549</t>
  </si>
  <si>
    <t>-692.313927732033 -17.7576180456017 754.288002008531</t>
  </si>
  <si>
    <t>-590.442219147089 -113.656715193358 828.536243581541</t>
  </si>
  <si>
    <t>9763-20170724T105138.609055300.bin</t>
  </si>
  <si>
    <t>-765.058342428627 81.5357355909157 -93.6274591011669</t>
  </si>
  <si>
    <t>-784.110531361213 75.0753975779296 -207.695481732137</t>
  </si>
  <si>
    <t>-792.811235029743 70.7136108186003 -305.837887892641</t>
  </si>
  <si>
    <t>-798.190748500188 66.9965302956027 -394.694359643908</t>
  </si>
  <si>
    <t>-800.727813407965 63.4647365085916 -483.68497778124</t>
  </si>
  <si>
    <t>-801.286872321789 58.6385930216397 -608.172774731217</t>
  </si>
  <si>
    <t>-769.577026941942 55.0344728622824 -684.896501270766</t>
  </si>
  <si>
    <t>-802.68505597332 88.4020801747135 -554.456070069394</t>
  </si>
  <si>
    <t>-801.566340030932 224.711631252563 -536.677373248549</t>
  </si>
  <si>
    <t>-702.636961616674 254.850316626716 -261.185316261019</t>
  </si>
  <si>
    <t>-464.133474844482 261.634925856993 -227.704988876887</t>
  </si>
  <si>
    <t>-799.396465485329 33.122676026255 -552.327734161879</t>
  </si>
  <si>
    <t>-628.238196028353 21.9854792828351 -315.756193991748</t>
  </si>
  <si>
    <t>-786.586805004896 174.957480923805 -96.3839971982735</t>
  </si>
  <si>
    <t>-776.819353202545 178.036595870549 307.038567065258</t>
  </si>
  <si>
    <t>-857.084437769411 203.562480324769 747.025096578493</t>
  </si>
  <si>
    <t>-711.909538390447 222.602851855434 807.431867799391</t>
  </si>
  <si>
    <t>-686.544968387502 -9.13403166461057 306.557335942619</t>
  </si>
  <si>
    <t>-692.407610031591 -17.9068851322334 754.288489655831</t>
  </si>
  <si>
    <t>-590.280397885303 -113.546247855739 828.521006340197</t>
  </si>
  <si>
    <t>9763-20170724T105138.644148500.bin</t>
  </si>
  <si>
    <t>-765.12347168924 81.5712727385385 -93.6308159287036</t>
  </si>
  <si>
    <t>-784.192002467669 75.1049326867117 -207.69567738887</t>
  </si>
  <si>
    <t>-792.92224714549 70.7402978010753 -305.835393429149</t>
  </si>
  <si>
    <t>-798.334713169636 67.0220436713341 -394.689829818042</t>
  </si>
  <si>
    <t>-800.910922409207 63.4912677091586 -483.679349365032</t>
  </si>
  <si>
    <t>-801.531010141324 58.6685581270576 -608.167052544515</t>
  </si>
  <si>
    <t>-769.831581614807 55.0696571095996 -684.89518538819</t>
  </si>
  <si>
    <t>-802.917711792449 88.429712778903 -554.448615071051</t>
  </si>
  <si>
    <t>-801.82677762993 224.740349310306 -536.67825975233</t>
  </si>
  <si>
    <t>-702.810728229454 254.875603623389 -261.217004808424</t>
  </si>
  <si>
    <t>-464.259199015157 261.568729255198 -228.062224343054</t>
  </si>
  <si>
    <t>-799.598501800339 33.1519231326354 -552.323709940512</t>
  </si>
  <si>
    <t>-628.362649158721 22.127009442893 -315.754933810827</t>
  </si>
  <si>
    <t>-786.675982205842 175.024530431908 -96.3870386550856</t>
  </si>
  <si>
    <t>-776.838802416746 178.079906811025 307.034035193994</t>
  </si>
  <si>
    <t>-857.081749482591 203.576789732045 747.032969274009</t>
  </si>
  <si>
    <t>-711.920846425115 222.738473637859 807.435232978389</t>
  </si>
  <si>
    <t>-686.557845095921 -9.09872887156371 306.553380814051</t>
  </si>
  <si>
    <t>-692.496672194122 -18.0559530008652 754.290758262957</t>
  </si>
  <si>
    <t>-590.344630068239 -113.66846746028 828.523628527139</t>
  </si>
  <si>
    <t>9763-20170724T105138.708850600.bin</t>
  </si>
  <si>
    <t>-765.261769543797 81.6797439339312 -93.6238053242141</t>
  </si>
  <si>
    <t>-784.355834243286 75.2108122199868 -207.684351315806</t>
  </si>
  <si>
    <t>-793.119905586301 70.8408303234726 -305.820799937653</t>
  </si>
  <si>
    <t>-798.568182457475 67.1172838131147 -394.672756177639</t>
  </si>
  <si>
    <t>-801.184918762589 63.5810462352663 -483.660848459541</t>
  </si>
  <si>
    <t>-801.867565611247 58.7513813224416 -608.148028590792</t>
  </si>
  <si>
    <t>-770.17871012439 55.1623656978006 -684.881042738015</t>
  </si>
  <si>
    <t>-803.250091974581 88.514054630791 -554.430507172947</t>
  </si>
  <si>
    <t>-802.226214558558 224.826718954659 -536.674963590378</t>
  </si>
  <si>
    <t>-703.142853024736 255.103465102354 -261.253481189397</t>
  </si>
  <si>
    <t>-464.408380795937 261.351823344325 -229.351968303314</t>
  </si>
  <si>
    <t>-799.88415226856 33.239091202767 -552.304371540886</t>
  </si>
  <si>
    <t>-628.529003867906 22.4110973224081 -315.761432147819</t>
  </si>
  <si>
    <t>-786.843696863054 175.120705319655 -96.3856032100507</t>
  </si>
  <si>
    <t>-776.89795613861 178.127556231203 307.033228407991</t>
  </si>
  <si>
    <t>-857.062897734721 203.536951831655 747.049846261611</t>
  </si>
  <si>
    <t>-711.871341463624 222.449619094315 807.457159912218</t>
  </si>
  <si>
    <t>-686.628311568099 -9.00446078613572 306.546333106953</t>
  </si>
  <si>
    <t>-692.501097783995 -18.0423857396017 754.286015176439</t>
  </si>
  <si>
    <t>-590.38882859729 -113.695520335607 828.520980470808</t>
  </si>
  <si>
    <t>9763-20170724T105138.739933800.bin</t>
  </si>
  <si>
    <t>-765.312795444813 81.7879788372315 -93.6277191345107</t>
  </si>
  <si>
    <t>-784.412265745077 75.3161882240568 -207.687028999698</t>
  </si>
  <si>
    <t>-793.177510078322 70.9466965930276 -305.823326421661</t>
  </si>
  <si>
    <t>-798.625175757225 67.2244304394371 -394.675579636873</t>
  </si>
  <si>
    <t>-801.239863794962 63.690312134484 -483.663917407603</t>
  </si>
  <si>
    <t>-801.917810274078 58.8645963038596 -608.150991643754</t>
  </si>
  <si>
    <t>-770.224089235945 55.280661174527 -684.88234493296</t>
  </si>
  <si>
    <t>-803.305155441767 88.6254482457059 -554.432524294407</t>
  </si>
  <si>
    <t>-802.29357082043 224.936575668937 -536.65757557234</t>
  </si>
  <si>
    <t>-703.247573739114 255.184526244983 -261.219422862226</t>
  </si>
  <si>
    <t>-464.343955750357 260.748806012285 -230.479570884554</t>
  </si>
  <si>
    <t>-799.933836893782 33.3508730022736 -552.308296625089</t>
  </si>
  <si>
    <t>-628.563017357489 22.568577151188 -315.826156091019</t>
  </si>
  <si>
    <t>-786.880107815896 175.202557494582 -96.3939043451388</t>
  </si>
  <si>
    <t>-776.995667573234 178.223090593607 307.026246526706</t>
  </si>
  <si>
    <t>-857.064527636608 203.58527836278 747.060491030032</t>
  </si>
  <si>
    <t>-711.917923949925 222.847270519542 807.465341619661</t>
  </si>
  <si>
    <t>-686.608835095074 -8.92018452626962 306.531438155911</t>
  </si>
  <si>
    <t>-692.416919648412 -17.8778762138891 754.27415522413</t>
  </si>
  <si>
    <t>-590.478485340935 -113.707769393474 828.520122622137</t>
  </si>
  <si>
    <t>9763-20170724T105138.807969500.bin</t>
  </si>
  <si>
    <t>-765.373289758634 81.8501175370102 -93.6243120893133</t>
  </si>
  <si>
    <t>-784.470351296807 75.3829716347316 -207.684430416057</t>
  </si>
  <si>
    <t>-793.210299016097 71.0339257909175 -305.823821427442</t>
  </si>
  <si>
    <t>-798.624941033919 67.3356284417173 -394.679035514247</t>
  </si>
  <si>
    <t>-801.196744131721 63.8305197297263 -483.669702160447</t>
  </si>
  <si>
    <t>-801.803827163362 59.0494154020648 -608.158997613636</t>
  </si>
  <si>
    <t>-770.08902330518 55.4856720592284 -684.882539109151</t>
  </si>
  <si>
    <t>-803.212632101115 88.7915893092963 -554.430649572389</t>
  </si>
  <si>
    <t>-802.156975328042 225.089988930742 -536.570548047479</t>
  </si>
  <si>
    <t>-703.368349133721 254.956508727367 -260.998385035913</t>
  </si>
  <si>
    <t>-464.07790390379 258.770630847677 -233.134548148469</t>
  </si>
  <si>
    <t>-799.860736846895 33.5151567609616 -552.324147219117</t>
  </si>
  <si>
    <t>-628.548627992338 22.6227337791354 -315.94906250242</t>
  </si>
  <si>
    <t>-786.970024306884 175.278110778947 -96.3895523334124</t>
  </si>
  <si>
    <t>-777.147019736395 178.34007539359 307.031855999586</t>
  </si>
  <si>
    <t>-857.048019624817 203.593593594643 747.096816096718</t>
  </si>
  <si>
    <t>-711.881237165876 222.66038662096 807.515161507881</t>
  </si>
  <si>
    <t>-686.593788802528 -8.81143879374531 306.515428656162</t>
  </si>
  <si>
    <t>-692.348491104256 -17.7336852791723 754.260340548522</t>
  </si>
  <si>
    <t>-590.509462261571 -113.66627169311 828.510270490193</t>
  </si>
  <si>
    <t>9763-20170724T105138.842063400.bin</t>
  </si>
  <si>
    <t>-765.391721971986 81.8298038223998 -93.6181626919617</t>
  </si>
  <si>
    <t>-784.489567950866 75.3633540940093 -207.678148422384</t>
  </si>
  <si>
    <t>-793.209640407254 71.0270929847352 -305.820012202223</t>
  </si>
  <si>
    <t>-798.597987282459 67.3442581205152 -394.677377848</t>
  </si>
  <si>
    <t>-801.134788590916 63.8580424235859 -483.669850944852</t>
  </si>
  <si>
    <t>-801.683870471321 59.1070318330387 -608.160563763858</t>
  </si>
  <si>
    <t>-769.943901287828 55.5558847010702 -684.874295795233</t>
  </si>
  <si>
    <t>-803.10870751382 88.8367571604335 -554.425853471664</t>
  </si>
  <si>
    <t>-802.010835040374 225.126395329351 -536.48588489207</t>
  </si>
  <si>
    <t>-703.288853391104 254.640257317508 -260.851956637452</t>
  </si>
  <si>
    <t>-463.793973590974 257.451594840427 -234.676676357181</t>
  </si>
  <si>
    <t>-799.775751048347 33.5588373632213 -552.330871159022</t>
  </si>
  <si>
    <t>-628.509713563008 22.574688985997 -315.99567823005</t>
  </si>
  <si>
    <t>-787.008451022726 175.274434591222 -96.3781621003745</t>
  </si>
  <si>
    <t>-777.1894088019 178.334835097822 307.043300689115</t>
  </si>
  <si>
    <t>-857.036306026337 203.574550085848 747.116267947597</t>
  </si>
  <si>
    <t>-711.860848409545 222.564835217009 807.537815944941</t>
  </si>
  <si>
    <t>-686.593876690867 -8.78589843901932 306.519939839458</t>
  </si>
  <si>
    <t>-692.330108061027 -17.6817870001419 754.259927967097</t>
  </si>
  <si>
    <t>-590.490925502912 -113.619235609855 828.503306634094</t>
  </si>
  <si>
    <t>9763-20170724T105138.907873000.bin</t>
  </si>
  <si>
    <t>-765.416701528417 81.7570213493868 -93.6158185164524</t>
  </si>
  <si>
    <t>-784.505079232147 75.2998716495476 -207.67788939059</t>
  </si>
  <si>
    <t>-793.161389707038 71.0027787466943 -305.827091513911</t>
  </si>
  <si>
    <t>-798.468994379032 67.3666234754044 -394.691350392149</t>
  </si>
  <si>
    <t>-800.901505842093 63.9371695868408 -483.688853315776</t>
  </si>
  <si>
    <t>-801.279530425074 59.2751478485586 -608.18356155573</t>
  </si>
  <si>
    <t>-769.456674668856 55.779403415489 -684.865376728557</t>
  </si>
  <si>
    <t>-802.757234373336 88.967643103661 -554.429600638093</t>
  </si>
  <si>
    <t>-801.559424730942 225.234530637024 -536.342652435732</t>
  </si>
  <si>
    <t>-703.16018231921 254.020709045245 -260.516326300521</t>
  </si>
  <si>
    <t>-463.317495345719 255.388427883837 -237.614038472513</t>
  </si>
  <si>
    <t>-799.469035752855 33.6856369825782 -552.369486785712</t>
  </si>
  <si>
    <t>-628.286805628488 22.4074498036157 -316.101894500857</t>
  </si>
  <si>
    <t>-787.014630202284 175.219852355162 -96.3640290523242</t>
  </si>
  <si>
    <t>-777.252730181561 178.263452676241 307.058924198228</t>
  </si>
  <si>
    <t>-857.034399121674 203.591237798705 747.149363205146</t>
  </si>
  <si>
    <t>-711.891353867977 222.867691950245 807.558261426604</t>
  </si>
  <si>
    <t>-686.678417122695 -8.81195929968271 306.530738783255</t>
  </si>
  <si>
    <t>-692.372448931974 -17.7139342822886 754.266124954259</t>
  </si>
  <si>
    <t>-590.493204624182 -113.618951256534 828.496499004037</t>
  </si>
  <si>
    <t>9763-20170724T105138.939957000.bin</t>
  </si>
  <si>
    <t>-765.397112795378 81.7613467226456 -93.6233896415815</t>
  </si>
  <si>
    <t>-784.471726741004 75.3125505518235 -207.688405735071</t>
  </si>
  <si>
    <t>-793.085094503039 71.0213420864754 -305.841573477379</t>
  </si>
  <si>
    <t>-798.341524947759 67.3896542338766 -394.70895138114</t>
  </si>
  <si>
    <t>-800.710008946013 63.9626766216149 -483.708263309876</t>
  </si>
  <si>
    <t>-800.985456611341 59.3015059347829 -608.203399907581</t>
  </si>
  <si>
    <t>-769.113435053074 55.8157375280016 -684.865306164801</t>
  </si>
  <si>
    <t>-802.491480203835 88.9947290754378 -554.450544280351</t>
  </si>
  <si>
    <t>-801.198542149173 225.257112071621 -536.296922511975</t>
  </si>
  <si>
    <t>-702.955518264054 253.891365369686 -260.399116495863</t>
  </si>
  <si>
    <t>-462.892336474217 253.879734346559 -239.893223986863</t>
  </si>
  <si>
    <t>-799.236925858536 33.7106485094187 -552.387982360207</t>
  </si>
  <si>
    <t>-628.153936967458 22.3389613821946 -316.151416329382</t>
  </si>
  <si>
    <t>-786.96210280782 175.199676749374 -96.3657385021471</t>
  </si>
  <si>
    <t>-777.265646598032 178.241428150175 307.058813566696</t>
  </si>
  <si>
    <t>-857.025322544306 203.576875298231 747.159942428638</t>
  </si>
  <si>
    <t>-711.880803425598 222.841159519768 807.569051880993</t>
  </si>
  <si>
    <t>-686.708330434188 -8.78844976353093 306.526628315414</t>
  </si>
  <si>
    <t>-692.341725448684 -17.6394767705035 754.265318443437</t>
  </si>
  <si>
    <t>-590.663491861833 -113.751120897994 828.50401491481</t>
  </si>
  <si>
    <t>9763-20170724T105139.007686700.bin</t>
  </si>
  <si>
    <t>-765.323329094419 81.7390456973399 -93.6027588048165</t>
  </si>
  <si>
    <t>-784.382643335343 75.2942841180607 -207.670423990328</t>
  </si>
  <si>
    <t>-792.936770407073 71.0017682609989 -305.828684361898</t>
  </si>
  <si>
    <t>-798.120877534245 67.3655219065529 -394.700188674835</t>
  </si>
  <si>
    <t>-800.398807478933 63.9291396457224 -483.701702111551</t>
  </si>
  <si>
    <t>-800.528388410533 59.2486678505661 -608.196210682127</t>
  </si>
  <si>
    <t>-768.551481651886 55.7577631082206 -684.814128028194</t>
  </si>
  <si>
    <t>-802.056747000681 88.9525428342183 -554.449921156911</t>
  </si>
  <si>
    <t>-800.584389361487 225.206400651019 -536.237360258687</t>
  </si>
  <si>
    <t>-702.542249737057 253.044028053822 -260.186629952963</t>
  </si>
  <si>
    <t>-462.079656541799 251.612929532731 -245.13375745566</t>
  </si>
  <si>
    <t>-798.886062560698 33.6641138261921 -552.374547966541</t>
  </si>
  <si>
    <t>-627.82817457177 22.0575816860792 -316.124896161558</t>
  </si>
  <si>
    <t>-786.850566134675 175.084970638238 -96.3494859162046</t>
  </si>
  <si>
    <t>-777.181380128127 178.187029157997 307.075279898261</t>
  </si>
  <si>
    <t>-857.00168387412 203.513541841918 747.174537742174</t>
  </si>
  <si>
    <t>-711.804572569238 222.372114387065 807.58533748118</t>
  </si>
  <si>
    <t>-686.712446410709 -8.90155700991886 306.54883795842</t>
  </si>
  <si>
    <t>-692.35613995543 -17.6330375057476 754.281433931208</t>
  </si>
  <si>
    <t>-590.624173298845 -113.698298341004 828.506540392648</t>
  </si>
  <si>
    <t>9763-20170724T105139.042782300.bin</t>
  </si>
  <si>
    <t>-765.314822725309 81.5663735307396 -93.5805135559956</t>
  </si>
  <si>
    <t>-784.392612563627 75.1212227561721 -207.64508003403</t>
  </si>
  <si>
    <t>-792.934477301729 70.826465584789 -305.804325072307</t>
  </si>
  <si>
    <t>-798.09641309168 67.186486217839 -394.677001700304</t>
  </si>
  <si>
    <t>-800.340582272457 63.7442421663848 -483.67906299794</t>
  </si>
  <si>
    <t>-800.411375342469 59.0525983022242 -608.173153766445</t>
  </si>
  <si>
    <t>-768.387328224176 55.5516276709498 -684.770968699028</t>
  </si>
  <si>
    <t>-801.945758452543 88.7623782719445 -554.430463318073</t>
  </si>
  <si>
    <t>-800.396033641964 225.00583520597 -536.184552832578</t>
  </si>
  <si>
    <t>-702.467107904299 252.602093767577 -260.069237047711</t>
  </si>
  <si>
    <t>-461.794242321226 250.26967471486 -249.023545974928</t>
  </si>
  <si>
    <t>-798.814833519581 33.471990598375 -552.348521407922</t>
  </si>
  <si>
    <t>-627.819977680953 21.8651608998821 -316.076988672674</t>
  </si>
  <si>
    <t>-786.787189854456 174.941954991776 -96.3292099428494</t>
  </si>
  <si>
    <t>-777.094146140627 178.051907673223 307.09489605374</t>
  </si>
  <si>
    <t>-856.98704409262 203.473803243882 747.171025411109</t>
  </si>
  <si>
    <t>-711.79544684757 222.380369082906 807.579746572401</t>
  </si>
  <si>
    <t>-686.823175915331 -9.05289558479149 306.567642297044</t>
  </si>
  <si>
    <t>-692.458991099564 -17.8085753466667 754.297063938513</t>
  </si>
  <si>
    <t>-590.525057076381 -113.670415351023 828.507951765338</t>
  </si>
  <si>
    <t>9763-20170724T105139.107460800.bin</t>
  </si>
  <si>
    <t>-765.247330282213 81.4821032497134 -93.5601660699301</t>
  </si>
  <si>
    <t>-784.368355364111 75.0417375210711 -207.617718281572</t>
  </si>
  <si>
    <t>-792.908142286636 70.7248258475736 -305.776128540117</t>
  </si>
  <si>
    <t>-798.052948469256 67.0539230371273 -394.648526628415</t>
  </si>
  <si>
    <t>-800.265093658325 63.5688443787808 -483.64968378718</t>
  </si>
  <si>
    <t>-800.276047164914 58.8042500558111 -608.141152268914</t>
  </si>
  <si>
    <t>-768.157946034259 55.264906219835 -684.697942595866</t>
  </si>
  <si>
    <t>-801.805693718551 88.5471688614152 -554.416541681928</t>
  </si>
  <si>
    <t>-800.163883418453 224.80369041414 -536.210944356774</t>
  </si>
  <si>
    <t>-702.494837216027 251.710577453952 -259.935685925196</t>
  </si>
  <si>
    <t>-461.63932357517 248.923867748102 -254.300600117861</t>
  </si>
  <si>
    <t>-798.736615328765 33.254615936338 -552.300618740319</t>
  </si>
  <si>
    <t>-627.67830052917 21.4268784029841 -316.020168056335</t>
  </si>
  <si>
    <t>-786.680899639741 174.849908703013 -96.3070959698003</t>
  </si>
  <si>
    <t>-776.857762116253 177.891365595926 307.114380722174</t>
  </si>
  <si>
    <t>-856.981720622648 203.460745537967 747.148898283388</t>
  </si>
  <si>
    <t>-711.797606484421 222.471249223898 807.543297272154</t>
  </si>
  <si>
    <t>-686.782406960839 -9.05820195598767 306.577038120326</t>
  </si>
  <si>
    <t>-692.358187366701 -17.614038464536 754.295168860818</t>
  </si>
  <si>
    <t>-590.854098966356 -113.905900218934 828.53854821077</t>
  </si>
  <si>
    <t>9763-20170724T105139.141551100.bin</t>
  </si>
  <si>
    <t>-765.293774944548 81.3435990764965 -93.5448987684251</t>
  </si>
  <si>
    <t>-784.438088374623 74.9060439451309 -207.598773492505</t>
  </si>
  <si>
    <t>-792.984467160953 70.5782851855067 -305.756199889042</t>
  </si>
  <si>
    <t>-798.130324157161 66.8919227595691 -394.627817312503</t>
  </si>
  <si>
    <t>-800.33846098096 63.3855977291046 -483.628229319186</t>
  </si>
  <si>
    <t>-800.33877619505 58.5849973942109 -608.118213093763</t>
  </si>
  <si>
    <t>-768.185650133976 55.0277193194659 -684.659417188988</t>
  </si>
  <si>
    <t>-801.85710316393 88.3443277185913 -554.402462639014</t>
  </si>
  <si>
    <t>-800.143077435292 224.586727779186 -536.22738999208</t>
  </si>
  <si>
    <t>-702.578487116119 251.525303477807 -259.918343369819</t>
  </si>
  <si>
    <t>-461.684403322964 248.315952052295 -256.656942462826</t>
  </si>
  <si>
    <t>-798.820013320245 33.0506604635339 -552.270122090167</t>
  </si>
  <si>
    <t>-627.700043320022 21.1474269731038 -316.010142660088</t>
  </si>
  <si>
    <t>-786.649598802428 174.743947680418 -96.3015098874647</t>
  </si>
  <si>
    <t>-776.809044188267 177.787815806902 307.119543706962</t>
  </si>
  <si>
    <t>-856.97493989024 203.436700751224 747.134120779345</t>
  </si>
  <si>
    <t>-711.781832368364 222.39606663929 807.522806484795</t>
  </si>
  <si>
    <t>-686.91165056614 -9.29093882949337 306.589801637332</t>
  </si>
  <si>
    <t>-692.569977879761 -17.9985673134818 754.315201981217</t>
  </si>
  <si>
    <t>-590.475319911697 -113.688498142894 828.527198882761</t>
  </si>
  <si>
    <t>9763-20170724T105139.221153400.bin</t>
  </si>
  <si>
    <t>-765.31062060716 81.4037724770865 -93.5559201408852</t>
  </si>
  <si>
    <t>-784.477254885043 74.9602320432953 -207.605569913468</t>
  </si>
  <si>
    <t>-793.002683110784 70.598321122684 -305.763505550722</t>
  </si>
  <si>
    <t>-798.113903548727 66.86981315814 -394.635304395813</t>
  </si>
  <si>
    <t>-800.272650361939 63.309091404034 -483.634770275123</t>
  </si>
  <si>
    <t>-800.188218302181 58.4194357232782 -608.121387132671</t>
  </si>
  <si>
    <t>-767.965301915405 54.7978780593928 -684.630105211915</t>
  </si>
  <si>
    <t>-801.719071300186 88.2185538946605 -554.427918542839</t>
  </si>
  <si>
    <t>-799.926227652189 224.483283881371 -536.329942532207</t>
  </si>
  <si>
    <t>-702.295367252397 251.40942434498 -260.043190051737</t>
  </si>
  <si>
    <t>-461.386462814691 247.939825245415 -258.730363613293</t>
  </si>
  <si>
    <t>-798.731820036297 32.9236914871935 -552.253976276317</t>
  </si>
  <si>
    <t>-627.569746779077 20.9744152653977 -315.948648280316</t>
  </si>
  <si>
    <t>-786.607999096763 174.788580142489 -96.3203642459308</t>
  </si>
  <si>
    <t>-776.765003828314 177.798334503386 307.100887043062</t>
  </si>
  <si>
    <t>-856.960313616677 203.425326957637 747.113467834292</t>
  </si>
  <si>
    <t>-711.760133542698 222.328282556367 807.50289405443</t>
  </si>
  <si>
    <t>-686.948818343979 -9.19220485329333 306.607567046476</t>
  </si>
  <si>
    <t>-692.448592565083 -17.7303075158011 754.320027943121</t>
  </si>
  <si>
    <t>-590.66340240899 -113.745167489228 828.537334545409</t>
  </si>
  <si>
    <t>9763-20170724T105139.243204000.bin</t>
  </si>
  <si>
    <t>-765.397542606599 81.47798987024 -93.5534728694502</t>
  </si>
  <si>
    <t>-784.570050862688 75.0257474777411 -207.601849688543</t>
  </si>
  <si>
    <t>-793.075630914607 70.6418225277462 -305.760308002647</t>
  </si>
  <si>
    <t>-798.159523055678 66.8876020890552 -394.632678430278</t>
  </si>
  <si>
    <t>-800.28109358179 63.2950523859388 -483.631688901497</t>
  </si>
  <si>
    <t>-800.135216795327 58.3544863253701 -608.116155426462</t>
  </si>
  <si>
    <t>-767.883079568362 54.6945485322133 -684.610784596233</t>
  </si>
  <si>
    <t>-801.685480319857 88.1758089692128 -554.435746210041</t>
  </si>
  <si>
    <t>-799.892294038095 224.443078627739 -536.399423474984</t>
  </si>
  <si>
    <t>-702.299842228092 251.568668998349 -260.11864153867</t>
  </si>
  <si>
    <t>-461.397988269486 247.939489574484 -258.120146526567</t>
  </si>
  <si>
    <t>-798.713490918957 32.8813119835629 -552.237698613262</t>
  </si>
  <si>
    <t>-627.532300355118 20.9101957338862 -315.876546489285</t>
  </si>
  <si>
    <t>-786.664443711451 174.8855251482 -96.3349315870876</t>
  </si>
  <si>
    <t>-776.770215260724 177.839052069705 307.085474489297</t>
  </si>
  <si>
    <t>-856.962940766117 203.478393700457 747.101283125457</t>
  </si>
  <si>
    <t>-711.811033511907 222.765530553986 807.485105939626</t>
  </si>
  <si>
    <t>-687.045499450001 -9.19308099424939 306.619519393699</t>
  </si>
  <si>
    <t>-692.507431867431 -17.8132828224141 754.3321887737</t>
  </si>
  <si>
    <t>-590.618270604305 -113.728257543593 828.53611980589</t>
  </si>
  <si>
    <t>9763-20170724T105139.313398100.bin</t>
  </si>
  <si>
    <t>-765.594337667947 81.6030764828965 -93.5662666399068</t>
  </si>
  <si>
    <t>-784.773430659396 75.1533652036997 -207.613619893968</t>
  </si>
  <si>
    <t>-793.222656880978 70.7538473806605 -305.776110317372</t>
  </si>
  <si>
    <t>-798.230919466637 66.9778179995571 -394.651935017531</t>
  </si>
  <si>
    <t>-800.252900833867 63.3557123554317 -483.652237681245</t>
  </si>
  <si>
    <t>-799.942252787852 58.3650280217366 -608.134396080026</t>
  </si>
  <si>
    <t>-767.606763431455 54.630908473194 -684.590295781713</t>
  </si>
  <si>
    <t>-801.561325236907 88.2083400051779 -554.467880686977</t>
  </si>
  <si>
    <t>-799.783923324688 224.490958240999 -536.523261331077</t>
  </si>
  <si>
    <t>-702.243088311882 252.090141650455 -260.271053125479</t>
  </si>
  <si>
    <t>-461.382648172345 247.936811491034 -255.809316185923</t>
  </si>
  <si>
    <t>-798.596436422386 32.9141783608952 -552.24381293999</t>
  </si>
  <si>
    <t>-627.424879738933 21.0015090527463 -315.749351728319</t>
  </si>
  <si>
    <t>-786.805652999083 174.97962572208 -96.3651613188604</t>
  </si>
  <si>
    <t>-776.823567417788 177.895801993282 307.053453166811</t>
  </si>
  <si>
    <t>-856.908851441414 203.332589669217 747.093773648909</t>
  </si>
  <si>
    <t>-711.694476679138 222.118081071085 807.485582886169</t>
  </si>
  <si>
    <t>-687.252314896705 -9.08903469045754 306.617119531117</t>
  </si>
  <si>
    <t>-692.533752777894 -17.8235521614461 754.340018061962</t>
  </si>
  <si>
    <t>-590.832450778115 -113.934064937887 828.548393187935</t>
  </si>
  <si>
    <t>9763-20170724T105139.344481600.bin</t>
  </si>
  <si>
    <t>-765.669953733774 81.6835491079266 -93.5716369087951</t>
  </si>
  <si>
    <t>-784.861984584665 75.2277206701262 -207.616494940665</t>
  </si>
  <si>
    <t>-793.291241338647 70.8160974186067 -305.780242894672</t>
  </si>
  <si>
    <t>-798.268884361057 67.0264060114725 -394.657170541566</t>
  </si>
  <si>
    <t>-800.24778692008 63.3873243679225 -483.657708795934</t>
  </si>
  <si>
    <t>-799.864190394319 58.3698358994457 -608.138462956103</t>
  </si>
  <si>
    <t>-767.484204548003 54.5981930856221 -684.573741928115</t>
  </si>
  <si>
    <t>-801.523890177197 88.224134576039 -554.479593196143</t>
  </si>
  <si>
    <t>-799.781182136914 224.514687838391 -536.573419776182</t>
  </si>
  <si>
    <t>-702.223637174492 252.193544178407 -260.335103297479</t>
  </si>
  <si>
    <t>-461.40015160168 247.905555233248 -254.28849664585</t>
  </si>
  <si>
    <t>-798.542178724069 32.9316168311748 -552.241613847158</t>
  </si>
  <si>
    <t>-627.387090147598 21.1398791844995 -315.743420349756</t>
  </si>
  <si>
    <t>-786.882362603938 175.037817272641 -96.3724541603485</t>
  </si>
  <si>
    <t>-776.866418632629 177.969832358031 307.045140384036</t>
  </si>
  <si>
    <t>-856.911025658298 203.376503439461 747.093869583514</t>
  </si>
  <si>
    <t>-711.70200507352 222.217035896256 807.481643341848</t>
  </si>
  <si>
    <t>-687.263128115725 -9.02329087125281 306.611921532437</t>
  </si>
  <si>
    <t>-692.504203504311 -17.749395466599 754.341795183593</t>
  </si>
  <si>
    <t>-590.911600406127 -113.972748025185 828.552903116482</t>
  </si>
  <si>
    <t>9763-20170724T105139.415250900.bin</t>
  </si>
  <si>
    <t>-765.84135779013 81.7716536570558 -93.5867976227463</t>
  </si>
  <si>
    <t>-785.05187411608 75.2968131938947 -207.627429981239</t>
  </si>
  <si>
    <t>-793.459978403618 70.8493070520747 -305.791407617816</t>
  </si>
  <si>
    <t>-798.404246910344 67.0183339357895 -394.668493675426</t>
  </si>
  <si>
    <t>-800.335630314845 63.3293447429369 -483.667885658404</t>
  </si>
  <si>
    <t>-799.871198395716 58.2326448399358 -608.145254341178</t>
  </si>
  <si>
    <t>-767.421979264086 54.4083044625277 -684.548432756798</t>
  </si>
  <si>
    <t>-801.593306423166 88.1195334835445 -554.506381178237</t>
  </si>
  <si>
    <t>-799.940396606628 224.412606346632 -536.670440190065</t>
  </si>
  <si>
    <t>-702.125718141638 252.361307592123 -260.550206095438</t>
  </si>
  <si>
    <t>-461.392833919643 247.936828729926 -251.665308867064</t>
  </si>
  <si>
    <t>-798.557890226248 32.831489753512 -552.231411837031</t>
  </si>
  <si>
    <t>-627.398469591645 21.4135155850079 -315.821545313571</t>
  </si>
  <si>
    <t>-787.116399883681 175.15143675419 -96.3848884689688</t>
  </si>
  <si>
    <t>-776.968933233169 178.059474031819 307.029612056786</t>
  </si>
  <si>
    <t>-856.890225372977 203.361686435999 747.1039815201</t>
  </si>
  <si>
    <t>-711.639355433444 221.856138599977 807.498157363161</t>
  </si>
  <si>
    <t>-687.284454563289 -8.84481347614474 306.588821809497</t>
  </si>
  <si>
    <t>-692.413811811316 -17.5738673751723 754.32054517472</t>
  </si>
  <si>
    <t>-590.992940659289 -113.966707013718 828.54691155542</t>
  </si>
  <si>
    <t>9763-20170724T105139.443316700.bin</t>
  </si>
  <si>
    <t>-765.886181745575 81.8425043950483 -93.5930089528254</t>
  </si>
  <si>
    <t>-785.10912223132 75.3519349277756 -207.63068503039</t>
  </si>
  <si>
    <t>-793.510882586962 70.8857597470865 -305.794306406084</t>
  </si>
  <si>
    <t>-798.44262874728 67.0353686140875 -394.671233807731</t>
  </si>
  <si>
    <t>-800.355088763935 63.3246090639871 -483.670144652546</t>
  </si>
  <si>
    <t>-799.856983671512 58.1951110668128 -608.146056568252</t>
  </si>
  <si>
    <t>-767.382683815878 54.3652405348419 -684.538369153181</t>
  </si>
  <si>
    <t>-801.610934211894 88.0951484300087 -554.515677506295</t>
  </si>
  <si>
    <t>-800.043179712197 224.399653404055 -536.721758367441</t>
  </si>
  <si>
    <t>-702.054118385164 252.549701891728 -260.683764588533</t>
  </si>
  <si>
    <t>-461.385497849499 248.367747091746 -250.100314468723</t>
  </si>
  <si>
    <t>-798.541243027484 32.8096197856291 -552.225106216992</t>
  </si>
  <si>
    <t>-627.381882246775 21.6084898197621 -315.877834211111</t>
  </si>
  <si>
    <t>-787.197326441679 175.218920409993 -96.3998360323059</t>
  </si>
  <si>
    <t>-777.02376955954 178.132663152745 307.013980096549</t>
  </si>
  <si>
    <t>-856.875303631003 203.352907965191 747.107011492184</t>
  </si>
  <si>
    <t>-711.628195660008 221.871472224614 807.502864510418</t>
  </si>
  <si>
    <t>-687.253236622199 -8.77115762255107 306.58306161808</t>
  </si>
  <si>
    <t>-692.382394986283 -17.5015085826351 754.317398411233</t>
  </si>
  <si>
    <t>-590.997770659278 -113.930529893974 828.546080710356</t>
  </si>
  <si>
    <t>9763-20170724T105139.511104900.bin</t>
  </si>
  <si>
    <t>-766.038868927003 81.8368768306773 -93.6010984115005</t>
  </si>
  <si>
    <t>-785.270252518079 75.3263641557742 -207.636159890941</t>
  </si>
  <si>
    <t>-793.643553524751 70.8239230762031 -305.800623463189</t>
  </si>
  <si>
    <t>-798.535758358099 66.9326062696011 -394.677933450843</t>
  </si>
  <si>
    <t>-800.394738584287 63.172684052231 -483.675924487882</t>
  </si>
  <si>
    <t>-799.808035646985 57.9654090229424 -608.148268457788</t>
  </si>
  <si>
    <t>-767.297184253297 54.1252002193082 -684.524378320649</t>
  </si>
  <si>
    <t>-801.637764968951 87.8969251664669 -554.537880391251</t>
  </si>
  <si>
    <t>-800.247676277423 224.209351282027 -536.822618084232</t>
  </si>
  <si>
    <t>-702.202752005585 253.053625955733 -260.876221677788</t>
  </si>
  <si>
    <t>-461.684113900347 249.446974942773 -247.142581370392</t>
  </si>
  <si>
    <t>-798.49475483803 32.6168427831631 -552.210417307484</t>
  </si>
  <si>
    <t>-627.303125393202 21.7201786987962 -315.963585764268</t>
  </si>
  <si>
    <t>-787.378807931268 175.307109852645 -96.4042612896811</t>
  </si>
  <si>
    <t>-777.097693338353 178.204940927481 307.006918031951</t>
  </si>
  <si>
    <t>-856.89363509334 203.49659551948 747.114636615692</t>
  </si>
  <si>
    <t>-711.703526341319 222.482491848831 807.502050170189</t>
  </si>
  <si>
    <t>-687.370111950095 -8.87928386804469 306.580132820515</t>
  </si>
  <si>
    <t>-692.582699877112 -17.849636411803 754.324205994333</t>
  </si>
  <si>
    <t>-590.664021757015 -113.733597432728 828.527505424345</t>
  </si>
  <si>
    <t>9763-20170724T105139.542186400.bin</t>
  </si>
  <si>
    <t>-766.078188703566 81.8945727577395 -93.5971009876619</t>
  </si>
  <si>
    <t>-785.315667131507 75.3779629520034 -207.630701023542</t>
  </si>
  <si>
    <t>-793.6834538626 70.8657608173755 -305.795241170518</t>
  </si>
  <si>
    <t>-798.566462622991 66.9634545872987 -394.672604215686</t>
  </si>
  <si>
    <t>-800.412091051754 63.1910314650524 -483.670267898324</t>
  </si>
  <si>
    <t>-799.80250913182 57.9645456971407 -608.141720528501</t>
  </si>
  <si>
    <t>-767.290500628525 54.122270853059 -684.517331662399</t>
  </si>
  <si>
    <t>-801.662993539788 87.9030633559494 -554.536293421069</t>
  </si>
  <si>
    <t>-800.364680533867 224.221525496376 -536.83837585027</t>
  </si>
  <si>
    <t>-702.275252555763 253.179480536937 -260.919768484789</t>
  </si>
  <si>
    <t>-461.834327448927 249.934937239624 -245.80256403908</t>
  </si>
  <si>
    <t>-798.478642093273 32.6258323285672 -552.199714752436</t>
  </si>
  <si>
    <t>-627.215765789609 21.8279107221799 -315.953506932334</t>
  </si>
  <si>
    <t>-787.474893764771 175.349880405203 -96.4006039432335</t>
  </si>
  <si>
    <t>-777.092990720372 178.217022089815 307.008169319213</t>
  </si>
  <si>
    <t>-856.874121922989 203.444085632161 747.11961227211</t>
  </si>
  <si>
    <t>-711.640167183673 222.076176787964 807.51208055152</t>
  </si>
  <si>
    <t>-687.320207968432 -8.77755512630938 306.57450054527</t>
  </si>
  <si>
    <t>-692.530905011973 -17.742446102154 754.314388157696</t>
  </si>
  <si>
    <t>-591.007317997857 -114.023350944209 828.545620028479</t>
  </si>
  <si>
    <t>9763-20170724T105139.609928000.bin</t>
  </si>
  <si>
    <t>-766.223249362358 82.0376655889154 -93.5964417790207</t>
  </si>
  <si>
    <t>-785.475395482971 75.50984691444 -207.627117485849</t>
  </si>
  <si>
    <t>-793.837440348691 70.9802666697192 -305.791189667506</t>
  </si>
  <si>
    <t>-798.707805378115 67.0585301177164 -394.668397997792</t>
  </si>
  <si>
    <t>-800.53356433312 63.2627689470708 -483.665575330055</t>
  </si>
  <si>
    <t>-799.88861105339 57.9995210556619 -608.13516721783</t>
  </si>
  <si>
    <t>-767.369618450331 54.1451047021451 -684.507304920003</t>
  </si>
  <si>
    <t>-801.78278430416 87.9526930539555 -554.539306081974</t>
  </si>
  <si>
    <t>-800.533296860192 224.270111832967 -536.852241613594</t>
  </si>
  <si>
    <t>-702.17499111999 253.484452865913 -261.056319146851</t>
  </si>
  <si>
    <t>-461.895346051759 250.863459553035 -243.457671939203</t>
  </si>
  <si>
    <t>-798.562086542489 32.6784349257646 -552.185254120264</t>
  </si>
  <si>
    <t>-627.234552384883 22.0459176075221 -316.006678431343</t>
  </si>
  <si>
    <t>-787.631319424016 175.538539387028 -96.4045086900881</t>
  </si>
  <si>
    <t>-777.227015151302 178.359116993975 307.004007643988</t>
  </si>
  <si>
    <t>-856.876290893419 203.498876924823 747.131278778839</t>
  </si>
  <si>
    <t>-711.693972896618 222.568929773707 807.511285963826</t>
  </si>
  <si>
    <t>-687.306542470857 -8.70950286788252 306.559838164317</t>
  </si>
  <si>
    <t>-692.565019506883 -17.7918416567527 754.295083628862</t>
  </si>
  <si>
    <t>-590.705454979484 -113.724591569298 828.516347235884</t>
  </si>
  <si>
    <t>9763-20170724T105139.673113200.bin</t>
  </si>
  <si>
    <t>-766.292674787814 82.1256909439039 -93.5859626488977</t>
  </si>
  <si>
    <t>-785.537772899904 75.5950505998883 -207.617609924973</t>
  </si>
  <si>
    <t>-793.866378460561 71.0730643084678 -305.784990842561</t>
  </si>
  <si>
    <t>-798.695398446309 67.1615851188865 -394.664749544149</t>
  </si>
  <si>
    <t>-800.468535327353 63.3792683177978 -483.663605104243</t>
  </si>
  <si>
    <t>-799.738151692799 58.1378621060119 -608.133660815061</t>
  </si>
  <si>
    <t>-767.208307983187 54.2786902295497 -684.500807799159</t>
  </si>
  <si>
    <t>-801.670591576126 88.0816128298982 -554.533788930906</t>
  </si>
  <si>
    <t>-800.419581363403 224.402301085373 -536.851622552176</t>
  </si>
  <si>
    <t>-702.086901322529 253.562559466766 -261.040899723725</t>
  </si>
  <si>
    <t>-461.899169278737 251.371341353021 -242.174205671005</t>
  </si>
  <si>
    <t>-798.448580032524 32.8070101412152 -552.187349696367</t>
  </si>
  <si>
    <t>-627.214166175474 22.1796392133158 -316.049631005219</t>
  </si>
  <si>
    <t>-787.661088924036 175.631903291018 -96.4029986127827</t>
  </si>
  <si>
    <t>-777.310866724059 178.464702255191 307.006864770394</t>
  </si>
  <si>
    <t>-856.858838721917 203.463453235575 747.151762345243</t>
  </si>
  <si>
    <t>-711.653872410104 222.35028464055 807.534775167156</t>
  </si>
  <si>
    <t>-687.316410546395 -8.65482836907017 306.561597330258</t>
  </si>
  <si>
    <t>-692.661668028399 -17.9495611813852 754.29866088734</t>
  </si>
  <si>
    <t>-590.818841539851 -113.894670211658 828.526950679513</t>
  </si>
  <si>
    <t>9763-20170724T105139.708193600.bin</t>
  </si>
  <si>
    <t>-766.318430540887 82.2796162310342 -93.5856436248043</t>
  </si>
  <si>
    <t>-785.563093194535 75.7545701678514 -207.617564866776</t>
  </si>
  <si>
    <t>-793.859431746969 71.2333125200407 -305.78780159766</t>
  </si>
  <si>
    <t>-798.646294681614 67.3206054689206 -394.669736483285</t>
  </si>
  <si>
    <t>-800.364486525219 63.5344596265015 -483.669563215762</t>
  </si>
  <si>
    <t>-799.544157812581 58.2851448674069 -608.138781149606</t>
  </si>
  <si>
    <t>-766.98414321929 54.4104352440631 -684.492307872905</t>
  </si>
  <si>
    <t>-801.510702194779 88.2325981039075 -554.542206477924</t>
  </si>
  <si>
    <t>-800.227416756768 224.554522071003 -536.849102107304</t>
  </si>
  <si>
    <t>-701.938898676151 253.666041822305 -261.017563521431</t>
  </si>
  <si>
    <t>-461.860980808802 251.874663614314 -240.762217515307</t>
  </si>
  <si>
    <t>-798.299703448318 32.9576708118752 -552.189876352511</t>
  </si>
  <si>
    <t>-627.086132368722 22.2969025815753 -316.052935503213</t>
  </si>
  <si>
    <t>-787.722809522197 175.796658065388 -96.3947840240274</t>
  </si>
  <si>
    <t>-777.259142763417 178.545582136183 307.012735262152</t>
  </si>
  <si>
    <t>-856.852054718157 203.496568284892 747.166569889278</t>
  </si>
  <si>
    <t>-711.62891945612 222.226823815473 807.554507468971</t>
  </si>
  <si>
    <t>-687.299615225633 -8.53621792789522 306.553533124051</t>
  </si>
  <si>
    <t>-692.599368942273 -17.8120560155448 754.287079230915</t>
  </si>
  <si>
    <t>-590.842641895277 -113.840772248089 828.525492923611</t>
  </si>
  <si>
    <t>9763-20170724T105139.743311200.bin</t>
  </si>
  <si>
    <t>-766.32907790404 82.4574154841746 -93.5726288705457</t>
  </si>
  <si>
    <t>-785.5722633048 75.9436089367109 -207.60548701857</t>
  </si>
  <si>
    <t>-793.853791637289 71.4173987142958 -305.776731257781</t>
  </si>
  <si>
    <t>-798.622095420631 67.4942180332059 -394.65930332407</t>
  </si>
  <si>
    <t>-800.316776360355 63.691608081082 -483.658694392462</t>
  </si>
  <si>
    <t>-799.458435178464 58.4123702576542 -608.126555189661</t>
  </si>
  <si>
    <t>-766.869809342639 54.5201823312136 -684.466848505807</t>
  </si>
  <si>
    <t>-801.436300285255 88.3728985405442 -554.53760154754</t>
  </si>
  <si>
    <t>-800.128141577128 224.692242791572 -536.860575978956</t>
  </si>
  <si>
    <t>-701.808174106598 253.835297321523 -261.043612986807</t>
  </si>
  <si>
    <t>-461.816247206295 252.438641913409 -239.765277671204</t>
  </si>
  <si>
    <t>-798.236133735832 33.0979828189402 -552.171086729802</t>
  </si>
  <si>
    <t>-626.98353763344 22.3375179317147 -316.018169594784</t>
  </si>
  <si>
    <t>-787.728254501655 175.942475732329 -96.3787877802649</t>
  </si>
  <si>
    <t>-777.224586596401 178.63692083127 307.028113903376</t>
  </si>
  <si>
    <t>-856.852731057084 203.523829079744 747.177833052755</t>
  </si>
  <si>
    <t>-711.652470782199 222.438455030516 807.563539044495</t>
  </si>
  <si>
    <t>-687.19991903018 -8.42580528555482 306.545765720483</t>
  </si>
  <si>
    <t>-692.511135724234 -17.6397875452981 754.277583792833</t>
  </si>
  <si>
    <t>-590.982263701025 -113.898412044708 828.53018850617</t>
  </si>
  <si>
    <t>9763-20170724T105139.813478800.bin</t>
  </si>
  <si>
    <t>-766.346090868691 82.5268649310149 -93.5421459800359</t>
  </si>
  <si>
    <t>-785.612760229822 76.0261861766826 -207.57175494258</t>
  </si>
  <si>
    <t>-793.890187568599 71.4870534761835 -305.742704833315</t>
  </si>
  <si>
    <t>-798.645618239176 67.541843599897 -394.625066755658</t>
  </si>
  <si>
    <t>-800.318467327157 63.7060176566008 -483.623432358171</t>
  </si>
  <si>
    <t>-799.420385941315 58.3686189645052 -608.088451774833</t>
  </si>
  <si>
    <t>-766.780122833472 54.4319084384322 -684.404537573971</t>
  </si>
  <si>
    <t>-801.386559750628 88.3559154421505 -554.514122234977</t>
  </si>
  <si>
    <t>-799.994840338977 224.677908762908 -536.850344371551</t>
  </si>
  <si>
    <t>-701.617388500704 253.908252903617 -261.062934638815</t>
  </si>
  <si>
    <t>-461.85434690247 253.520020907394 -237.305180447855</t>
  </si>
  <si>
    <t>-798.244550143088 33.078869124219 -552.121087025145</t>
  </si>
  <si>
    <t>-627.00714922913 22.2298321984395 -315.955457838628</t>
  </si>
  <si>
    <t>-787.679934757039 176.052138566849 -96.3521192893517</t>
  </si>
  <si>
    <t>-777.189330075457 178.685321365769 307.055451501472</t>
  </si>
  <si>
    <t>-856.838551794882 203.522601693905 747.202475785537</t>
  </si>
  <si>
    <t>-711.645359488833 222.489737326134 807.588418320125</t>
  </si>
  <si>
    <t>-687.128257022325 -8.34129309325067 306.538082923592</t>
  </si>
  <si>
    <t>-692.489587136853 -17.5799117911561 754.266579725358</t>
  </si>
  <si>
    <t>-590.939164985146 -113.812599300722 828.523451032299</t>
  </si>
  <si>
    <t>9763-20170724T105139.839546800.bin</t>
  </si>
  <si>
    <t>-766.348749073694 82.6062072800294 -93.5276788328603</t>
  </si>
  <si>
    <t>-785.634316450038 76.1057971000096 -207.554129294628</t>
  </si>
  <si>
    <t>-793.905977023675 71.560676444986 -305.725378873571</t>
  </si>
  <si>
    <t>-798.647427642452 67.6069357408528 -394.608021037256</t>
  </si>
  <si>
    <t>-800.297929683122 63.759046144407 -483.606384275982</t>
  </si>
  <si>
    <t>-799.359613824123 58.4003366506927 -608.070090080343</t>
  </si>
  <si>
    <t>-766.683849290511 54.4318115678163 -684.369289999218</t>
  </si>
  <si>
    <t>-801.329749765711 88.3975706026049 -554.501362841589</t>
  </si>
  <si>
    <t>-799.885617757109 224.718842945887 -536.850639470228</t>
  </si>
  <si>
    <t>-701.517727646767 253.980828765594 -261.063301526738</t>
  </si>
  <si>
    <t>-461.870445017206 254.122541213597 -236.162149033654</t>
  </si>
  <si>
    <t>-798.215276116293 33.1192821169029 -552.098049364969</t>
  </si>
  <si>
    <t>-627.011919791536 22.18258505882 -315.954870823369</t>
  </si>
  <si>
    <t>-787.666582189923 176.127944901194 -96.3363536495268</t>
  </si>
  <si>
    <t>-777.155745542567 178.72950817583 307.07091554513</t>
  </si>
  <si>
    <t>-856.83614934087 203.530195344836 747.214951482203</t>
  </si>
  <si>
    <t>-711.646709106309 222.547114867079 807.59455981719</t>
  </si>
  <si>
    <t>-687.036976124791 -8.29673104906419 306.537226557324</t>
  </si>
  <si>
    <t>-692.519752966011 -17.6214600911155 754.261210301856</t>
  </si>
  <si>
    <t>-591.036521909867 -113.91885156108 828.526000886278</t>
  </si>
  <si>
    <t>9763-20170724T105139.906744300.bin</t>
  </si>
  <si>
    <t>-766.341153782846 82.6508892299826 -93.5088751249233</t>
  </si>
  <si>
    <t>-785.65916107393 76.1607450249126 -207.530532873652</t>
  </si>
  <si>
    <t>-793.918746957525 71.5904906603216 -305.701346440575</t>
  </si>
  <si>
    <t>-798.634184879199 67.6002653545859 -394.583884701602</t>
  </si>
  <si>
    <t>-800.243512689247 63.7015203957042 -483.580734642196</t>
  </si>
  <si>
    <t>-799.232703953674 58.2561153051668 -608.040214212548</t>
  </si>
  <si>
    <t>-766.498378261646 54.2117036663049 -684.310284367069</t>
  </si>
  <si>
    <t>-801.212780262813 88.2919040251575 -554.493462542484</t>
  </si>
  <si>
    <t>-799.665744251509 224.620588709518 -536.910294408696</t>
  </si>
  <si>
    <t>-701.295088587831 253.987628666885 -261.135147834209</t>
  </si>
  <si>
    <t>-461.848677644319 254.946394435487 -234.388913576769</t>
  </si>
  <si>
    <t>-798.142251568793 33.0128926720167 -552.049986627147</t>
  </si>
  <si>
    <t>-627.023957440554 22.0142996928032 -315.875811473984</t>
  </si>
  <si>
    <t>-787.634284020659 176.227650093539 -96.3107760449913</t>
  </si>
  <si>
    <t>-776.978150786274 178.68431646778 307.093609386977</t>
  </si>
  <si>
    <t>-856.80669056689 203.444327290515 747.225838658932</t>
  </si>
  <si>
    <t>-711.592215545863 222.27386243772 807.604209800032</t>
  </si>
  <si>
    <t>-686.90364130564 -8.18357056975606 306.524734493045</t>
  </si>
  <si>
    <t>-692.523306544241 -17.6247099379204 754.237527392049</t>
  </si>
  <si>
    <t>-591.145304393887 -114.012149359055 828.529420271826</t>
  </si>
  <si>
    <t>9763-20170724T105139.944832600.bin</t>
  </si>
  <si>
    <t>-766.385460668891 82.724697684705 -93.5083956727597</t>
  </si>
  <si>
    <t>-785.706742377462 76.2396789419042 -207.529697585589</t>
  </si>
  <si>
    <t>-793.95459887058 71.6520356854098 -305.700863048753</t>
  </si>
  <si>
    <t>-798.653943619189 67.6376184355356 -394.583128704094</t>
  </si>
  <si>
    <t>-800.242022104431 63.7059618355827 -483.578940253731</t>
  </si>
  <si>
    <t>-799.19667137721 58.2056176980691 -608.035597638053</t>
  </si>
  <si>
    <t>-766.441289071347 54.1207405999003 -684.294541588572</t>
  </si>
  <si>
    <t>-801.184225329839 88.2653345467188 -554.502730927649</t>
  </si>
  <si>
    <t>-799.624782850818 224.601277626742 -536.979797905624</t>
  </si>
  <si>
    <t>-701.265690499601 254.118391809997 -261.216463604464</t>
  </si>
  <si>
    <t>-461.924264332531 255.621918662868 -233.570587553909</t>
  </si>
  <si>
    <t>-798.129175111721 32.9866186095192 -552.034040773634</t>
  </si>
  <si>
    <t>-627.060282064527 22.0986556936439 -315.798527757113</t>
  </si>
  <si>
    <t>-787.640086324413 176.331098002256 -96.3058289108753</t>
  </si>
  <si>
    <t>-776.909750545116 178.712518012382 307.097006452445</t>
  </si>
  <si>
    <t>-856.795949815759 203.427234569538 747.228140972932</t>
  </si>
  <si>
    <t>-711.57889453317 222.238933176397 807.60555920779</t>
  </si>
  <si>
    <t>-686.908060808456 -8.15507693726295 306.52272715508</t>
  </si>
  <si>
    <t>-692.532694338449 -17.635019516845 754.23011951116</t>
  </si>
  <si>
    <t>-591.013799150056 -113.874757596793 828.521035846077</t>
  </si>
  <si>
    <t>9763-20170724T105140.012190600.bin</t>
  </si>
  <si>
    <t>-766.533940327256 83.1633793217745 -93.5226525649701</t>
  </si>
  <si>
    <t>-785.828536349518 76.6691872774538 -207.547900802026</t>
  </si>
  <si>
    <t>-794.033467698335 72.0208729777314 -305.719940330234</t>
  </si>
  <si>
    <t>-798.687063066481 67.9305863952839 -394.600974995269</t>
  </si>
  <si>
    <t>-800.223269129675 63.9016406296569 -483.593413886079</t>
  </si>
  <si>
    <t>-799.099237814499 58.2425240563184 -608.042346797141</t>
  </si>
  <si>
    <t>-766.307171819511 54.0499975581254 -684.279662534934</t>
  </si>
  <si>
    <t>-801.109068649524 88.3712465129845 -554.548995502617</t>
  </si>
  <si>
    <t>-799.526158691678 224.726639102809 -537.176907036488</t>
  </si>
  <si>
    <t>-701.159884587497 254.539943274871 -261.447934189755</t>
  </si>
  <si>
    <t>-462.115470695049 257.384433023386 -231.438217622978</t>
  </si>
  <si>
    <t>-798.078607556832 33.0944420970222 -552.00801683006</t>
  </si>
  <si>
    <t>-627.121267751905 22.4146247858448 -315.615951283971</t>
  </si>
  <si>
    <t>-787.745347445507 176.704422888456 -96.3426650684158</t>
  </si>
  <si>
    <t>-776.999014671696 178.983232014549 307.060344651549</t>
  </si>
  <si>
    <t>-856.788928067862 203.46038462086 747.227475802193</t>
  </si>
  <si>
    <t>-711.597997661796 222.48969736569 807.59916192545</t>
  </si>
  <si>
    <t>-686.918466078581 -7.90467927756049 306.516916891035</t>
  </si>
  <si>
    <t>-692.548886383884 -17.6248185376412 754.225113756227</t>
  </si>
  <si>
    <t>-591.194836319829 -114.026524120216 828.530873872251</t>
  </si>
  <si>
    <t>9763-20170724T105140.041266400.bin</t>
  </si>
  <si>
    <t>-766.622785991331 83.3217869831351 -93.5360609076854</t>
  </si>
  <si>
    <t>-785.893896863828 76.8169199965087 -207.564618251284</t>
  </si>
  <si>
    <t>-794.075126174488 72.1422728230298 -305.737331868555</t>
  </si>
  <si>
    <t>-798.706294950201 68.0212651223817 -394.618155841732</t>
  </si>
  <si>
    <t>-800.219303391315 63.9543110852405 -483.609255637609</t>
  </si>
  <si>
    <t>-799.062371452155 58.2349026709323 -608.055178335674</t>
  </si>
  <si>
    <t>-766.253898408041 53.9903181764812 -684.282510757805</t>
  </si>
  <si>
    <t>-801.083925881054 88.3896632618566 -554.576959139417</t>
  </si>
  <si>
    <t>-799.513108857778 224.752409389926 -537.275126160976</t>
  </si>
  <si>
    <t>-701.150557330806 254.812065659863 -261.571708403068</t>
  </si>
  <si>
    <t>-462.317423740159 258.707359485638 -230.037602312094</t>
  </si>
  <si>
    <t>-798.058975910521 33.1138166790647 -552.008320516646</t>
  </si>
  <si>
    <t>-627.160451573715 22.5187855677136 -315.529765369964</t>
  </si>
  <si>
    <t>-787.820453634905 176.862955275657 -96.3681026667962</t>
  </si>
  <si>
    <t>-777.04309245144 179.091993726559 307.034365859233</t>
  </si>
  <si>
    <t>-856.771251989017 203.43524590641 747.230304923285</t>
  </si>
  <si>
    <t>-711.552667711448 222.235377549577 807.60774974383</t>
  </si>
  <si>
    <t>-686.960940970341 -7.8218852575169 306.511737000305</t>
  </si>
  <si>
    <t>-692.560518153575 -17.6283978314441 754.222102505563</t>
  </si>
  <si>
    <t>-591.128634474092 -113.952152115408 828.522795143089</t>
  </si>
  <si>
    <t>9763-20170724T105140.110583200.bin</t>
  </si>
  <si>
    <t>-766.758077832342 83.6654713505086 -93.5205411271389</t>
  </si>
  <si>
    <t>-786.01481372221 77.1369102238475 -207.55036633478</t>
  </si>
  <si>
    <t>-794.15725369988 72.4164906198766 -305.723928847286</t>
  </si>
  <si>
    <t>-798.743658441776 68.2429962473861 -394.604791309002</t>
  </si>
  <si>
    <t>-800.20191395844 64.1124244630728 -483.593807635051</t>
  </si>
  <si>
    <t>-798.958837277149 58.2916087282726 -608.034155809592</t>
  </si>
  <si>
    <t>-766.075822339829 53.9714529262853 -684.225104975604</t>
  </si>
  <si>
    <t>-801.027088072025 88.4893621215242 -554.581989968348</t>
  </si>
  <si>
    <t>-799.503676527443 224.869111921252 -537.386801585434</t>
  </si>
  <si>
    <t>-701.205429024786 255.292885669116 -261.700411195089</t>
  </si>
  <si>
    <t>-462.86975047942 261.283122904563 -226.900440604316</t>
  </si>
  <si>
    <t>-797.984690051174 33.2167592625144 -551.966267377025</t>
  </si>
  <si>
    <t>-627.245390664103 22.7844428946482 -315.402304466706</t>
  </si>
  <si>
    <t>-788.026032787333 177.22430895477 -96.368274488249</t>
  </si>
  <si>
    <t>-777.051634300473 179.296212679789 307.029739987916</t>
  </si>
  <si>
    <t>-856.755016558574 203.450821446319 747.23556571393</t>
  </si>
  <si>
    <t>-711.555785688731 222.399074697372 807.613125344206</t>
  </si>
  <si>
    <t>-686.860879346278 -7.48196923526916 306.509472629291</t>
  </si>
  <si>
    <t>-692.509548573439 -17.5055048747242 754.213457434653</t>
  </si>
  <si>
    <t>-591.543047879361 -114.292420218335 828.546185739702</t>
  </si>
  <si>
    <t>9763-20170724T105140.142670000.bin</t>
  </si>
  <si>
    <t>-766.86086709478 83.8107555658996 -93.5178692288121</t>
  </si>
  <si>
    <t>-786.128535125366 77.264229157814 -207.544735697907</t>
  </si>
  <si>
    <t>-794.266838606246 72.5202164604048 -305.717622428078</t>
  </si>
  <si>
    <t>-798.843709210671 68.3218527424087 -394.59772219596</t>
  </si>
  <si>
    <t>-800.287389769111 64.1627253799372 -483.585573253242</t>
  </si>
  <si>
    <t>-799.018126587149 58.297980410659 -608.023686959795</t>
  </si>
  <si>
    <t>-766.067573956483 53.9722290148829 -684.185214539312</t>
  </si>
  <si>
    <t>-801.106612054774 88.51402556009 -554.582623458827</t>
  </si>
  <si>
    <t>-799.603304574412 224.899055842859 -537.433290338703</t>
  </si>
  <si>
    <t>-701.339070736907 255.641388788613 -261.770104797135</t>
  </si>
  <si>
    <t>-463.314657636859 263.093090700468 -225.16820489019</t>
  </si>
  <si>
    <t>-798.046534213485 33.243405695491 -551.946551894198</t>
  </si>
  <si>
    <t>-627.367727013318 22.9435502837689 -315.352919249055</t>
  </si>
  <si>
    <t>-788.148415802129 177.371780352377 -96.3709582063649</t>
  </si>
  <si>
    <t>-777.082223340549 179.37990726761 307.024855878165</t>
  </si>
  <si>
    <t>-856.746532625811 203.441127378297 747.239782258438</t>
  </si>
  <si>
    <t>-711.523893143058 222.194960724569 807.62201469406</t>
  </si>
  <si>
    <t>-686.876329485201 -7.39919089164482 306.5086636898</t>
  </si>
  <si>
    <t>-692.535037229344 -17.5446691976902 754.204804215686</t>
  </si>
  <si>
    <t>-591.409077418192 -114.166379541734 828.535741472157</t>
  </si>
  <si>
    <t>9763-20170724T105140.209851300.bin</t>
  </si>
  <si>
    <t>-767.090797173597 84.119752348641 -93.5071760682828</t>
  </si>
  <si>
    <t>-786.381913381223 77.5472593055147 -207.528618409407</t>
  </si>
  <si>
    <t>-794.578654185173 72.7462485818462 -305.69379540646</t>
  </si>
  <si>
    <t>-799.224752308723 68.4828603653705 -394.567200816187</t>
  </si>
  <si>
    <t>-800.754216523746 64.2460880330659 -483.550036713604</t>
  </si>
  <si>
    <t>-799.62312366697 58.2605897315789 -607.983673442402</t>
  </si>
  <si>
    <t>-766.452362914085 53.9983744074227 -684.053158514653</t>
  </si>
  <si>
    <t>-801.675073226062 88.527308214864 -554.569926419829</t>
  </si>
  <si>
    <t>-800.217704583184 224.932491104295 -537.541050305567</t>
  </si>
  <si>
    <t>-701.606489090547 256.584921783969 -262.104886344935</t>
  </si>
  <si>
    <t>-464.257995569703 266.7615720675 -221.942279032722</t>
  </si>
  <si>
    <t>-798.566684920866 33.2617162824597 -551.883249968326</t>
  </si>
  <si>
    <t>-627.805874036272 23.4258524376114 -315.203254699429</t>
  </si>
  <si>
    <t>-788.41587267894 177.692646935027 -96.3734776394916</t>
  </si>
  <si>
    <t>-777.093426648027 179.550768067534 307.015944651681</t>
  </si>
  <si>
    <t>-856.730093329782 203.434824510309 747.240232236347</t>
  </si>
  <si>
    <t>-711.507181320928 222.186653575958 807.621992444541</t>
  </si>
  <si>
    <t>-686.846216139462 -7.19670172556926 306.497658819959</t>
  </si>
  <si>
    <t>-692.573875639197 -17.5835912874682 754.196351921813</t>
  </si>
  <si>
    <t>-591.402374420407 -114.153648571963 828.532298477366</t>
  </si>
  <si>
    <t>9763-20170724T105140.242939500.bin</t>
  </si>
  <si>
    <t>-767.203823538228 84.2363916792594 -93.5035082659567</t>
  </si>
  <si>
    <t>-786.520844724769 77.6488531866444 -207.51964615202</t>
  </si>
  <si>
    <t>-794.776240225135 72.8120676287106 -305.678234831133</t>
  </si>
  <si>
    <t>-799.490393768358 68.5076842246231 -394.546062171904</t>
  </si>
  <si>
    <t>-801.103362502782 64.2222126001145 -483.52515790066</t>
  </si>
  <si>
    <t>-800.105316727996 58.1610498253124 -607.956208294856</t>
  </si>
  <si>
    <t>-766.799468387962 53.9404831545426 -683.968873644501</t>
  </si>
  <si>
    <t>-802.110369891802 88.4596654498027 -554.558807280334</t>
  </si>
  <si>
    <t>-800.681845681426 224.871978141304 -537.620122287696</t>
  </si>
  <si>
    <t>-701.879009674467 257.137009719288 -262.323635962193</t>
  </si>
  <si>
    <t>-464.865067805284 268.669107175283 -220.582710128129</t>
  </si>
  <si>
    <t>-798.978488830882 33.1968608613331 -551.841619211333</t>
  </si>
  <si>
    <t>-628.113731511699 23.5836626682749 -315.146988703655</t>
  </si>
  <si>
    <t>-788.543321892792 177.798553138261 -96.379734699137</t>
  </si>
  <si>
    <t>-777.153849816998 179.640314702991 307.007805999566</t>
  </si>
  <si>
    <t>-856.710652809583 203.40263869456 747.247570260498</t>
  </si>
  <si>
    <t>-711.458979989544 221.913377487919 807.634527947557</t>
  </si>
  <si>
    <t>-686.830765929636 -7.11061353814989 306.489213743651</t>
  </si>
  <si>
    <t>-692.604133956972 -17.628333563908 754.190544432182</t>
  </si>
  <si>
    <t>-591.32913815579 -114.090366911078 828.525960951401</t>
  </si>
  <si>
    <t>9763-20170724T105140.310648400.bin</t>
  </si>
  <si>
    <t>-767.591968567812 84.464870497635 -93.4864817825852</t>
  </si>
  <si>
    <t>-786.972527830398 77.8558230371302 -207.490588641282</t>
  </si>
  <si>
    <t>-795.35948203636 72.9751893393707 -305.635812490163</t>
  </si>
  <si>
    <t>-800.223884745144 68.6227404588235 -394.493184389962</t>
  </si>
  <si>
    <t>-802.01923977149 64.2823698574555 -483.466155239356</t>
  </si>
  <si>
    <t>-801.30940828532 58.1384154548361 -607.895010259238</t>
  </si>
  <si>
    <t>-767.824785865362 54.0294282456609 -683.835273667515</t>
  </si>
  <si>
    <t>-803.220456495026 88.470840447276 -554.513326582271</t>
  </si>
  <si>
    <t>-801.796800944923 224.900675196381 -537.707465776116</t>
  </si>
  <si>
    <t>-702.776913384003 258.381680366243 -262.634208092555</t>
  </si>
  <si>
    <t>-466.342596702904 271.664104482658 -218.212622092844</t>
  </si>
  <si>
    <t>-800.023140456104 33.2132046115637 -551.76678405298</t>
  </si>
  <si>
    <t>-629.09559033603 23.992247512796 -315.145502456203</t>
  </si>
  <si>
    <t>-789.029390547386 178.112675542675 -96.3642485276608</t>
  </si>
  <si>
    <t>-777.265129794989 179.766284007971 307.013445364992</t>
  </si>
  <si>
    <t>-856.693981407636 203.397403530191 747.278302263112</t>
  </si>
  <si>
    <t>-711.446008294118 221.963882848126 807.657064151828</t>
  </si>
  <si>
    <t>-686.883046941135 -6.95901961337245 306.477626427474</t>
  </si>
  <si>
    <t>-692.687341625403 -17.7317883365731 754.181560096958</t>
  </si>
  <si>
    <t>-591.185949724498 -113.965444937939 828.504223681759</t>
  </si>
  <si>
    <t>9763-20170724T105140.343733400.bin</t>
  </si>
  <si>
    <t>-767.755949454461 84.5140078381348 -93.4727267572273</t>
  </si>
  <si>
    <t>-787.151617615207 77.9114474016947 -207.474692409328</t>
  </si>
  <si>
    <t>-795.592383621372 73.0215101564518 -305.614876472546</t>
  </si>
  <si>
    <t>-800.522312501872 68.6558791648019 -394.468048565949</t>
  </si>
  <si>
    <t>-802.400230625963 64.2982276996042 -483.438323497771</t>
  </si>
  <si>
    <t>-801.823666971301 58.1266889854262 -607.866491299312</t>
  </si>
  <si>
    <t>-768.300419859437 54.0709135509417 -683.792786729314</t>
  </si>
  <si>
    <t>-803.69029025239 88.4702242387432 -554.489685694459</t>
  </si>
  <si>
    <t>-802.307648960293 224.902576878653 -537.741222353158</t>
  </si>
  <si>
    <t>-703.292416009033 259.084082910064 -262.752591159814</t>
  </si>
  <si>
    <t>-467.078720095761 272.938616315515 -217.342707939814</t>
  </si>
  <si>
    <t>-800.464469104953 33.2147649994977 -551.734051303668</t>
  </si>
  <si>
    <t>-629.495938968518 24.1832094842196 -315.149004107119</t>
  </si>
  <si>
    <t>-789.166930038745 178.183297596404 -96.3518197383145</t>
  </si>
  <si>
    <t>-777.348827113606 179.77267023259 307.024522373803</t>
  </si>
  <si>
    <t>-856.688604223296 203.400906560859 747.304427620905</t>
  </si>
  <si>
    <t>-711.431103621806 221.893035710827 807.683220745968</t>
  </si>
  <si>
    <t>-686.906582636699 -6.89859912353973 306.460173916197</t>
  </si>
  <si>
    <t>-692.719056994657 -17.7749156847908 754.171205211863</t>
  </si>
  <si>
    <t>-591.034668060242 -113.819451305712 828.488258355168</t>
  </si>
  <si>
    <t>9763-20170724T105140.409168200.bin</t>
  </si>
  <si>
    <t>-767.862617621361 84.9051513471372 -93.4610762774223</t>
  </si>
  <si>
    <t>-787.291530775751 78.302165881269 -207.457227007068</t>
  </si>
  <si>
    <t>-795.823221449592 73.423650365557 -305.59023642601</t>
  </si>
  <si>
    <t>-800.860249537965 69.075186052246 -394.438130385496</t>
  </si>
  <si>
    <t>-802.869949191523 64.7430904504308 -483.406868042125</t>
  </si>
  <si>
    <t>-802.503429903544 58.6173572230614 -607.83822253494</t>
  </si>
  <si>
    <t>-768.94006004042 54.6676190629134 -683.752136281907</t>
  </si>
  <si>
    <t>-804.309878436412 88.9395399374139 -554.446992590578</t>
  </si>
  <si>
    <t>-802.980474903741 225.381727403515 -537.762031637487</t>
  </si>
  <si>
    <t>-703.91270696621 260.096810556067 -262.859127013935</t>
  </si>
  <si>
    <t>-467.963602962915 274.695250517257 -216.321263013114</t>
  </si>
  <si>
    <t>-801.019594518187 33.6864544539264 -551.717249601124</t>
  </si>
  <si>
    <t>-630.021806588101 24.9512817494858 -315.084623313206</t>
  </si>
  <si>
    <t>-789.278377169796 178.510669735758 -96.3336193140226</t>
  </si>
  <si>
    <t>-777.487813160289 180.027849794124 307.043798010569</t>
  </si>
  <si>
    <t>-856.663201713968 203.368696972206 747.363133620441</t>
  </si>
  <si>
    <t>-711.395985796881 221.768668589301 807.746628112871</t>
  </si>
  <si>
    <t>-686.71536317074 -6.54263346196444 306.428857685412</t>
  </si>
  <si>
    <t>-692.56115317087 -17.4513662165621 754.133765233896</t>
  </si>
  <si>
    <t>-591.503656750254 -114.118644170652 828.498458468219</t>
  </si>
  <si>
    <t>9763-20170724T105140.440250400.bin</t>
  </si>
  <si>
    <t>-767.928979809954 85.0918572034161 -93.452624468541</t>
  </si>
  <si>
    <t>-787.363120295284 78.5014297350194 -207.448593657815</t>
  </si>
  <si>
    <t>-795.90969952897 73.6516549208418 -305.581662276345</t>
  </si>
  <si>
    <t>-800.964171984035 69.3372019456838 -394.430265702855</t>
  </si>
  <si>
    <t>-802.994898418346 65.0476744338914 -483.400651805386</t>
  </si>
  <si>
    <t>-802.661041345501 58.9907874603534 -607.835478036207</t>
  </si>
  <si>
    <t>-769.088548977563 55.0930678745267 -683.74804808648</t>
  </si>
  <si>
    <t>-804.470162881499 89.2822999612672 -554.427033687602</t>
  </si>
  <si>
    <t>-803.169194794212 225.726538857381 -537.735753238484</t>
  </si>
  <si>
    <t>-704.248876078137 260.431321890926 -262.778450280168</t>
  </si>
  <si>
    <t>-468.34835173178 275.233619359954 -216.059371847276</t>
  </si>
  <si>
    <t>-801.145715472551 34.0299376862697 -551.728680856596</t>
  </si>
  <si>
    <t>-630.170198836043 25.2700539192151 -315.080988813092</t>
  </si>
  <si>
    <t>-789.350770746655 178.700309076407 -96.3121382540386</t>
  </si>
  <si>
    <t>-777.512693127505 180.161011882441 307.064081202884</t>
  </si>
  <si>
    <t>-856.652772546419 203.374168496635 747.398816523176</t>
  </si>
  <si>
    <t>-711.392043896145 221.8197625602 807.784127210345</t>
  </si>
  <si>
    <t>-686.706463247466 -6.48305988139646 306.418661877501</t>
  </si>
  <si>
    <t>-692.652723662469 -17.5946471569143 754.127671897762</t>
  </si>
  <si>
    <t>-591.520352648002 -114.183403370895 828.49268482209</t>
  </si>
  <si>
    <t>9763-20170724T105140.509005100.bin</t>
  </si>
  <si>
    <t>-768.087916269589 85.3418966820691 -93.4079067305872</t>
  </si>
  <si>
    <t>-787.546932862957 78.7826311880444 -207.401507068082</t>
  </si>
  <si>
    <t>-796.14499268004 73.9887665173887 -305.532797724611</t>
  </si>
  <si>
    <t>-801.257625504393 69.737479542644 -394.381155267382</t>
  </si>
  <si>
    <t>-803.357835239364 65.524837314756 -483.35343401372</t>
  </si>
  <si>
    <t>-803.132320599461 59.5903492916918 -607.79442684583</t>
  </si>
  <si>
    <t>-769.568703263711 55.7711113105318 -683.714956109887</t>
  </si>
  <si>
    <t>-804.913570884709 89.8282672960772 -554.354614013538</t>
  </si>
  <si>
    <t>-803.673176133303 226.270017800123 -537.623157894301</t>
  </si>
  <si>
    <t>-704.925673095779 260.681836649579 -262.566893251913</t>
  </si>
  <si>
    <t>-469.082768880156 275.578318060083 -215.587488254597</t>
  </si>
  <si>
    <t>-801.54965636587 34.5754938650136 -551.713589194779</t>
  </si>
  <si>
    <t>-630.530275155293 25.7021364871118 -315.020430167483</t>
  </si>
  <si>
    <t>-789.511697785842 178.979954049555 -96.2472418081483</t>
  </si>
  <si>
    <t>-777.502951535385 180.2583130847 307.124594220202</t>
  </si>
  <si>
    <t>-856.629239328713 203.343739813769 747.466226863164</t>
  </si>
  <si>
    <t>-711.360208047053 221.738296148216 807.846922682179</t>
  </si>
  <si>
    <t>-686.650770832992 -6.35170232588553 306.400496825239</t>
  </si>
  <si>
    <t>-692.626771883092 -17.549695636759 754.094710061299</t>
  </si>
  <si>
    <t>-591.216779621748 -113.838590700785 828.470593606248</t>
  </si>
  <si>
    <t>9763-20170724T105140.543096500.bin</t>
  </si>
  <si>
    <t>-768.04243739517 85.4083650489158 -93.386804464098</t>
  </si>
  <si>
    <t>-787.504943707112 78.8520425781005 -207.379865983229</t>
  </si>
  <si>
    <t>-796.13323465244 74.0779500314143 -305.509605521083</t>
  </si>
  <si>
    <t>-801.283514055761 69.8521950484451 -394.357026528981</t>
  </si>
  <si>
    <t>-803.431558109836 65.6728189323994 -483.32978991755</t>
  </si>
  <si>
    <t>-803.283871421307 59.7936957612717 -607.773446804516</t>
  </si>
  <si>
    <t>-769.734731013951 56.0036778576705 -683.701758767224</t>
  </si>
  <si>
    <t>-805.037264380351 90.0074969023883 -554.319112529032</t>
  </si>
  <si>
    <t>-803.787536173717 226.442987305657 -537.545310677677</t>
  </si>
  <si>
    <t>-705.158247972335 260.806665834101 -262.440732336392</t>
  </si>
  <si>
    <t>-469.333280884514 275.649278411048 -215.354065355251</t>
  </si>
  <si>
    <t>-801.660399007299 34.7541527839228 -551.704673081507</t>
  </si>
  <si>
    <t>-630.572799404611 25.8490236216685 -314.985264850373</t>
  </si>
  <si>
    <t>-789.447894688873 179.008071973839 -96.2150305839352</t>
  </si>
  <si>
    <t>-777.463571618443 180.280192012132 307.157566796244</t>
  </si>
  <si>
    <t>-856.622517728058 203.343887435387 747.49130279887</t>
  </si>
  <si>
    <t>-711.362452032282 221.824638168409 807.86741662637</t>
  </si>
  <si>
    <t>-686.54970585893 -6.22055943369833 306.392847518385</t>
  </si>
  <si>
    <t>-692.572792616873 -17.4394849345763 754.08224508439</t>
  </si>
  <si>
    <t>-591.483620753705 -114.043173292233 828.486698908966</t>
  </si>
  <si>
    <t>9763-20170724T105140.609863900.bin</t>
  </si>
  <si>
    <t>-767.944582780494 85.5237910703956 -93.3535159459294</t>
  </si>
  <si>
    <t>-787.426700929064 78.9827590249529 -207.344249462762</t>
  </si>
  <si>
    <t>-796.112396515784 74.2615181647632 -305.471196286701</t>
  </si>
  <si>
    <t>-801.330400685811 70.1000316379022 -394.317697576999</t>
  </si>
  <si>
    <t>-803.561274883012 66.0026891127632 -483.292257281459</t>
  </si>
  <si>
    <t>-803.544675342097 60.2565902568385 -607.74227848854</t>
  </si>
  <si>
    <t>-770.008742575053 56.5551210401777 -683.680843293514</t>
  </si>
  <si>
    <t>-805.253737117467 90.4123960207414 -554.253866734897</t>
  </si>
  <si>
    <t>-804.061118024228 226.834744891029 -537.413359064937</t>
  </si>
  <si>
    <t>-705.625219703678 261.018402094134 -262.216866737859</t>
  </si>
  <si>
    <t>-469.828574233863 275.902437409021 -215.001320226913</t>
  </si>
  <si>
    <t>-801.850428350669 35.157834985461 -551.702145243915</t>
  </si>
  <si>
    <t>-630.70186715997 26.1292362074187 -314.991994032241</t>
  </si>
  <si>
    <t>-789.324804128538 179.140548681545 -96.1571988020384</t>
  </si>
  <si>
    <t>-777.348107767231 180.363982106049 307.215692900933</t>
  </si>
  <si>
    <t>-856.609016779048 203.336575635977 747.532955858525</t>
  </si>
  <si>
    <t>-711.350109182835 221.870705697243 807.895783656032</t>
  </si>
  <si>
    <t>-686.347099305689 -6.24031139608496 306.388082849427</t>
  </si>
  <si>
    <t>-692.645995684223 -17.5534953563065 754.074069936331</t>
  </si>
  <si>
    <t>-591.362977716484 -113.950218610942 828.482898280564</t>
  </si>
  <si>
    <t>9763-20170724T105140.641948100.bin</t>
  </si>
  <si>
    <t>-767.906261570813 85.5726454494995 -93.3428520620429</t>
  </si>
  <si>
    <t>-787.400081657657 79.0441174354237 -207.332260123545</t>
  </si>
  <si>
    <t>-796.111972232798 74.3475066103067 -305.45815981619</t>
  </si>
  <si>
    <t>-801.359978232142 70.2144531457859 -394.304184700816</t>
  </si>
  <si>
    <t>-803.626785610836 66.1516266498165 -483.279553234844</t>
  </si>
  <si>
    <t>-803.666736441758 60.4612159029266 -607.732012430315</t>
  </si>
  <si>
    <t>-770.131345320033 56.8171533952532 -683.673670269526</t>
  </si>
  <si>
    <t>-805.358401865424 90.592721739891 -554.229320137901</t>
  </si>
  <si>
    <t>-804.199632953631 227.01525941317 -537.354400992535</t>
  </si>
  <si>
    <t>-705.848448703161 261.085319932632 -262.113566153865</t>
  </si>
  <si>
    <t>-470.06585763533 276.016603957593 -214.843211746378</t>
  </si>
  <si>
    <t>-801.940017130523 35.3378754085873 -551.703898698457</t>
  </si>
  <si>
    <t>-630.757172378414 26.2445455977124 -314.964530458566</t>
  </si>
  <si>
    <t>-789.310357945344 179.228119162792 -96.1293571770228</t>
  </si>
  <si>
    <t>-777.256775290231 180.387191771947 307.241502759035</t>
  </si>
  <si>
    <t>-856.601382713917 203.324242439366 747.549484642362</t>
  </si>
  <si>
    <t>-711.351584155472 221.951258287297 807.905105577223</t>
  </si>
  <si>
    <t>-686.259269902198 -6.29573289645009 306.385145021827</t>
  </si>
  <si>
    <t>-692.723503234371 -17.6958769145092 754.067272342191</t>
  </si>
  <si>
    <t>-591.376165264024 -114.019826948682 828.483111117076</t>
  </si>
  <si>
    <t>9763-20170724T105140.709636200.bin</t>
  </si>
  <si>
    <t>-767.800784774359 85.6595951997731 -93.326178984861</t>
  </si>
  <si>
    <t>-787.313650481081 79.1594150852352 -207.313903043737</t>
  </si>
  <si>
    <t>-796.07318135999 74.528985297598 -305.438776241935</t>
  </si>
  <si>
    <t>-801.375812503735 70.4735765220087 -394.285154410239</t>
  </si>
  <si>
    <t>-803.708585713699 66.5067798533746 -483.263005857726</t>
  </si>
  <si>
    <t>-803.851732445042 60.9703870774256 -607.722339014835</t>
  </si>
  <si>
    <t>-770.309733437205 57.4690274722823 -683.66783362387</t>
  </si>
  <si>
    <t>-805.517431236752 91.0344551837263 -554.181031597838</t>
  </si>
  <si>
    <t>-804.407073063611 227.444390700291 -537.215165331066</t>
  </si>
  <si>
    <t>-706.221834630571 261.198683185414 -261.876151796431</t>
  </si>
  <si>
    <t>-470.452321508955 276.116886517798 -214.536721816657</t>
  </si>
  <si>
    <t>-802.060069472471 35.7788553066107 -551.726963520803</t>
  </si>
  <si>
    <t>-630.82157938167 26.5709599035768 -314.938847853804</t>
  </si>
  <si>
    <t>-789.24203662473 179.35396277728 -96.0929695667455</t>
  </si>
  <si>
    <t>-777.231119712551 180.47317640535 307.27925463141</t>
  </si>
  <si>
    <t>-856.590768006439 203.307888300618 747.590970573272</t>
  </si>
  <si>
    <t>-711.329491975272 221.891624609798 807.932356177074</t>
  </si>
  <si>
    <t>-685.948077783669 -6.24831483031858 306.350387922421</t>
  </si>
  <si>
    <t>-692.650046072532 -17.5450579751871 754.036404240186</t>
  </si>
  <si>
    <t>-591.54614913151 -114.098018644384 828.486456085552</t>
  </si>
  <si>
    <t>9763-20170724T105140.741721600.bin</t>
  </si>
  <si>
    <t>-767.762738619413 85.6366972782498 -93.3192520100448</t>
  </si>
  <si>
    <t>-787.284749839127 79.1489937004533 -207.30622799486</t>
  </si>
  <si>
    <t>-796.066399404675 74.5557746475297 -305.430747982812</t>
  </si>
  <si>
    <t>-801.39440468392 70.5445057814147 -394.277683611974</t>
  </si>
  <si>
    <t>-803.757436151976 66.6333552410451 -483.257180198427</t>
  </si>
  <si>
    <t>-803.947612601164 61.1865073953111 -607.720477082374</t>
  </si>
  <si>
    <t>-770.404541560137 57.7632616272288 -683.668893531307</t>
  </si>
  <si>
    <t>-805.603669935711 91.2113287810466 -554.156678035293</t>
  </si>
  <si>
    <t>-804.520936106642 227.618836328614 -537.12661957419</t>
  </si>
  <si>
    <t>-706.487346809505 261.192153229119 -261.711544660067</t>
  </si>
  <si>
    <t>-470.735215337829 276.078715780897 -214.275555778255</t>
  </si>
  <si>
    <t>-802.124258009761 35.955182620542 -551.743931254366</t>
  </si>
  <si>
    <t>-630.869118418899 26.6902032395012 -314.949139120687</t>
  </si>
  <si>
    <t>-789.249577474163 179.381495640693 -96.0746844914007</t>
  </si>
  <si>
    <t>-777.258473889089 180.473384356657 307.298166007977</t>
  </si>
  <si>
    <t>-856.58462707211 203.306438221918 747.618274517861</t>
  </si>
  <si>
    <t>-711.321667426025 221.892571932054 807.954876973129</t>
  </si>
  <si>
    <t>-685.828972852358 -6.28816403886208 306.331987353626</t>
  </si>
  <si>
    <t>-692.655134447956 -17.5385669337502 754.021998566917</t>
  </si>
  <si>
    <t>-591.503571739537 -114.037250549081 828.477581965367</t>
  </si>
  <si>
    <t>9763-20170724T105140.811493200.bin</t>
  </si>
  <si>
    <t>-767.647179442968 85.5967378982216 -93.3104017745576</t>
  </si>
  <si>
    <t>-787.170899022931 79.1201215214417 -207.297649818651</t>
  </si>
  <si>
    <t>-795.982788733333 74.5895786408257 -305.422521023471</t>
  </si>
  <si>
    <t>-801.348537577718 70.6568153246826 -394.270543017225</t>
  </si>
  <si>
    <t>-803.759141845731 66.8465757117633 -483.253284373682</t>
  </si>
  <si>
    <t>-804.025376147347 61.5647620739389 -607.723572790174</t>
  </si>
  <si>
    <t>-770.481622297686 58.2821760496865 -683.6780127172</t>
  </si>
  <si>
    <t>-805.669640812109 91.5172491926678 -554.118955454805</t>
  </si>
  <si>
    <t>-804.634472843905 227.904779421204 -536.933776423147</t>
  </si>
  <si>
    <t>-707.001697487611 260.989734897941 -261.317321951899</t>
  </si>
  <si>
    <t>-471.296460460646 275.843583495923 -213.639298589427</t>
  </si>
  <si>
    <t>-802.146678030413 36.2607579107776 -551.781641624747</t>
  </si>
  <si>
    <t>-630.964833857672 26.9466505530613 -314.992496994346</t>
  </si>
  <si>
    <t>-789.174591119801 179.357338831468 -96.0414657151758</t>
  </si>
  <si>
    <t>-777.204718018116 180.501204060495 307.331896308408</t>
  </si>
  <si>
    <t>-856.563230757892 203.270890775102 747.666098775452</t>
  </si>
  <si>
    <t>-711.28151793782 221.704839486591 808.004348400303</t>
  </si>
  <si>
    <t>-685.658138852251 -6.33314471164249 306.315936491518</t>
  </si>
  <si>
    <t>-692.633036133934 -17.4591607254554 754.004755994677</t>
  </si>
  <si>
    <t>-591.632927886091 -114.099989337712 828.481651956463</t>
  </si>
  <si>
    <t>9763-20170724T105140.845575100.bin</t>
  </si>
  <si>
    <t>-767.594388281351 85.6017025488343 -93.3030818586357</t>
  </si>
  <si>
    <t>-787.116299976352 79.1334746625525 -207.291086580911</t>
  </si>
  <si>
    <t>-795.940738418404 74.6342527940217 -305.416283916952</t>
  </si>
  <si>
    <t>-801.32288131981 70.739813099995 -394.265035169362</t>
  </si>
  <si>
    <t>-803.754654588717 66.9779307052222 -483.249194784112</t>
  </si>
  <si>
    <t>-804.055156092566 61.7744609534202 -607.722641989904</t>
  </si>
  <si>
    <t>-770.513902591422 58.5592750383441 -683.680961375965</t>
  </si>
  <si>
    <t>-805.695398818985 91.6925977298508 -554.098632906062</t>
  </si>
  <si>
    <t>-804.693717880097 228.064230551492 -536.851660352428</t>
  </si>
  <si>
    <t>-707.280361514192 260.962921708987 -261.135265642444</t>
  </si>
  <si>
    <t>-471.677939846277 275.970966687929 -212.999234584268</t>
  </si>
  <si>
    <t>-802.15042100139 36.4359556230281 -551.79739500891</t>
  </si>
  <si>
    <t>-630.974996189078 27.1041832113419 -315.022256566264</t>
  </si>
  <si>
    <t>-789.182696756503 179.377832379015 -96.0223781537355</t>
  </si>
  <si>
    <t>-777.148128205776 180.498085920197 307.349116392111</t>
  </si>
  <si>
    <t>-856.546754060423 203.232335985686 747.685219054172</t>
  </si>
  <si>
    <t>-711.240644361357 221.468003220952 808.025265055406</t>
  </si>
  <si>
    <t>-685.578994717461 -6.39188469725559 306.316743142159</t>
  </si>
  <si>
    <t>-692.651266744999 -17.4664617007149 754.002951991752</t>
  </si>
  <si>
    <t>-591.702245487483 -114.157382041451 828.484428991695</t>
  </si>
  <si>
    <t>9763-20170724T105140.911305800.bin</t>
  </si>
  <si>
    <t>-767.619475767979 85.5175690211845 -93.2988684524203</t>
  </si>
  <si>
    <t>-787.126908784848 79.0550465698004 -207.289778729305</t>
  </si>
  <si>
    <t>-795.955279628523 74.6010956737498 -305.416554727611</t>
  </si>
  <si>
    <t>-801.346516648772 70.7640950105422 -394.267245690561</t>
  </si>
  <si>
    <t>-803.792786730859 67.0768624971186 -483.254187292949</t>
  </si>
  <si>
    <t>-804.118769935951 61.9965837004891 -607.732561634624</t>
  </si>
  <si>
    <t>-770.571279457243 58.9251331141616 -683.694241309211</t>
  </si>
  <si>
    <t>-805.77316033424 91.8600298856556 -554.078621411477</t>
  </si>
  <si>
    <t>-804.811375129191 228.224037186865 -536.720838690106</t>
  </si>
  <si>
    <t>-707.554385458211 261.041695404048 -260.939576802508</t>
  </si>
  <si>
    <t>-472.364422062527 276.577692581402 -210.988120422084</t>
  </si>
  <si>
    <t>-802.17748232773 36.6042295734837 -551.832935364636</t>
  </si>
  <si>
    <t>-631.02341438057 27.3398817154064 -315.045134533659</t>
  </si>
  <si>
    <t>-789.252991289207 179.346314221379 -96.0019249172817</t>
  </si>
  <si>
    <t>-777.160728762614 180.436792406675 307.36791399666</t>
  </si>
  <si>
    <t>-856.537687555484 203.213660845011 747.712734365328</t>
  </si>
  <si>
    <t>-711.288912800819 221.971047376555 808.030550989001</t>
  </si>
  <si>
    <t>-685.647562957053 -6.46316130225659 306.321673283205</t>
  </si>
  <si>
    <t>-692.681771669964 -17.4626089918168 754.000403511699</t>
  </si>
  <si>
    <t>-591.589339018823 -114.008318322095 828.475500792667</t>
  </si>
  <si>
    <t>9763-20170724T105140.945396500.bin</t>
  </si>
  <si>
    <t>-767.599808606793 85.4354669324548 -93.3026218967392</t>
  </si>
  <si>
    <t>-787.088522910458 78.9696312783467 -207.296487901886</t>
  </si>
  <si>
    <t>-795.908842790243 74.5240424124652 -305.424482443394</t>
  </si>
  <si>
    <t>-801.296109615255 70.6986451981343 -394.276084125237</t>
  </si>
  <si>
    <t>-803.74124717306 67.0276067269265 -483.263582814294</t>
  </si>
  <si>
    <t>-804.068476844105 61.9741746309537 -607.743179894357</t>
  </si>
  <si>
    <t>-770.517196111808 58.9547414354618 -683.705162238665</t>
  </si>
  <si>
    <t>-805.729280128186 91.8255598711567 -554.082734278011</t>
  </si>
  <si>
    <t>-804.773995833413 228.185191651455 -536.680876727693</t>
  </si>
  <si>
    <t>-707.668485997796 260.977548949488 -260.843121107989</t>
  </si>
  <si>
    <t>-472.688613375707 276.695572486861 -209.968010086326</t>
  </si>
  <si>
    <t>-802.11969827631 36.5702406816256 -551.848908659048</t>
  </si>
  <si>
    <t>-630.998291151651 27.3156366564924 -315.027459895817</t>
  </si>
  <si>
    <t>-789.24784066681 179.21556989909 -96.0022120266815</t>
  </si>
  <si>
    <t>-777.19398305177 180.362831848515 307.368621172963</t>
  </si>
  <si>
    <t>-856.523483913286 203.171522398474 747.718405992313</t>
  </si>
  <si>
    <t>-711.240083588556 221.653619608516 808.037697336103</t>
  </si>
  <si>
    <t>-685.645852473932 -6.47558592014889 306.322405551658</t>
  </si>
  <si>
    <t>-692.654840431368 -17.3675443479278 754.007504219262</t>
  </si>
  <si>
    <t>-591.66716897245 -114.025305235904 828.479381502792</t>
  </si>
  <si>
    <t>9763-20170724T105141.010358800.bin</t>
  </si>
  <si>
    <t>-767.63782724338 85.10696836384 -93.3231473497434</t>
  </si>
  <si>
    <t>-787.067774136876 78.6366724140819 -207.326838633007</t>
  </si>
  <si>
    <t>-795.859720736114 74.2153806748236 -305.458372652307</t>
  </si>
  <si>
    <t>-801.229695207442 70.423280685618 -394.312368879875</t>
  </si>
  <si>
    <t>-803.665234752915 66.7967513911287 -483.302022601452</t>
  </si>
  <si>
    <t>-803.9872670999 61.8173354787612 -607.784585636543</t>
  </si>
  <si>
    <t>-770.425895386241 58.8580639988377 -683.744601649062</t>
  </si>
  <si>
    <t>-805.64777711237 91.6369049002872 -554.10651257356</t>
  </si>
  <si>
    <t>-804.652105402975 227.986342531862 -536.612348811392</t>
  </si>
  <si>
    <t>-707.97979278687 260.388496665839 -260.576433240773</t>
  </si>
  <si>
    <t>-473.009545212262 274.978601109298 -209.323157519431</t>
  </si>
  <si>
    <t>-802.043461356031 36.3800952030026 -551.905455470494</t>
  </si>
  <si>
    <t>-631.029794027676 27.0988872432556 -315.022289587349</t>
  </si>
  <si>
    <t>-789.230045942114 178.892058347867 -96.0169287962642</t>
  </si>
  <si>
    <t>-777.372567872839 180.22083632098 307.35920644219</t>
  </si>
  <si>
    <t>-856.505771472049 203.137118116776 747.732379976835</t>
  </si>
  <si>
    <t>-711.268670105742 222.002673181437 808.044844427348</t>
  </si>
  <si>
    <t>-685.784076732408 -6.675067348222 306.329050702837</t>
  </si>
  <si>
    <t>-692.735371362093 -17.417221478514 754.026482817357</t>
  </si>
  <si>
    <t>-591.527098493275 -113.868530719969 828.466331995334</t>
  </si>
  <si>
    <t>9763-20170724T105141.042440300.bin</t>
  </si>
  <si>
    <t>-767.59810225503 84.9810592099093 -93.324760610345</t>
  </si>
  <si>
    <t>-787.006870750746 78.5125819050543 -207.332168664288</t>
  </si>
  <si>
    <t>-795.787484138859 74.1018882634762 -305.465334866307</t>
  </si>
  <si>
    <t>-801.149169847969 70.3228004808361 -394.320182742771</t>
  </si>
  <si>
    <t>-803.579275943156 66.7126356516296 -483.310792358758</t>
  </si>
  <si>
    <t>-803.895635249523 61.7592525627065 -607.794433504937</t>
  </si>
  <si>
    <t>-770.327717668103 58.8116675932163 -683.75190901084</t>
  </si>
  <si>
    <t>-805.550883319795 91.5681599563427 -554.110052784528</t>
  </si>
  <si>
    <t>-804.546446593488 227.908199430439 -536.573691183026</t>
  </si>
  <si>
    <t>-708.348073951468 260.232993570007 -260.363178925292</t>
  </si>
  <si>
    <t>-472.963921865551 272.61007205011 -210.444023976795</t>
  </si>
  <si>
    <t>-801.961953281041 36.3097549376701 -551.920392874602</t>
  </si>
  <si>
    <t>-630.976623034198 26.9952937032531 -314.989484921993</t>
  </si>
  <si>
    <t>-789.224203933279 178.742582689978 -96.0130562658377</t>
  </si>
  <si>
    <t>-777.324715800772 180.13018592528 307.361702246876</t>
  </si>
  <si>
    <t>-856.497184660836 203.12551124489 747.734394543483</t>
  </si>
  <si>
    <t>-711.246564872873 221.877841891731 808.049204138962</t>
  </si>
  <si>
    <t>-685.833983249187 -6.71707782527142 306.337196099714</t>
  </si>
  <si>
    <t>-692.681881292771 -17.2683909286127 754.037169463134</t>
  </si>
  <si>
    <t>-591.557677990318 -113.813059255033 828.470462041366</t>
  </si>
  <si>
    <t>9763-20170724T105141.113638600.bin</t>
  </si>
  <si>
    <t>-767.607061101012 84.6520791536911 -93.2843438827266</t>
  </si>
  <si>
    <t>-786.978295213867 78.2100483399552 -207.299634884487</t>
  </si>
  <si>
    <t>-795.731021553053 73.831056621025 -305.436626522728</t>
  </si>
  <si>
    <t>-801.069249278675 70.0845081537586 -394.294432428537</t>
  </si>
  <si>
    <t>-803.476998504877 66.5102138107147 -483.286943288998</t>
  </si>
  <si>
    <t>-803.763732162724 61.611230397672 -607.77282546376</t>
  </si>
  <si>
    <t>-770.155128084793 58.6963533042776 -683.713583048525</t>
  </si>
  <si>
    <t>-805.426691385751 91.396962377316 -554.0758801423</t>
  </si>
  <si>
    <t>-804.444290251826 227.726400402596 -536.440256106014</t>
  </si>
  <si>
    <t>-709.085079021742 259.672947346108 -259.894898308725</t>
  </si>
  <si>
    <t>-472.67181757821 267.769188672203 -214.134177686593</t>
  </si>
  <si>
    <t>-801.8483683768 36.1370122587771 -551.909392840832</t>
  </si>
  <si>
    <t>-630.954832921159 26.6421825476875 -314.871907419352</t>
  </si>
  <si>
    <t>-789.201499098021 178.333623111543 -95.9802850596767</t>
  </si>
  <si>
    <t>-777.318723829361 179.827597781645 307.394537760197</t>
  </si>
  <si>
    <t>-856.475240267773 203.056173812624 747.734457527266</t>
  </si>
  <si>
    <t>-711.202885685027 221.638923558375 808.04960442463</t>
  </si>
  <si>
    <t>-686.056431699414 -6.97812947734292 306.380726415714</t>
  </si>
  <si>
    <t>-692.833316117456 -17.4548187971297 754.072578494541</t>
  </si>
  <si>
    <t>-591.546181973122 -113.852500931794 828.475062814951</t>
  </si>
  <si>
    <t>9763-20170724T105141.143715800.bin</t>
  </si>
  <si>
    <t>-767.618022529817 84.4156694235551 -93.2808164749656</t>
  </si>
  <si>
    <t>-786.972055037784 77.9796744355431 -207.299360605035</t>
  </si>
  <si>
    <t>-795.703164685523 73.6161152423697 -305.438828318829</t>
  </si>
  <si>
    <t>-801.018790669134 69.8873626418947 -394.298835871193</t>
  </si>
  <si>
    <t>-803.400920121314 66.3349974300218 -483.292899469721</t>
  </si>
  <si>
    <t>-803.648378166181 61.4703193090752 -607.780258412709</t>
  </si>
  <si>
    <t>-770.001268031079 58.5752272783022 -683.70463949894</t>
  </si>
  <si>
    <t>-805.318538406319 91.2418932491753 -554.075629333651</t>
  </si>
  <si>
    <t>-804.321874690081 227.561921124691 -536.387247321853</t>
  </si>
  <si>
    <t>-709.379781201618 258.933101639663 -259.632806860546</t>
  </si>
  <si>
    <t>-472.451550385042 266.167729492816 -216.464174475015</t>
  </si>
  <si>
    <t>-801.760510577926 35.9800277851541 -551.923292211835</t>
  </si>
  <si>
    <t>-630.846821880829 26.3146506064279 -314.829076569263</t>
  </si>
  <si>
    <t>-789.136921627935 178.078987571005 -95.9752868013225</t>
  </si>
  <si>
    <t>-777.351893948102 179.656615463351 307.402070122933</t>
  </si>
  <si>
    <t>-856.465755776703 203.023913722561 747.73408129647</t>
  </si>
  <si>
    <t>-711.212044013095 221.762845155949 808.04606306237</t>
  </si>
  <si>
    <t>-686.183741268217 -7.15057441920521 306.397143192852</t>
  </si>
  <si>
    <t>-692.89485747566 -17.5294465152631 754.092663369797</t>
  </si>
  <si>
    <t>-591.362494665312 -113.689000782515 828.468621904128</t>
  </si>
  <si>
    <t>9763-20170724T105141.207634000.bin</t>
  </si>
  <si>
    <t>-767.580458795206 83.9645569969271 -93.2712996669655</t>
  </si>
  <si>
    <t>-786.889732244481 77.5440826387262 -207.29820119319</t>
  </si>
  <si>
    <t>-795.515859086828 73.2219417195877 -305.449068341713</t>
  </si>
  <si>
    <t>-800.709491046694 69.5405757550172 -394.318038733704</t>
  </si>
  <si>
    <t>-802.941590700224 66.0436572585756 -483.318331778588</t>
  </si>
  <si>
    <t>-802.950098669384 61.2642300703319 -607.809157067015</t>
  </si>
  <si>
    <t>-769.180216025861 58.4141200580796 -683.680768007776</t>
  </si>
  <si>
    <t>-804.69345052238 91.0010431014148 -554.087559792392</t>
  </si>
  <si>
    <t>-803.626666806382 227.296444590308 -536.21567794469</t>
  </si>
  <si>
    <t>-709.707765614008 258.138582437597 -259.052990357893</t>
  </si>
  <si>
    <t>-471.854433045335 262.260312121736 -220.847063595822</t>
  </si>
  <si>
    <t>-801.199209427018 35.7338008840386 -551.966095820785</t>
  </si>
  <si>
    <t>-630.576304974151 25.722719543038 -314.857678576013</t>
  </si>
  <si>
    <t>-789.018097767256 177.580884045617 -95.962941564317</t>
  </si>
  <si>
    <t>-777.32805025864 179.354416427557 307.416372814196</t>
  </si>
  <si>
    <t>-856.444655403102 202.968055389756 747.730339645828</t>
  </si>
  <si>
    <t>-711.173871863943 221.544372572072 808.051211897215</t>
  </si>
  <si>
    <t>-686.360548180409 -7.31534912497341 306.426648402027</t>
  </si>
  <si>
    <t>-692.852547082581 -17.3566316430245 754.126507024951</t>
  </si>
  <si>
    <t>-591.55713230589 -113.777026620789 828.488194055346</t>
  </si>
  <si>
    <t>9763-20170724T105141.246737500.bin</t>
  </si>
  <si>
    <t>-767.525146159528 83.7750330576139 -93.2709882626375</t>
  </si>
  <si>
    <t>-786.804571358595 77.3625728584973 -207.303465835183</t>
  </si>
  <si>
    <t>-795.37500721892 73.0624162682836 -305.459992360814</t>
  </si>
  <si>
    <t>-800.50547920468 69.4062329106891 -394.33386156161</t>
  </si>
  <si>
    <t>-802.661848204073 65.9391814107305 -483.337041217976</t>
  </si>
  <si>
    <t>-802.550854959395 61.2056323363543 -607.829496726342</t>
  </si>
  <si>
    <t>-768.701414626958 58.3735378647148 -683.666329068682</t>
  </si>
  <si>
    <t>-804.329831256881 90.9235713256469 -554.098863018753</t>
  </si>
  <si>
    <t>-803.266308779566 227.208662175403 -536.128870582677</t>
  </si>
  <si>
    <t>-709.805743774357 257.427452588848 -258.742514981383</t>
  </si>
  <si>
    <t>-471.629344032845 260.906212141445 -222.538028754059</t>
  </si>
  <si>
    <t>-800.869434424402 35.6536136167272 -551.994232965068</t>
  </si>
  <si>
    <t>-630.303425806371 25.3444730201295 -314.837942108398</t>
  </si>
  <si>
    <t>-788.928149943666 177.327919881176 -95.9606422378027</t>
  </si>
  <si>
    <t>-777.331133045534 179.202665170471 307.420918204409</t>
  </si>
  <si>
    <t>-856.441415433046 202.967712791585 747.725332277815</t>
  </si>
  <si>
    <t>-711.175731018645 221.591134490305 808.044556965542</t>
  </si>
  <si>
    <t>-686.429524004137 -7.38456892998897 306.446631947177</t>
  </si>
  <si>
    <t>-692.846988482406 -17.3091410575134 754.141869353501</t>
  </si>
  <si>
    <t>-591.811767198864 -113.999956516489 828.506502819127</t>
  </si>
  <si>
    <t>9763-20170724T105141.310919500.bin</t>
  </si>
  <si>
    <t>-767.524839189263 83.23333292286 -93.2640672230139</t>
  </si>
  <si>
    <t>-786.772420329318 76.8317439557532 -207.30250469016</t>
  </si>
  <si>
    <t>-795.265897293137 72.5594695792925 -305.467043900855</t>
  </si>
  <si>
    <t>-800.306739633565 68.9344867277089 -394.347128098913</t>
  </si>
  <si>
    <t>-802.352652976194 65.5035973141346 -483.354439240329</t>
  </si>
  <si>
    <t>-802.065651574829 60.8248477596969 -607.848762353988</t>
  </si>
  <si>
    <t>-768.078700998178 58.0281193798064 -683.625285183724</t>
  </si>
  <si>
    <t>-803.888327791063 90.5212120425251 -554.107400114409</t>
  </si>
  <si>
    <t>-802.780752773951 226.77258204236 -535.964626537245</t>
  </si>
  <si>
    <t>-709.979515956965 256.185728420531 -258.270431710711</t>
  </si>
  <si>
    <t>-470.944167655413 256.996856769598 -228.066830125873</t>
  </si>
  <si>
    <t>-800.495598482576 35.2463393504358 -552.022278212681</t>
  </si>
  <si>
    <t>-630.023436598489 24.5183300800966 -314.754737682675</t>
  </si>
  <si>
    <t>-788.819696304223 176.74789027588 -95.9703097843743</t>
  </si>
  <si>
    <t>-777.442723574745 178.885681049456 307.416183460742</t>
  </si>
  <si>
    <t>-856.41923475472 202.881922543399 747.708423657532</t>
  </si>
  <si>
    <t>-711.124744291004 221.27712590542 808.028078035062</t>
  </si>
  <si>
    <t>-686.785335642347 -7.7136509374302 306.470519578451</t>
  </si>
  <si>
    <t>-692.964737910288 -17.4593790346316 754.179226927794</t>
  </si>
  <si>
    <t>-591.711603030069 -113.94704939562 828.511210840256</t>
  </si>
  <si>
    <t>9763-20170724T105141.344008400.bin</t>
  </si>
  <si>
    <t>-767.562808122461 82.9670909016834 -93.2657099789332</t>
  </si>
  <si>
    <t>-786.804784076143 76.5851315225455 -207.306227590074</t>
  </si>
  <si>
    <t>-795.270733189749 72.3372433864961 -305.474156731434</t>
  </si>
  <si>
    <t>-800.277374022598 68.7369684765333 -394.357261001934</t>
  </si>
  <si>
    <t>-802.27963812678 65.3328137297683 -483.36650564586</t>
  </si>
  <si>
    <t>-801.921835472785 60.6929379563144 -607.862174645908</t>
  </si>
  <si>
    <t>-767.874693984045 57.9295398746578 -683.613023970288</t>
  </si>
  <si>
    <t>-803.757021897069 90.3734815567564 -554.112658181337</t>
  </si>
  <si>
    <t>-802.623837708739 226.632181325105 -535.892151540416</t>
  </si>
  <si>
    <t>-709.992677567549 255.14147727837 -258.046912402753</t>
  </si>
  <si>
    <t>-470.637699013909 255.194327371045 -230.479113257413</t>
  </si>
  <si>
    <t>-800.401403951031 35.0958941281174 -552.042912062654</t>
  </si>
  <si>
    <t>-629.938243126832 24.179561767711 -314.721709348693</t>
  </si>
  <si>
    <t>-788.827710983084 176.502046338818 -95.9599961603915</t>
  </si>
  <si>
    <t>-777.431244792375 178.729530607876 307.425459036096</t>
  </si>
  <si>
    <t>-856.422360768147 202.88305365813 747.706916920119</t>
  </si>
  <si>
    <t>-711.141021216759 221.401157836908 808.020456744103</t>
  </si>
  <si>
    <t>-686.921732321589 -7.94362376350796 306.477417597732</t>
  </si>
  <si>
    <t>-693.055534620817 -17.597892681385 754.197204952113</t>
  </si>
  <si>
    <t>-591.560560166902 -113.847438320431 828.507938005296</t>
  </si>
  <si>
    <t>9763-20170724T105141.413733900.bin</t>
  </si>
  <si>
    <t>-767.517020562387 82.5580308824492 -93.2589732977507</t>
  </si>
  <si>
    <t>-786.762218219067 76.1867022840772 -207.299576764838</t>
  </si>
  <si>
    <t>-795.173349347706 71.971676640813 -305.473522519768</t>
  </si>
  <si>
    <t>-800.106510238958 68.4090260970247 -394.362312116281</t>
  </si>
  <si>
    <t>-802.011400849268 65.0487373506719 -483.375419191588</t>
  </si>
  <si>
    <t>-801.491710411917 60.4757561398301 -607.873002025074</t>
  </si>
  <si>
    <t>-767.344936900275 57.7622204501047 -683.580654976077</t>
  </si>
  <si>
    <t>-803.346374965215 90.1305321301199 -554.109835605104</t>
  </si>
  <si>
    <t>-802.071937988368 226.347892266597 -535.727577843684</t>
  </si>
  <si>
    <t>-710.279634394986 253.998881009202 -257.517579502229</t>
  </si>
  <si>
    <t>-470.333000546716 252.092049557379 -235.772892361686</t>
  </si>
  <si>
    <t>-800.094450799988 34.8457162040961 -552.065491002028</t>
  </si>
  <si>
    <t>-629.832131110103 23.5173910479239 -314.705831044786</t>
  </si>
  <si>
    <t>-788.689182360815 176.021866919667 -95.9600787808007</t>
  </si>
  <si>
    <t>-777.387953119328 178.423428102887 307.427081524153</t>
  </si>
  <si>
    <t>-856.420550755037 202.833997181668 747.692755696777</t>
  </si>
  <si>
    <t>-711.156441057753 221.529204400699 807.992669788377</t>
  </si>
  <si>
    <t>-687.062028312042 -8.1056674450133 306.507535252988</t>
  </si>
  <si>
    <t>-692.980094287258 -17.413909070387 754.218392917466</t>
  </si>
  <si>
    <t>-591.872828783744 -114.064650965771 828.536816925765</t>
  </si>
  <si>
    <t>9763-20170724T105141.442810700.bin</t>
  </si>
  <si>
    <t>-767.491648679645 82.2941422929907 -93.260504258693</t>
  </si>
  <si>
    <t>-786.737223381314 75.930084773411 -207.30139423513</t>
  </si>
  <si>
    <t>-795.120671158884 71.7434736003422 -305.478955873447</t>
  </si>
  <si>
    <t>-800.017044377069 68.2154452507789 -394.371220119378</t>
  </si>
  <si>
    <t>-801.873062743467 64.8973026001747 -483.386941610104</t>
  </si>
  <si>
    <t>-801.272040267604 60.3909636758697 -607.886427467606</t>
  </si>
  <si>
    <t>-767.080861321077 57.7024647221351 -683.574983734923</t>
  </si>
  <si>
    <t>-803.136624141717 90.0183012451405 -554.108682500926</t>
  </si>
  <si>
    <t>-801.735744343553 226.23513104832 -535.611336845142</t>
  </si>
  <si>
    <t>-710.248357881327 253.261708136896 -257.239575228034</t>
  </si>
  <si>
    <t>-470.071456596509 250.467452586882 -238.317094921324</t>
  </si>
  <si>
    <t>-799.936328403908 34.7295539316578 -552.092005739207</t>
  </si>
  <si>
    <t>-629.713400962478 23.1391428196214 -314.72652612117</t>
  </si>
  <si>
    <t>-788.61242780432 175.762252707712 -95.957705921703</t>
  </si>
  <si>
    <t>-777.396741212606 178.270028788829 307.431194508251</t>
  </si>
  <si>
    <t>-856.430831294395 202.871090706929 747.687551232825</t>
  </si>
  <si>
    <t>-711.175150914931 221.644122256153 807.983943285131</t>
  </si>
  <si>
    <t>-687.182041022759 -8.25788601017484 306.522958927008</t>
  </si>
  <si>
    <t>-693.021226049493 -17.4612808457309 754.237526887183</t>
  </si>
  <si>
    <t>-591.780026690353 -113.98531451745 828.538513921104</t>
  </si>
  <si>
    <t>9763-20170724T105141.509016400.bin</t>
  </si>
  <si>
    <t>-767.582348623934 81.8071343485642 -93.2706153579326</t>
  </si>
  <si>
    <t>-786.836491365312 75.4711836140857 -207.311525550986</t>
  </si>
  <si>
    <t>-795.169058218416 71.3443125023905 -305.496111097611</t>
  </si>
  <si>
    <t>-799.995607416436 67.8834660839375 -394.394776669136</t>
  </si>
  <si>
    <t>-801.756752380963 64.6441490135235 -483.415248853474</t>
  </si>
  <si>
    <t>-800.997142716639 60.2586264427644 -607.918216106823</t>
  </si>
  <si>
    <t>-766.723136879361 57.5968229222115 -683.570242825365</t>
  </si>
  <si>
    <t>-802.875148857541 89.8371176121721 -554.114006909189</t>
  </si>
  <si>
    <t>-801.231248621991 226.021803255871 -535.423135911407</t>
  </si>
  <si>
    <t>-710.386577754955 252.100094754253 -256.750652214174</t>
  </si>
  <si>
    <t>-469.840713479033 248.254621941137 -243.569034812027</t>
  </si>
  <si>
    <t>-799.787804587851 34.5400356538801 -552.147306129454</t>
  </si>
  <si>
    <t>-629.573095069922 22.1853459411195 -314.724394564616</t>
  </si>
  <si>
    <t>-788.598891569085 175.303707726971 -95.9579811208191</t>
  </si>
  <si>
    <t>-777.397103341929 177.934865079459 307.430531113646</t>
  </si>
  <si>
    <t>-856.415349768586 202.78449360458 747.674783282751</t>
  </si>
  <si>
    <t>-711.136222447306 221.37865015755 807.970083708261</t>
  </si>
  <si>
    <t>-687.529990070337 -8.65429864816952 306.54173990771</t>
  </si>
  <si>
    <t>-693.144733521563 -17.6323525424716 754.268454297408</t>
  </si>
  <si>
    <t>-591.59855891956 -113.863414285581 828.533103112526</t>
  </si>
  <si>
    <t>9763-20170724T105141.547117700.bin</t>
  </si>
  <si>
    <t>-767.574702111977 81.6261509409742 -93.2678083344285</t>
  </si>
  <si>
    <t>-786.832808003015 75.3032347686894 -207.308898247632</t>
  </si>
  <si>
    <t>-795.142555426322 71.2025865700227 -305.496387494792</t>
  </si>
  <si>
    <t>-799.937380895618 67.7709987935914 -394.397853289343</t>
  </si>
  <si>
    <t>-801.65607470117 64.5660194066068 -483.420402718737</t>
  </si>
  <si>
    <t>-800.825094255202 60.2335435249474 -607.924959570032</t>
  </si>
  <si>
    <t>-766.516037726079 57.5880391516785 -683.561625763713</t>
  </si>
  <si>
    <t>-802.712540168957 89.7902371376322 -554.109014273724</t>
  </si>
  <si>
    <t>-800.989974180584 225.961638219356 -535.347136870399</t>
  </si>
  <si>
    <t>-710.427677579499 251.724722066308 -256.553359597917</t>
  </si>
  <si>
    <t>-469.741507360445 247.464974818887 -246.411530323431</t>
  </si>
  <si>
    <t>-799.668967687943 34.4898208767279 -552.164283565154</t>
  </si>
  <si>
    <t>-629.48379241168 21.8013330559695 -314.688206035084</t>
  </si>
  <si>
    <t>-788.536681484962 175.070572822897 -95.9606947970661</t>
  </si>
  <si>
    <t>-777.386737242958 177.773728779072 307.42866552753</t>
  </si>
  <si>
    <t>-856.409648216572 202.743824702758 747.667329645792</t>
  </si>
  <si>
    <t>-711.120423897223 221.274367513755 807.958022785756</t>
  </si>
  <si>
    <t>-687.607406779489 -8.70482622853933 306.545861800951</t>
  </si>
  <si>
    <t>-693.079871740129 -17.4855770946281 754.272829789123</t>
  </si>
  <si>
    <t>-591.802243156536 -113.996002263622 828.541731301041</t>
  </si>
  <si>
    <t>9763-20170724T105141.611798700.bin</t>
  </si>
  <si>
    <t>-767.621378245226 81.2458955481586 -93.2610486407898</t>
  </si>
  <si>
    <t>-786.884218339313 74.9392843748021 -207.302248989044</t>
  </si>
  <si>
    <t>-795.158477891564 70.8753218295092 -305.494317471339</t>
  </si>
  <si>
    <t>-799.904620099838 67.4857323370904 -394.399975824433</t>
  </si>
  <si>
    <t>-801.55779869637 64.331030589683 -483.425675362322</t>
  </si>
  <si>
    <t>-800.617558280139 60.0766339802428 -607.931924136965</t>
  </si>
  <si>
    <t>-766.237264778782 57.476133164708 -683.537845257574</t>
  </si>
  <si>
    <t>-802.523197243779 89.6010179773837 -554.09903737419</t>
  </si>
  <si>
    <t>-800.71105279169 225.763053849957 -535.244760135097</t>
  </si>
  <si>
    <t>-710.550817596896 251.116128048839 -256.283117375859</t>
  </si>
  <si>
    <t>-469.707924127443 246.601850816682 -251.268860546121</t>
  </si>
  <si>
    <t>-799.539403296262 34.2964982142894 -552.186694947878</t>
  </si>
  <si>
    <t>-629.419907110809 21.1410686345207 -314.659291551873</t>
  </si>
  <si>
    <t>-788.5025551646 174.710195568618 -95.962253238246</t>
  </si>
  <si>
    <t>-777.440563190452 177.558831691272 307.428644853905</t>
  </si>
  <si>
    <t>-856.421439029638 202.763977153227 747.66094207792</t>
  </si>
  <si>
    <t>-711.165799343306 221.605151282457 807.936149783101</t>
  </si>
  <si>
    <t>-687.820910234926 -8.89006155970583 306.567679727532</t>
  </si>
  <si>
    <t>-693.131211595285 -17.5151611233514 754.307678131565</t>
  </si>
  <si>
    <t>-591.854466929577 -114.048256230601 828.548298654182</t>
  </si>
  <si>
    <t>9763-20170724T105141.643883000.bin</t>
  </si>
  <si>
    <t>-767.654855599671 81.1076879609373 -93.2632248705864</t>
  </si>
  <si>
    <t>-786.921368381214 74.8021986304898 -207.30383554806</t>
  </si>
  <si>
    <t>-795.187434863954 70.7467131767785 -305.496885985664</t>
  </si>
  <si>
    <t>-799.921566838764 67.3681607905696 -394.403599989689</t>
  </si>
  <si>
    <t>-801.557808530585 64.2269573262988 -483.429976505582</t>
  </si>
  <si>
    <t>-800.588879633833 59.9942060361404 -607.936900868762</t>
  </si>
  <si>
    <t>-766.176376640202 57.413930936385 -683.528924216059</t>
  </si>
  <si>
    <t>-802.498703188836 89.5096930365562 -554.099252168944</t>
  </si>
  <si>
    <t>-800.695142003237 225.662385623229 -535.219277600269</t>
  </si>
  <si>
    <t>-710.728909814672 250.956949576786 -256.189680944046</t>
  </si>
  <si>
    <t>-469.843184906678 246.548365170431 -253.84243930526</t>
  </si>
  <si>
    <t>-799.531917634458 34.2038038164835 -552.196056488452</t>
  </si>
  <si>
    <t>-629.450815929072 20.9664028106711 -314.63488728215</t>
  </si>
  <si>
    <t>-788.51106099004 174.536440192428 -95.9652895033262</t>
  </si>
  <si>
    <t>-777.486493194445 177.473531752183 307.425978701599</t>
  </si>
  <si>
    <t>-856.415289807159 202.731880191923 747.663198393749</t>
  </si>
  <si>
    <t>-711.142581673237 221.446475154925 807.936768511371</t>
  </si>
  <si>
    <t>-687.931860377243 -8.96262230403272 306.571922885158</t>
  </si>
  <si>
    <t>-693.145021267518 -17.5193358112217 754.315066552385</t>
  </si>
  <si>
    <t>-591.941917281893 -114.131497469752 828.553481942682</t>
  </si>
  <si>
    <t>9763-20170724T105141.709613300.bin</t>
  </si>
  <si>
    <t>-767.764953182896 80.8915999209464 -93.2534306057912</t>
  </si>
  <si>
    <t>-787.031634604609 74.5844123108691 -207.293932841226</t>
  </si>
  <si>
    <t>-795.276840171275 70.5466402636716 -305.489610808209</t>
  </si>
  <si>
    <t>-799.983398600086 67.1913929228981 -394.398712495997</t>
  </si>
  <si>
    <t>-801.582673356396 64.0811617536313 -483.426770286863</t>
  </si>
  <si>
    <t>-800.552535171155 59.8991757502233 -607.934873486157</t>
  </si>
  <si>
    <t>-766.084213059334 57.3715142833876 -683.503251851756</t>
  </si>
  <si>
    <t>-802.489515657814 89.3926647791382 -554.086086525231</t>
  </si>
  <si>
    <t>-800.764142874965 225.536594054011 -535.159547254376</t>
  </si>
  <si>
    <t>-711.152876083293 250.461137030531 -255.982423242485</t>
  </si>
  <si>
    <t>-470.283112445899 246.948437106006 -260.485688092425</t>
  </si>
  <si>
    <t>-799.52224924784 34.0861404109753 -552.203907300998</t>
  </si>
  <si>
    <t>-629.511912090962 20.7783378982695 -314.636347488918</t>
  </si>
  <si>
    <t>-788.599714872698 174.317273670867 -95.9622173494375</t>
  </si>
  <si>
    <t>-777.529907891726 177.341571433127 307.427173907732</t>
  </si>
  <si>
    <t>-856.413626051997 202.732909037296 747.662076601782</t>
  </si>
  <si>
    <t>-711.145414439792 221.495221313078 807.93174096976</t>
  </si>
  <si>
    <t>-688.087819556584 -9.05071566593188 306.591985517145</t>
  </si>
  <si>
    <t>-693.148665368316 -17.5012058705984 754.331490113221</t>
  </si>
  <si>
    <t>-591.905909914908 -114.08138276529 828.557002494914</t>
  </si>
  <si>
    <t>9763-20170724T105141.742700800.bin</t>
  </si>
  <si>
    <t>-767.820158190705 80.815202239942 -93.2519580119854</t>
  </si>
  <si>
    <t>-787.093097283883 74.5003361654685 -207.291076691333</t>
  </si>
  <si>
    <t>-795.324698646432 70.4650961255688 -305.48778055946</t>
  </si>
  <si>
    <t>-800.011096320923 67.1153955868708 -394.398210848305</t>
  </si>
  <si>
    <t>-801.582499148498 64.0139973674188 -483.427213822947</t>
  </si>
  <si>
    <t>-800.504833504189 59.8479754828536 -607.93541257033</t>
  </si>
  <si>
    <t>-766.008392341715 57.3480168727071 -683.491765483338</t>
  </si>
  <si>
    <t>-802.473416654836 89.3339228497202 -554.083626689128</t>
  </si>
  <si>
    <t>-800.812355535933 225.480648210198 -535.138902736074</t>
  </si>
  <si>
    <t>-711.421436897173 250.196259305733 -255.872615500784</t>
  </si>
  <si>
    <t>-470.63964643875 247.196771284993 -263.999698028642</t>
  </si>
  <si>
    <t>-799.484753327645 34.0284011245674 -552.207229030481</t>
  </si>
  <si>
    <t>-629.506718886197 20.7126467698658 -314.675855975216</t>
  </si>
  <si>
    <t>-788.690117656219 174.256610108572 -95.9634422162425</t>
  </si>
  <si>
    <t>-777.5757166548 177.309526185198 307.424547447192</t>
  </si>
  <si>
    <t>-856.41130971878 202.740699862481 747.663722189052</t>
  </si>
  <si>
    <t>-711.151170836686 221.567743937145 807.932573298663</t>
  </si>
  <si>
    <t>-688.148513116015 -9.08773164385798 306.603929166904</t>
  </si>
  <si>
    <t>-693.187558295605 -17.561297120516 754.338302248854</t>
  </si>
  <si>
    <t>-591.935778174868 -114.134870380845 828.560266366308</t>
  </si>
  <si>
    <t>9763-20170724T105141.806874300.bin</t>
  </si>
  <si>
    <t>-767.994427739136 80.6782596367996 -93.2538883785257</t>
  </si>
  <si>
    <t>-787.273664582867 74.3367324977507 -207.290303426052</t>
  </si>
  <si>
    <t>-795.480102023166 70.2973095619056 -305.489128463045</t>
  </si>
  <si>
    <t>-800.130988355714 66.9509830259237 -394.401492878874</t>
  </si>
  <si>
    <t>-801.653865049387 63.860017055651 -483.431713064222</t>
  </si>
  <si>
    <t>-800.494749758021 59.7163732666395 -607.939883090467</t>
  </si>
  <si>
    <t>-765.944873209336 57.2725473556027 -683.473815448032</t>
  </si>
  <si>
    <t>-802.529287882643 89.1911307315777 -554.084419778312</t>
  </si>
  <si>
    <t>-801.053639086915 225.340455004458 -535.164314518519</t>
  </si>
  <si>
    <t>-711.92202149534 249.920055925515 -255.803296252101</t>
  </si>
  <si>
    <t>-471.457936926519 248.166881230311 -270.797467841024</t>
  </si>
  <si>
    <t>-799.480297402309 33.8885420474189 -552.215577672972</t>
  </si>
  <si>
    <t>-629.472886730895 20.6546833039324 -314.647643653104</t>
  </si>
  <si>
    <t>-788.890662092213 174.148434432919 -95.9834839110825</t>
  </si>
  <si>
    <t>-777.773148944573 177.308647250399 307.403549282845</t>
  </si>
  <si>
    <t>-856.408513383155 202.759891687396 747.671021375464</t>
  </si>
  <si>
    <t>-711.142693192235 221.545108036132 807.939194535786</t>
  </si>
  <si>
    <t>-688.331164054802 -9.14970180745058 306.623981297336</t>
  </si>
  <si>
    <t>-693.256114912564 -17.6484539676433 754.359144299037</t>
  </si>
  <si>
    <t>-591.611116394494 -113.837825213626 828.542842526209</t>
  </si>
  <si>
    <t>9763-20170724T105141.841968200.bin</t>
  </si>
  <si>
    <t>-768.058387034654 80.6731531862793 -93.2493295615686</t>
  </si>
  <si>
    <t>-787.339624452674 74.3176186654739 -207.284721847177</t>
  </si>
  <si>
    <t>-795.531930495282 70.2664470592028 -305.48424258391</t>
  </si>
  <si>
    <t>-800.163565962956 66.9092088259176 -394.397257656398</t>
  </si>
  <si>
    <t>-801.661039679615 63.807225364226 -483.427363436519</t>
  </si>
  <si>
    <t>-800.459680718972 59.6477021093679 -607.934667009965</t>
  </si>
  <si>
    <t>-765.876836433072 57.2168058288898 -683.453939069843</t>
  </si>
  <si>
    <t>-802.530979095675 89.1282335367796 -554.083802673092</t>
  </si>
  <si>
    <t>-801.184690905714 225.291372341766 -535.213518548453</t>
  </si>
  <si>
    <t>-712.006065671489 250.110094037771 -255.888570702579</t>
  </si>
  <si>
    <t>-471.724110218809 248.947235740586 -273.609197779824</t>
  </si>
  <si>
    <t>-799.445642294368 33.8278748677369 -552.206510545201</t>
  </si>
  <si>
    <t>-629.450461703768 20.674573443677 -314.571083403108</t>
  </si>
  <si>
    <t>-789.003250920617 174.128386795863 -95.9857192443613</t>
  </si>
  <si>
    <t>-777.787388850293 177.322449243245 307.398272861784</t>
  </si>
  <si>
    <t>-856.409200479667 202.777142668508 747.675396951326</t>
  </si>
  <si>
    <t>-711.166726524942 221.75348314127 807.939765943358</t>
  </si>
  <si>
    <t>-688.355389888265 -9.10519785264319 306.627406803054</t>
  </si>
  <si>
    <t>-693.231935243812 -17.5920531423974 754.360626149239</t>
  </si>
  <si>
    <t>-591.696442140763 -113.895809657257 828.545947099993</t>
  </si>
  <si>
    <t>9763-20170724T105141.911196100.bin</t>
  </si>
  <si>
    <t>-768.171726744844 80.7287246647636 -93.2536901395457</t>
  </si>
  <si>
    <t>-787.465032948039 74.3511751510787 -207.285801835301</t>
  </si>
  <si>
    <t>-795.61625146898 70.2737206927948 -305.48758282341</t>
  </si>
  <si>
    <t>-800.190426604154 66.8893029995927 -394.402430916432</t>
  </si>
  <si>
    <t>-801.610193903907 63.7571644255136 -483.432927443531</t>
  </si>
  <si>
    <t>-800.278946160757 59.5520232083079 -607.937424778866</t>
  </si>
  <si>
    <t>-765.626343230384 57.1465339294837 -683.425421714057</t>
  </si>
  <si>
    <t>-802.451201310352 89.0496876629422 -554.099945473486</t>
  </si>
  <si>
    <t>-801.382802791562 225.232851364836 -535.389294408296</t>
  </si>
  <si>
    <t>-712.416282055663 250.787707462552 -256.063176379194</t>
  </si>
  <si>
    <t>-472.537801431139 250.433619609408 -278.625623550046</t>
  </si>
  <si>
    <t>-799.278303132913 33.7552015981669 -552.198365559649</t>
  </si>
  <si>
    <t>-629.432208575053 20.8493715818329 -314.376955313027</t>
  </si>
  <si>
    <t>-789.172709240919 174.125057546443 -95.9806330348493</t>
  </si>
  <si>
    <t>-777.802078408189 177.38210789465 307.398551563624</t>
  </si>
  <si>
    <t>-856.407522021962 202.790200324108 747.678761333658</t>
  </si>
  <si>
    <t>-711.166000205111 221.783380829413 807.940625777597</t>
  </si>
  <si>
    <t>-688.362648180965 -8.9563365859342 306.62720310393</t>
  </si>
  <si>
    <t>-693.181153940381 -17.4832925158864 754.363840596457</t>
  </si>
  <si>
    <t>-592.104640163261 -114.249964130388 828.573487672743</t>
  </si>
  <si>
    <t>9763-20170724T105141.945286400.bin</t>
  </si>
  <si>
    <t>-768.234835330471 80.6817513419048 -93.2510102429989</t>
  </si>
  <si>
    <t>-787.533479051156 74.295937785394 -207.281817330446</t>
  </si>
  <si>
    <t>-795.661969781271 70.2032807691642 -305.484754442887</t>
  </si>
  <si>
    <t>-800.204434676267 66.801411026782 -394.400651070772</t>
  </si>
  <si>
    <t>-801.581893527809 63.6482113148368 -483.431012180675</t>
  </si>
  <si>
    <t>-800.180082852634 59.4107501306949 -607.933642904495</t>
  </si>
  <si>
    <t>-765.485665989308 57.0120233175942 -683.402617393028</t>
  </si>
  <si>
    <t>-802.404985341177 88.9211818950621 -554.105265409585</t>
  </si>
  <si>
    <t>-801.502650221317 225.12179533719 -535.459491830543</t>
  </si>
  <si>
    <t>-712.789827963216 250.939975224056 -256.07693319008</t>
  </si>
  <si>
    <t>-473.122880985076 250.779501161376 -280.787103788108</t>
  </si>
  <si>
    <t>-799.188895695219 33.6296902458996 -552.18718500152</t>
  </si>
  <si>
    <t>-629.415624745435 20.9063444009303 -314.342760002337</t>
  </si>
  <si>
    <t>-789.264286359791 174.088371717218 -95.9756822530971</t>
  </si>
  <si>
    <t>-777.750321661288 177.346248409787 307.399390090516</t>
  </si>
  <si>
    <t>-856.411218724049 202.809259758968 747.675538692854</t>
  </si>
  <si>
    <t>-711.151780276317 221.656367747991 807.939571769167</t>
  </si>
  <si>
    <t>-688.428571060578 -9.03614484101399 306.630599640298</t>
  </si>
  <si>
    <t>-693.265227186291 -17.6286454913325 754.372052519865</t>
  </si>
  <si>
    <t>-591.882770610372 -114.088038643266 828.564521572671</t>
  </si>
  <si>
    <t>9763-20170724T105142.008996300.bin</t>
  </si>
  <si>
    <t>-768.462712476736 80.7643812487865 -93.2302809086192</t>
  </si>
  <si>
    <t>-787.801297897065 74.3561724596143 -207.253036559052</t>
  </si>
  <si>
    <t>-795.880218061887 70.225327443193 -305.458484072828</t>
  </si>
  <si>
    <t>-800.344905478432 66.7813336964009 -394.376803185712</t>
  </si>
  <si>
    <t>-801.611492385849 63.5798137824711 -483.406926485678</t>
  </si>
  <si>
    <t>-800.020950642352 59.2686622309554 -607.904822866108</t>
  </si>
  <si>
    <t>-765.203445276015 56.9490464822143 -683.319549974104</t>
  </si>
  <si>
    <t>-802.429573291131 88.8047939979499 -554.098388250124</t>
  </si>
  <si>
    <t>-802.281377989826 225.040873292643 -535.726717157401</t>
  </si>
  <si>
    <t>-717.209896340184 250.682880062617 -255.197783566739</t>
  </si>
  <si>
    <t>-477.714557830046 251.204403721649 -281.51527019377</t>
  </si>
  <si>
    <t>-799.012084630232 33.5267036340922 -552.140510450599</t>
  </si>
  <si>
    <t>-629.227583276481 21.1897204419045 -314.317150501106</t>
  </si>
  <si>
    <t>-789.580840906956 174.184566340684 -95.9684355492599</t>
  </si>
  <si>
    <t>-777.82222987416 177.342577973817 307.400403990144</t>
  </si>
  <si>
    <t>-856.397977644993 202.795085260169 747.681462378559</t>
  </si>
  <si>
    <t>-711.130051280293 221.57010412888 807.948039260132</t>
  </si>
  <si>
    <t>-688.426933220491 -9.01950308044979 306.621522376302</t>
  </si>
  <si>
    <t>-693.292952807239 -17.6799163406743 754.370111160647</t>
  </si>
  <si>
    <t>-591.942331545304 -114.16645141433 828.570458543164</t>
  </si>
  <si>
    <t>9763-20170724T105142.045094400.bin</t>
  </si>
  <si>
    <t>-768.83207644878 80.8976263195088 -93.1806128922489</t>
  </si>
  <si>
    <t>-788.301889376888 74.4019873102727 -207.176061238306</t>
  </si>
  <si>
    <t>-796.30904033975 70.3536318073168 -305.390917543353</t>
  </si>
  <si>
    <t>-800.631147664127 67.0460588775725 -394.32133670728</t>
  </si>
  <si>
    <t>-801.676236335739 64.0455028995268 -483.361417692432</t>
  </si>
  <si>
    <t>-799.691649056352 60.0836582746986 -607.86523807848</t>
  </si>
  <si>
    <t>-764.730861297805 58.0728102372716 -683.222499725613</t>
  </si>
  <si>
    <t>-802.483688811975 89.4547392755637 -553.987006048975</t>
  </si>
  <si>
    <t>-803.812734647145 225.70937435718 -535.800223474943</t>
  </si>
  <si>
    <t>-721.228250648209 252.140924726781 -254.602164675913</t>
  </si>
  <si>
    <t>-481.406992212708 251.106863662018 -277.745433480847</t>
  </si>
  <si>
    <t>-798.646199085479 34.1995637214886 -552.16752213735</t>
  </si>
  <si>
    <t>-628.700926098243 22.1995560900878 -314.286041561757</t>
  </si>
  <si>
    <t>-790.25318709426 174.50578629537 -95.942642758118</t>
  </si>
  <si>
    <t>-777.831868729296 177.353840707809 307.408651985101</t>
  </si>
  <si>
    <t>-856.296551972043 202.874423283393 747.687871251878</t>
  </si>
  <si>
    <t>-711.088941017727 221.649853017294 808.099383084443</t>
  </si>
  <si>
    <t>-688.38372557392 -8.93241736007531 306.651975182745</t>
  </si>
  <si>
    <t>-693.341481191028 -17.7225942270595 754.407662718058</t>
  </si>
  <si>
    <t>-591.835928345413 -114.093621177303 828.5463204326</t>
  </si>
  <si>
    <t>9763-20170724T105142.112764500.bin</t>
  </si>
  <si>
    <t>-770.983375624452 81.2843797402804 -92.9908687930417</t>
  </si>
  <si>
    <t>-790.636433479475 74.4048702831694 -206.932300279566</t>
  </si>
  <si>
    <t>-798.647472422967 70.3567930895899 -305.146783160757</t>
  </si>
  <si>
    <t>-802.903117319614 67.1683779162627 -394.084755032491</t>
  </si>
  <si>
    <t>-803.808756753675 64.4130020202965 -483.134350113836</t>
  </si>
  <si>
    <t>-801.549770559388 60.9255457807753 -607.647610154354</t>
  </si>
  <si>
    <t>-766.27093646748 59.5922981740225 -682.871614264349</t>
  </si>
  <si>
    <t>-805.101419629244 90.0388189188827 -553.674351623262</t>
  </si>
  <si>
    <t>-810.196629476141 226.195786835626 -535.372035024535</t>
  </si>
  <si>
    <t>-725.52791261266 256.246437806118 -255.158900094821</t>
  </si>
  <si>
    <t>-485.358362950585 253.618422404611 -274.201907276993</t>
  </si>
  <si>
    <t>-799.986134695096 34.8816665653555 -552.036553644237</t>
  </si>
  <si>
    <t>-628.940748991441 23.9318413519629 -313.965014194224</t>
  </si>
  <si>
    <t>-794.170894043383 175.024410635454 -95.4693986474718</t>
  </si>
  <si>
    <t>-776.438054791619 177.637093969254 307.684938951319</t>
  </si>
  <si>
    <t>-856.367663946035 204.272146857932 747.750252965689</t>
  </si>
  <si>
    <t>-711.359089968684 223.419808149839 808.521957058722</t>
  </si>
  <si>
    <t>-687.948848346555 -8.18867310533301 306.691015392413</t>
  </si>
  <si>
    <t>-693.459961539299 -17.7327959980294 754.499487654806</t>
  </si>
  <si>
    <t>-591.453460286365 -113.673845881638 828.508250941599</t>
  </si>
  <si>
    <t>9763-20170724T105142.144851600.bin</t>
  </si>
  <si>
    <t>-772.16019638117 81.0807895593596 -92.7497765426663</t>
  </si>
  <si>
    <t>-791.725471713392 74.013658337163 -206.694948896732</t>
  </si>
  <si>
    <t>-799.671662883528 69.8902763496728 -304.91156989995</t>
  </si>
  <si>
    <t>-803.869018882058 66.6547388812019 -393.850550352264</t>
  </si>
  <si>
    <t>-804.716214260709 63.8739814884825 -482.899979640407</t>
  </si>
  <si>
    <t>-802.374253689134 60.3700225125531 -607.411215440309</t>
  </si>
  <si>
    <t>-766.893083418598 59.355739597529 -682.545122694496</t>
  </si>
  <si>
    <t>-806.229074173611 89.4641211113476 -553.448521320601</t>
  </si>
  <si>
    <t>-812.466189862153 225.555944828511 -534.946366604787</t>
  </si>
  <si>
    <t>-725.783960647303 256.87305595315 -255.488663801023</t>
  </si>
  <si>
    <t>-485.517237154554 253.165760002099 -273.069058262172</t>
  </si>
  <si>
    <t>-800.580576448326 34.3596063571547 -551.791542147676</t>
  </si>
  <si>
    <t>-628.588499681028 24.5904015977264 -313.656546112101</t>
  </si>
  <si>
    <t>-796.547068278011 174.768996120571 -95.1493337868902</t>
  </si>
  <si>
    <t>-775.433847043805 177.255016307927 307.842876173984</t>
  </si>
  <si>
    <t>-856.40948484736 204.611831733954 747.624799201609</t>
  </si>
  <si>
    <t>-711.555328181775 224.563793370254 808.505915423217</t>
  </si>
  <si>
    <t>-687.645714294209 -7.82928749424696 306.723332371453</t>
  </si>
  <si>
    <t>-693.412335256821 -17.6913395180225 754.498460875898</t>
  </si>
  <si>
    <t>-591.437890316442 -113.645858517604 828.533662965743</t>
  </si>
  <si>
    <t>9763-20170724T105142.212739200.bin</t>
  </si>
  <si>
    <t>-773.643961286269 80.0166938788252 -92.6779400711013</t>
  </si>
  <si>
    <t>-793.228150191183 72.5762915498597 -206.59598944209</t>
  </si>
  <si>
    <t>-801.183536452717 68.4294585033772 -304.810861385806</t>
  </si>
  <si>
    <t>-805.375843979773 65.2701565732075 -393.752978952373</t>
  </si>
  <si>
    <t>-806.201445441049 62.662955296124 -482.807766216762</t>
  </si>
  <si>
    <t>-803.808668807872 59.4981739884952 -607.327102832627</t>
  </si>
  <si>
    <t>-768.354374324469 59.1705448249147 -682.47976606124</t>
  </si>
  <si>
    <t>-808.065028255109 88.4036229179455 -553.293112511743</t>
  </si>
  <si>
    <t>-816.027349518251 224.335102226254 -534.503902040793</t>
  </si>
  <si>
    <t>-725.214621461478 256.505268803614 -256.45833498219</t>
  </si>
  <si>
    <t>-484.951618173083 251.976048299354 -273.893420951404</t>
  </si>
  <si>
    <t>-801.658312214042 33.3780914506467 -551.771464037151</t>
  </si>
  <si>
    <t>-628.815084082812 26.0313267732688 -313.942584549034</t>
  </si>
  <si>
    <t>-799.336091937634 173.313123312477 -95.198814877994</t>
  </si>
  <si>
    <t>-776.357029181478 177.486985755396 307.677341688364</t>
  </si>
  <si>
    <t>-856.326920642392 204.64891528287 747.359915411972</t>
  </si>
  <si>
    <t>-711.67790724627 225.181130233408 808.534966778748</t>
  </si>
  <si>
    <t>-686.614934568579 -7.50632263968532 306.66287454025</t>
  </si>
  <si>
    <t>-693.329973533737 -17.719844531257 754.398098625818</t>
  </si>
  <si>
    <t>-591.016660041839 -113.262420969237 828.498480366045</t>
  </si>
  <si>
    <t>9763-20170724T105142.240814600.bin</t>
  </si>
  <si>
    <t>-774.379884194217 79.5054985619697 -92.8166029218711</t>
  </si>
  <si>
    <t>-793.920274912226 71.9101783822066 -206.731973189469</t>
  </si>
  <si>
    <t>-801.901901388237 67.74212984625 -304.94394414421</t>
  </si>
  <si>
    <t>-806.139400777724 64.6015274091026 -393.884450366303</t>
  </si>
  <si>
    <t>-807.030787680096 62.0517170102369 -482.940294860786</t>
  </si>
  <si>
    <t>-804.749404577036 59.0055011774868 -607.464620432169</t>
  </si>
  <si>
    <t>-769.326005102532 58.8369138954022 -682.632426972891</t>
  </si>
  <si>
    <t>-809.071669950014 87.8459811304599 -553.401205296531</t>
  </si>
  <si>
    <t>-817.408343684444 223.73107666741 -534.363071685494</t>
  </si>
  <si>
    <t>-723.609342725887 255.971405372883 -257.318786570426</t>
  </si>
  <si>
    <t>-483.268379106506 251.06890480875 -273.538990233842</t>
  </si>
  <si>
    <t>-802.434930140601 32.8461352945073 -551.934161581446</t>
  </si>
  <si>
    <t>-629.820816404212 26.5910672921759 -314.274942905533</t>
  </si>
  <si>
    <t>-800.868505097004 173.085635627628 -95.5018600413688</t>
  </si>
  <si>
    <t>-777.993991491359 177.977492913744 307.372151284335</t>
  </si>
  <si>
    <t>-856.293386213835 204.641832012478 747.367553234823</t>
  </si>
  <si>
    <t>-711.682884582602 225.171641749902 808.634369618075</t>
  </si>
  <si>
    <t>-686.213088644634 -7.46677072797161 306.461602321048</t>
  </si>
  <si>
    <t>-693.339113560954 -17.8247976918972 754.28548076246</t>
  </si>
  <si>
    <t>-590.668518511246 -112.94966737855 828.429233335641</t>
  </si>
  <si>
    <t>9763-20170724T105142.278946300.bin</t>
  </si>
  <si>
    <t>-775.148203116883 79.2980678249139 -92.9618547921424</t>
  </si>
  <si>
    <t>-794.601414837817 71.5964451053051 -206.885007100027</t>
  </si>
  <si>
    <t>-802.605180137281 67.4126490283807 -305.094476044411</t>
  </si>
  <si>
    <t>-806.899158864974 64.2857613192318 -394.032732639367</t>
  </si>
  <si>
    <t>-807.882454260364 61.7788055542294 -483.088855422574</t>
  </si>
  <si>
    <t>-805.76560794722 58.8222485739232 -607.618295303268</t>
  </si>
  <si>
    <t>-770.452524049877 58.7700690133911 -682.838115536531</t>
  </si>
  <si>
    <t>-810.085850488137 87.6151304973585 -553.529230464518</t>
  </si>
  <si>
    <t>-818.508821868768 223.446407116016 -534.285168648939</t>
  </si>
  <si>
    <t>-722.658705228408 255.950002523855 -257.974605621514</t>
  </si>
  <si>
    <t>-482.258913725864 250.717847638569 -273.187420508926</t>
  </si>
  <si>
    <t>-803.308418706012 32.6315131664305 -552.108796281144</t>
  </si>
  <si>
    <t>-630.844417085252 27.1215230011544 -314.502841092263</t>
  </si>
  <si>
    <t>-802.324072643371 173.336113931439 -95.7508982270384</t>
  </si>
  <si>
    <t>-779.875145950142 178.532955894196 307.143245652209</t>
  </si>
  <si>
    <t>-856.374092309756 204.810292601648 747.528082119914</t>
  </si>
  <si>
    <t>-711.736590701372 225.129775875766 808.8010483068</t>
  </si>
  <si>
    <t>-686.076380218441 -7.45924776205084 306.277890701938</t>
  </si>
  <si>
    <t>-693.353213629339 -17.8616256693942 754.181705073444</t>
  </si>
  <si>
    <t>-590.556464028185 -112.820898802387 828.362906941589</t>
  </si>
  <si>
    <t>9763-20170724T105142.338095000.bin</t>
  </si>
  <si>
    <t>-777.174664049719 80.6097785240729 -93.055266989167</t>
  </si>
  <si>
    <t>-796.636993256434 72.7314919412888 -206.964746549001</t>
  </si>
  <si>
    <t>-804.739144916096 68.4953983685728 -305.163880599429</t>
  </si>
  <si>
    <t>-809.155707899255 65.3622199887759 -394.095989691177</t>
  </si>
  <si>
    <t>-810.294360277885 62.890657489809 -483.151213378678</t>
  </si>
  <si>
    <t>-808.427485659221 60.028999612314 -607.686819984444</t>
  </si>
  <si>
    <t>-773.351661994702 60.1604253268868 -683.01756007505</t>
  </si>
  <si>
    <t>-812.669567956658 88.7768166821188 -553.567863386873</t>
  </si>
  <si>
    <t>-820.97499167495 224.614682798362 -534.183529531218</t>
  </si>
  <si>
    <t>-723.681778085288 257.638145191566 -258.439591545594</t>
  </si>
  <si>
    <t>-483.104929569151 251.774054741013 -270.24139847516</t>
  </si>
  <si>
    <t>-805.828437661068 33.7996360974555 -552.201983477546</t>
  </si>
  <si>
    <t>-633.978662873861 29.5269254300767 -314.66488353308</t>
  </si>
  <si>
    <t>-805.083288828838 174.745053296969 -95.9437495885584</t>
  </si>
  <si>
    <t>-782.697118471651 179.934431911881 306.953991161052</t>
  </si>
  <si>
    <t>-856.569263781346 205.148872962953 747.923350988089</t>
  </si>
  <si>
    <t>-711.837919898111 224.8489091206 809.177297967088</t>
  </si>
  <si>
    <t>-687.214745650049 -6.92762167150522 306.254778843278</t>
  </si>
  <si>
    <t>-693.485170191157 -17.9556685731063 754.127803722151</t>
  </si>
  <si>
    <t>-590.445761883948 -112.666019052183 828.290612490159</t>
  </si>
  <si>
    <t>9763-20170724T105142.408069800.bin</t>
  </si>
  <si>
    <t>-778.022497756276 82.5362099161289 -93.0675995003468</t>
  </si>
  <si>
    <t>-797.629382636951 74.5785422676331 -206.946814548754</t>
  </si>
  <si>
    <t>-805.9852031111 70.3056101433729 -305.1231120875</t>
  </si>
  <si>
    <t>-810.684566921887 67.1607592894954 -394.040289401085</t>
  </si>
  <si>
    <t>-812.158889590098 64.7030423203989 -483.090964081217</t>
  </si>
  <si>
    <t>-810.816251203447 61.8918669684579 -607.634532100632</t>
  </si>
  <si>
    <t>-776.032536400265 62.1542983636309 -683.100237827782</t>
  </si>
  <si>
    <t>-814.818350223865 90.619332612426 -553.486443399421</t>
  </si>
  <si>
    <t>-823.087358854631 226.467095037463 -534.047420234835</t>
  </si>
  <si>
    <t>-726.441707413713 259.864354309889 -258.120881304786</t>
  </si>
  <si>
    <t>-485.780180286188 253.588688124467 -267.791480194872</t>
  </si>
  <si>
    <t>-807.995577773082 35.6385166709215 -552.171760266948</t>
  </si>
  <si>
    <t>-635.645060422268 31.4264645850421 -314.585705594685</t>
  </si>
  <si>
    <t>-805.60777447922 176.294085871424 -95.9309822367793</t>
  </si>
  <si>
    <t>-783.598481814706 181.111989775083 306.992172781407</t>
  </si>
  <si>
    <t>-856.688837927855 205.227511321505 748.252344797377</t>
  </si>
  <si>
    <t>-711.872419785852 224.408772254183 809.470039584887</t>
  </si>
  <si>
    <t>-688.185706187445 -5.91188940339953 306.352308414433</t>
  </si>
  <si>
    <t>-693.452273394262 -17.6869675773767 754.177283060985</t>
  </si>
  <si>
    <t>-590.792126861171 -112.819496354565 828.325615866628</t>
  </si>
  <si>
    <t>9763-20170724T105142.442154900.bin</t>
  </si>
  <si>
    <t>-778.073292132628 82.9222990342237 -93.0622987033671</t>
  </si>
  <si>
    <t>-797.689849613263 74.984145505131 -206.941163425228</t>
  </si>
  <si>
    <t>-806.134091697517 70.6924687521619 -305.109148630729</t>
  </si>
  <si>
    <t>-810.947077846007 67.5204474630752 -394.019248784654</t>
  </si>
  <si>
    <t>-812.568919772845 65.0268403856007 -483.066336242557</t>
  </si>
  <si>
    <t>-811.468842568772 62.1580182962866 -607.61101759307</t>
  </si>
  <si>
    <t>-776.806684519378 62.4271770419903 -683.132508823199</t>
  </si>
  <si>
    <t>-815.345811665837 90.9130175491016 -553.468339941262</t>
  </si>
  <si>
    <t>-823.522636183027 226.768747264769 -534.11117272136</t>
  </si>
  <si>
    <t>-727.307540837311 260.299417773733 -258.050298254041</t>
  </si>
  <si>
    <t>-486.610291740153 254.172534189155 -266.892379784751</t>
  </si>
  <si>
    <t>-808.560043192412 35.9279025298024 -552.141873449584</t>
  </si>
  <si>
    <t>-635.643948066732 31.4975127243138 -314.542638419669</t>
  </si>
  <si>
    <t>-805.431621591885 176.662513652965 -95.8602993263962</t>
  </si>
  <si>
    <t>-783.530476978693 181.335133474612 307.0704257202</t>
  </si>
  <si>
    <t>-856.737886504079 205.231776986119 748.36928591968</t>
  </si>
  <si>
    <t>-711.882948240254 224.209807040215 809.559038930364</t>
  </si>
  <si>
    <t>-688.347139265289 -5.63063392027493 306.358780632491</t>
  </si>
  <si>
    <t>-693.490704392891 -17.7022452969557 754.190735925793</t>
  </si>
  <si>
    <t>-590.826496016547 -112.824025497599 828.347430902245</t>
  </si>
  <si>
    <t>9763-20170724T105142.508338300.bin</t>
  </si>
  <si>
    <t>-777.629300739198 82.5181673929344 -92.9319594884894</t>
  </si>
  <si>
    <t>-797.372255382605 74.6513581253957 -206.793976236501</t>
  </si>
  <si>
    <t>-805.971214664149 70.335252913017 -304.947406205786</t>
  </si>
  <si>
    <t>-810.94521590875 67.1106088777726 -393.84680783974</t>
  </si>
  <si>
    <t>-812.750511171555 64.5347104395553 -482.888041873854</t>
  </si>
  <si>
    <t>-811.931034284496 61.5216751040862 -607.431493724722</t>
  </si>
  <si>
    <t>-777.515296554925 61.6921617681869 -683.065857309809</t>
  </si>
  <si>
    <t>-815.650274685568 90.3437209460167 -553.313436165552</t>
  </si>
  <si>
    <t>-823.59910634039 226.233796198535 -534.108025987871</t>
  </si>
  <si>
    <t>-727.636333185635 260.422939719114 -258.040236522343</t>
  </si>
  <si>
    <t>-486.935498277971 253.940120904703 -266.522605534987</t>
  </si>
  <si>
    <t>-808.933031598762 35.3513739681121 -551.938702925445</t>
  </si>
  <si>
    <t>-635.243162969166 30.5453347764656 -314.402419877532</t>
  </si>
  <si>
    <t>-804.892691587877 176.415420375112 -95.6366171517129</t>
  </si>
  <si>
    <t>-782.942177428184 180.776763101753 307.294911243178</t>
  </si>
  <si>
    <t>-856.783886730359 205.007436071409 748.53391490654</t>
  </si>
  <si>
    <t>-711.907950192114 224.026160617475 809.661079253306</t>
  </si>
  <si>
    <t>-687.832470040434 -5.78633758281558 306.396830329093</t>
  </si>
  <si>
    <t>-693.450005888328 -17.5206489407296 754.208011072017</t>
  </si>
  <si>
    <t>-590.773529937264 -112.60423760309 828.396440870697</t>
  </si>
  <si>
    <t>9763-20170724T105142.543432200.bin</t>
  </si>
  <si>
    <t>-777.274304921082 82.1319678359739 -92.9103775262524</t>
  </si>
  <si>
    <t>-797.027595311378 74.2952774626294 -206.772646205149</t>
  </si>
  <si>
    <t>-805.659398381039 69.9554577831054 -304.92215034771</t>
  </si>
  <si>
    <t>-810.674215502177 66.6914520772505 -393.817698694593</t>
  </si>
  <si>
    <t>-812.531854750845 64.0585374269835 -482.8563227143</t>
  </si>
  <si>
    <t>-811.798452599368 60.9477960424645 -607.397802752681</t>
  </si>
  <si>
    <t>-777.48438652869 61.032333244772 -683.078442454446</t>
  </si>
  <si>
    <t>-815.464236911559 89.8143540965934 -553.299805085372</t>
  </si>
  <si>
    <t>-823.291299748752 225.727795158636 -534.160066440227</t>
  </si>
  <si>
    <t>-727.313088367843 260.000372255907 -258.107926606319</t>
  </si>
  <si>
    <t>-486.627064057067 253.186288935586 -266.749445933654</t>
  </si>
  <si>
    <t>-808.778317727986 34.8192280042176 -551.886766393785</t>
  </si>
  <si>
    <t>-634.85226670578 30.0271613036098 -314.371661902988</t>
  </si>
  <si>
    <t>-804.269746409212 176.161337530883 -95.6202923954592</t>
  </si>
  <si>
    <t>-783.037061979345 180.605789617919 307.348829425071</t>
  </si>
  <si>
    <t>-856.824139308984 205.008427368402 748.565239251959</t>
  </si>
  <si>
    <t>-711.931704597944 223.940713987931 809.680203326285</t>
  </si>
  <si>
    <t>-687.738148468052 -5.97198857109902 306.399288461359</t>
  </si>
  <si>
    <t>-693.44630939084 -17.4757144410501 754.204249697891</t>
  </si>
  <si>
    <t>-590.693894478637 -112.467924530897 828.404543612566</t>
  </si>
  <si>
    <t>9763-20170724T105142.610454800.bin</t>
  </si>
  <si>
    <t>-776.527459751737 81.9535098827923 -92.8606416178477</t>
  </si>
  <si>
    <t>-796.287979359689 74.156166206272 -206.724351316601</t>
  </si>
  <si>
    <t>-804.921526452429 69.7705607950595 -304.871577157499</t>
  </si>
  <si>
    <t>-809.938120806338 66.4348870572201 -393.764458560545</t>
  </si>
  <si>
    <t>-811.799004500401 63.7011332850207 -482.799896600012</t>
  </si>
  <si>
    <t>-811.072600851438 60.4195091972038 -607.337204831821</t>
  </si>
  <si>
    <t>-776.907842690594 60.3897627269839 -683.085467565771</t>
  </si>
  <si>
    <t>-814.742797909507 89.3592955493073 -553.278594614684</t>
  </si>
  <si>
    <t>-822.457835931795 225.277860182125 -534.277539109158</t>
  </si>
  <si>
    <t>-726.204099702294 260.042179222034 -258.382896751267</t>
  </si>
  <si>
    <t>-485.583355526111 252.131646240503 -267.868841378462</t>
  </si>
  <si>
    <t>-808.041780950924 34.3679415755539 -551.790423243983</t>
  </si>
  <si>
    <t>-634.105940229717 29.9384223516302 -314.319333043749</t>
  </si>
  <si>
    <t>-803.406488561592 175.905203071399 -95.5424270523371</t>
  </si>
  <si>
    <t>-782.533261486454 180.547624756369 307.44328035873</t>
  </si>
  <si>
    <t>-856.73361981402 204.555526499156 748.630916637817</t>
  </si>
  <si>
    <t>-711.888868884992 224.071770902931 809.675339152684</t>
  </si>
  <si>
    <t>-687.190395694394 -6.29332954129291 306.404365538763</t>
  </si>
  <si>
    <t>-693.33937946796 -17.2260363316029 754.17728220012</t>
  </si>
  <si>
    <t>-590.801435975823 -112.411960781731 828.426302803291</t>
  </si>
  <si>
    <t>9763-20170724T105142.644545500.bin</t>
  </si>
  <si>
    <t>-776.29378946088 82.0632084450822 -92.8119213061728</t>
  </si>
  <si>
    <t>-796.07138539863 74.2981643338612 -206.674784279433</t>
  </si>
  <si>
    <t>-804.68839412359 69.9004367813532 -304.823025170643</t>
  </si>
  <si>
    <t>-809.67865565294 66.5389061870246 -393.716439847267</t>
  </si>
  <si>
    <t>-811.502589857611 63.7650039450868 -482.751333612657</t>
  </si>
  <si>
    <t>-810.713764047916 60.4129850985878 -607.286294371487</t>
  </si>
  <si>
    <t>-776.584448680795 60.3620528312561 -683.050517722335</t>
  </si>
  <si>
    <t>-814.434285878327 89.3805115622886 -553.246029683633</t>
  </si>
  <si>
    <t>-822.149252853305 225.323171415213 -534.318018305422</t>
  </si>
  <si>
    <t>-725.880700732537 260.199850359242 -258.442642336524</t>
  </si>
  <si>
    <t>-485.293921397701 251.909698089391 -268.45108701876</t>
  </si>
  <si>
    <t>-807.687409487984 34.3957044510394 -551.72321059318</t>
  </si>
  <si>
    <t>-633.800859968129 30.2479665725814 -314.218912056671</t>
  </si>
  <si>
    <t>-803.209950497268 176.004818685732 -95.4829384240895</t>
  </si>
  <si>
    <t>-782.250412207497 180.526057648462 307.499595777231</t>
  </si>
  <si>
    <t>-856.742080113906 204.391613433082 748.65526672402</t>
  </si>
  <si>
    <t>-711.897321085095 224.041543496154 809.65685015291</t>
  </si>
  <si>
    <t>-686.939870337489 -6.27872694935104 306.422196025676</t>
  </si>
  <si>
    <t>-693.298733697068 -17.1364142061952 754.166282102146</t>
  </si>
  <si>
    <t>-590.836867179211 -112.386224789772 828.438120797287</t>
  </si>
  <si>
    <t>9763-20170724T105142.710510300.bin</t>
  </si>
  <si>
    <t>-775.889455053174 82.3824220025081 -92.8871745361122</t>
  </si>
  <si>
    <t>-795.697372266997 74.6391846033036 -206.746272558053</t>
  </si>
  <si>
    <t>-804.290126670985 70.1937307481796 -304.894562394492</t>
  </si>
  <si>
    <t>-809.240547674808 66.7648815254433 -393.787481439278</t>
  </si>
  <si>
    <t>-811.00772845823 63.9012492063141 -482.820823807993</t>
  </si>
  <si>
    <t>-810.123100150119 60.4016650011756 -607.351009044754</t>
  </si>
  <si>
    <t>-775.973805419208 60.3233260881655 -683.106220061652</t>
  </si>
  <si>
    <t>-813.924163245292 89.4282784791246 -553.348103917194</t>
  </si>
  <si>
    <t>-821.730178645297 225.394500945604 -534.598314411888</t>
  </si>
  <si>
    <t>-725.897002425977 260.587185233182 -258.611463550964</t>
  </si>
  <si>
    <t>-485.391490016467 251.542352196687 -269.844159876806</t>
  </si>
  <si>
    <t>-807.100672745676 34.4549245027667 -551.754810633452</t>
  </si>
  <si>
    <t>-633.208003421463 30.9004822450659 -314.065565579642</t>
  </si>
  <si>
    <t>-802.720400788444 176.409103537878 -95.5849943122549</t>
  </si>
  <si>
    <t>-782.267793667356 180.797452686485 307.425095237206</t>
  </si>
  <si>
    <t>-856.759672065187 204.277621171623 748.601689631375</t>
  </si>
  <si>
    <t>-711.884066401695 223.782683924339 809.576450254704</t>
  </si>
  <si>
    <t>-686.64513199233 -5.91549717591988 306.372973331723</t>
  </si>
  <si>
    <t>-693.204691408596 -16.9348460234553 754.09298329486</t>
  </si>
  <si>
    <t>-590.954472361374 -112.356545173378 828.43616024332</t>
  </si>
  <si>
    <t>9763-20170724T105142.745601800.bin</t>
  </si>
  <si>
    <t>-775.873221978312 82.4841686183984 -92.9166167497386</t>
  </si>
  <si>
    <t>-795.698189400518 74.7537457650683 -206.773721290239</t>
  </si>
  <si>
    <t>-804.275769044025 70.2676355118228 -304.921304495726</t>
  </si>
  <si>
    <t>-809.201570887725 66.7823285901313 -393.813583356838</t>
  </si>
  <si>
    <t>-810.934319719879 63.8423866162996 -482.845044164658</t>
  </si>
  <si>
    <t>-809.991359025536 60.2157940726897 -607.371234778012</t>
  </si>
  <si>
    <t>-775.786937540984 60.1004590103807 -683.101444315873</t>
  </si>
  <si>
    <t>-813.827378792717 89.2963455588131 -553.399703300148</t>
  </si>
  <si>
    <t>-821.69056332358 225.279372058496 -534.7768609664</t>
  </si>
  <si>
    <t>-726.343995349132 260.645791420458 -258.64394841899</t>
  </si>
  <si>
    <t>-485.878177397218 251.24404737724 -270.419658843363</t>
  </si>
  <si>
    <t>-806.985341911834 34.3270815477924 -551.747044787831</t>
  </si>
  <si>
    <t>-633.127661822814 30.9997472631624 -314.067497301144</t>
  </si>
  <si>
    <t>-802.694929295629 176.502922565151 -95.6189643309018</t>
  </si>
  <si>
    <t>-782.271785321574 180.910223274517 307.392425171506</t>
  </si>
  <si>
    <t>-856.736749427417 204.187314150581 748.583926081922</t>
  </si>
  <si>
    <t>-711.848465746032 223.621299680523 809.55100999502</t>
  </si>
  <si>
    <t>-686.561130052288 -5.86468053573208 306.33257083571</t>
  </si>
  <si>
    <t>-693.210179280253 -16.8959833780145 754.067286102703</t>
  </si>
  <si>
    <t>-590.718263432335 -112.052488691075 828.417507571328</t>
  </si>
  <si>
    <t>9763-20170724T105142.812381800.bin</t>
  </si>
  <si>
    <t>-776.124807681453 82.5021848362751 -92.9744266346713</t>
  </si>
  <si>
    <t>-795.974844818074 74.7650894968876 -206.826643580575</t>
  </si>
  <si>
    <t>-804.523851477468 70.1713612691829 -304.971864917792</t>
  </si>
  <si>
    <t>-809.405936825995 66.54711466204 -393.860935524584</t>
  </si>
  <si>
    <t>-811.077972468476 63.4258281606978 -482.887402796217</t>
  </si>
  <si>
    <t>-810.033808653327 59.5010486576682 -607.403619056774</t>
  </si>
  <si>
    <t>-775.72000777388 59.2280988071748 -683.084075125431</t>
  </si>
  <si>
    <t>-813.901296794053 88.7123296999714 -553.505044465036</t>
  </si>
  <si>
    <t>-821.741722282415 224.712502101949 -535.074140747085</t>
  </si>
  <si>
    <t>-727.157984229623 261.050036064301 -258.804858255495</t>
  </si>
  <si>
    <t>-486.779435669711 250.467888699598 -271.337260220986</t>
  </si>
  <si>
    <t>-807.085403309059 33.7439981429959 -551.715263208683</t>
  </si>
  <si>
    <t>-633.255296281195 30.7718636332227 -314.156441033188</t>
  </si>
  <si>
    <t>-802.90784328346 176.617283127073 -95.7090678706788</t>
  </si>
  <si>
    <t>-782.532064200233 180.949900598162 307.305494408201</t>
  </si>
  <si>
    <t>-856.68912256938 204.071304022975 748.530112423092</t>
  </si>
  <si>
    <t>-711.817884057949 223.546308272004 809.524712792226</t>
  </si>
  <si>
    <t>-686.618686426486 -5.70747151908449 306.26574380258</t>
  </si>
  <si>
    <t>-693.278533444028 -16.9334012096317 754.01090252236</t>
  </si>
  <si>
    <t>-590.579902714699 -111.845558292273 828.388026473776</t>
  </si>
  <si>
    <t>9763-20170724T105142.846472500.bin</t>
  </si>
  <si>
    <t>-776.243544377782 82.4824511085171 -93.0270988998022</t>
  </si>
  <si>
    <t>-796.130202679726 74.7391610223929 -206.872509012957</t>
  </si>
  <si>
    <t>-804.680049923634 70.0926939767205 -305.015069514398</t>
  </si>
  <si>
    <t>-809.551394724087 66.4017654398162 -393.902032301411</t>
  </si>
  <si>
    <t>-811.202012049517 63.1942082660278 -482.92579793192</t>
  </si>
  <si>
    <t>-810.117201789171 59.1275297005122 -607.437160244167</t>
  </si>
  <si>
    <t>-775.762144127189 58.7479999219636 -683.098373264353</t>
  </si>
  <si>
    <t>-813.985522330236 88.4022390530647 -553.573216085386</t>
  </si>
  <si>
    <t>-821.784135147703 224.417354548019 -535.269862612256</t>
  </si>
  <si>
    <t>-727.641547729836 261.250048326154 -258.915513972054</t>
  </si>
  <si>
    <t>-487.283849125432 250.530455346905 -271.729002862638</t>
  </si>
  <si>
    <t>-807.20344321497 33.4319946128032 -551.718672370759</t>
  </si>
  <si>
    <t>-633.421280437938 30.5320668813774 -314.221028210528</t>
  </si>
  <si>
    <t>-802.99643088058 176.661361764565 -95.7810291489309</t>
  </si>
  <si>
    <t>-782.779265846313 181.050868214455 307.240924513307</t>
  </si>
  <si>
    <t>-856.702833750306 204.137868517075 748.508715012472</t>
  </si>
  <si>
    <t>-711.818049434705 223.394330158421 809.540421536392</t>
  </si>
  <si>
    <t>-686.6432637066 -5.57007275478077 306.210282854262</t>
  </si>
  <si>
    <t>-693.233327870348 -16.7690951784773 753.978997087642</t>
  </si>
  <si>
    <t>-590.727238519214 -111.870110129757 828.380767550446</t>
  </si>
  <si>
    <t>9763-20170724T105142.905440700.bin</t>
  </si>
  <si>
    <t>-776.844387735154 82.5086766095271 -93.1069327158018</t>
  </si>
  <si>
    <t>-796.768826392199 74.7833245426405 -206.946939893425</t>
  </si>
  <si>
    <t>-805.33425195685 70.0430979664309 -305.083734824867</t>
  </si>
  <si>
    <t>-810.215855062669 66.2248644863121 -393.9647877435</t>
  </si>
  <si>
    <t>-811.873777875618 62.8475016949762 -482.982075692639</t>
  </si>
  <si>
    <t>-810.797456274971 58.4991593101854 -607.484188275016</t>
  </si>
  <si>
    <t>-776.436016828928 57.9062929191448 -683.141027178893</t>
  </si>
  <si>
    <t>-814.632740616804 87.8991802032529 -553.685914737115</t>
  </si>
  <si>
    <t>-822.383048631603 223.954154170727 -535.618588200411</t>
  </si>
  <si>
    <t>-728.199359299116 261.398723042209 -259.360519462167</t>
  </si>
  <si>
    <t>-487.820953775539 250.696352252549 -271.790403865984</t>
  </si>
  <si>
    <t>-807.909300712769 32.9261234818532 -551.707927478234</t>
  </si>
  <si>
    <t>-634.076642382063 30.1415095145026 -314.285483531154</t>
  </si>
  <si>
    <t>-803.502419630638 176.81588924809 -95.8958999457985</t>
  </si>
  <si>
    <t>-783.355246238719 181.094734751387 307.130712151222</t>
  </si>
  <si>
    <t>-856.571083792725 203.943505443335 748.522838280174</t>
  </si>
  <si>
    <t>-711.758276709869 223.486434044634 809.63437539429</t>
  </si>
  <si>
    <t>-686.933613539753 -5.36947291865931 306.112593686291</t>
  </si>
  <si>
    <t>-693.207444414147 -16.5485988485732 753.925166110068</t>
  </si>
  <si>
    <t>-590.724436942523 -111.667162454041 828.336264105044</t>
  </si>
  <si>
    <t>9763-20170724T105142.942538500.bin</t>
  </si>
  <si>
    <t>-777.359357738377 82.6374916703369 -93.1156640105885</t>
  </si>
  <si>
    <t>-797.287052462718 74.913825636218 -206.95535421061</t>
  </si>
  <si>
    <t>-805.851405313769 70.1375815584797 -305.090329909364</t>
  </si>
  <si>
    <t>-810.731398791969 66.2728476100649 -393.969448625224</t>
  </si>
  <si>
    <t>-812.387427552839 62.8347282831332 -482.984464288027</t>
  </si>
  <si>
    <t>-811.309023573585 58.3871088483475 -607.483004250429</t>
  </si>
  <si>
    <t>-776.976476946909 57.7045067243796 -683.152159927492</t>
  </si>
  <si>
    <t>-815.127107024541 87.8323633999833 -553.708306435175</t>
  </si>
  <si>
    <t>-822.80176078251 223.901930269259 -535.738425726586</t>
  </si>
  <si>
    <t>-728.475370684538 261.758429227433 -259.58520258112</t>
  </si>
  <si>
    <t>-488.092512121135 251.320818266605 -272.156349593991</t>
  </si>
  <si>
    <t>-808.439982790004 32.856328477483 -551.686336287826</t>
  </si>
  <si>
    <t>-634.641588075447 30.1840007425183 -314.282175058522</t>
  </si>
  <si>
    <t>-804.058501511377 177.028075503846 -95.915004457201</t>
  </si>
  <si>
    <t>-783.699318866112 181.22410445462 307.101822723905</t>
  </si>
  <si>
    <t>-856.625896564476 204.101972114888 748.559272846074</t>
  </si>
  <si>
    <t>-711.780567395148 223.262633333182 809.71465571947</t>
  </si>
  <si>
    <t>-687.330094476256 -5.18264411512519 306.093662962209</t>
  </si>
  <si>
    <t>-693.222994554312 -16.4615034380706 753.911578980499</t>
  </si>
  <si>
    <t>-590.906541284859 -111.756420932664 828.326019016442</t>
  </si>
  <si>
    <t>9763-20170724T105143.013455800.bin</t>
  </si>
  <si>
    <t>-778.533020878432 82.6998465789536 -93.1274916180734</t>
  </si>
  <si>
    <t>-798.494433160464 74.957310761459 -206.959922656665</t>
  </si>
  <si>
    <t>-807.08056158252 70.1357444689982 -305.090953968004</t>
  </si>
  <si>
    <t>-811.978122318337 66.220212645947 -393.966874759367</t>
  </si>
  <si>
    <t>-813.650328048203 62.7221807040689 -482.979251653832</t>
  </si>
  <si>
    <t>-812.592766888502 58.1817510103056 -607.474553250904</t>
  </si>
  <si>
    <t>-778.417429481324 57.3329545021982 -683.213209686235</t>
  </si>
  <si>
    <t>-816.369261141545 87.6710820133276 -553.721078386102</t>
  </si>
  <si>
    <t>-823.860145578704 223.762304792443 -535.826446969628</t>
  </si>
  <si>
    <t>-728.95527445684 261.909831258433 -259.911548870615</t>
  </si>
  <si>
    <t>-488.556519639299 251.775371375384 -272.425407185889</t>
  </si>
  <si>
    <t>-809.747063505036 32.6885607917129 -551.65953812524</t>
  </si>
  <si>
    <t>-635.890111051572 30.0288061962606 -314.27569061697</t>
  </si>
  <si>
    <t>-805.055736034986 177.087589257401 -95.9739804285359</t>
  </si>
  <si>
    <t>-784.505649008425 181.23337843768 307.033737109033</t>
  </si>
  <si>
    <t>-856.534055635461 203.995986595187 748.641153864279</t>
  </si>
  <si>
    <t>-711.725437751552 223.157963438254 809.882985853105</t>
  </si>
  <si>
    <t>-688.319328499317 -4.91744269986475 306.085039661752</t>
  </si>
  <si>
    <t>-693.332017724806 -16.3873264929423 753.925360543002</t>
  </si>
  <si>
    <t>-590.998682456363 -111.689387096385 828.307356413722</t>
  </si>
  <si>
    <t>9763-20170724T105143.050556500.bin</t>
  </si>
  <si>
    <t>-779.085686266013 82.5563386540937 -93.0953299153388</t>
  </si>
  <si>
    <t>-799.051918888489 74.8132064068579 -206.926905962743</t>
  </si>
  <si>
    <t>-807.591807080353 69.9974321579093 -305.062138042119</t>
  </si>
  <si>
    <t>-812.427469100475 66.0906702899988 -393.941901995948</t>
  </si>
  <si>
    <t>-814.017408760201 62.6043245351136 -482.956216944904</t>
  </si>
  <si>
    <t>-812.823777534069 58.0836215522286 -607.45101222555</t>
  </si>
  <si>
    <t>-778.702571357896 57.1759010565606 -683.213462934179</t>
  </si>
  <si>
    <t>-816.648995557389 87.5655929182133 -553.696876978014</t>
  </si>
  <si>
    <t>-824.013164728645 223.656350691212 -535.811304839333</t>
  </si>
  <si>
    <t>-728.662295938372 261.774405334432 -260.046037350784</t>
  </si>
  <si>
    <t>-488.243321367497 251.881639898467 -272.362826497193</t>
  </si>
  <si>
    <t>-810.049086707181 32.5804797147666 -551.636938238877</t>
  </si>
  <si>
    <t>-636.134721046809 29.8141243491546 -314.299534276579</t>
  </si>
  <si>
    <t>-805.50644903017 176.960321304878 -95.9603782972342</t>
  </si>
  <si>
    <t>-784.767993467635 181.162011001228 307.037071079665</t>
  </si>
  <si>
    <t>-856.533237515078 204.000353935863 748.716992432597</t>
  </si>
  <si>
    <t>-711.713190431879 222.987676643774 809.986536984656</t>
  </si>
  <si>
    <t>-688.837825670097 -4.89196700085245 306.116402882013</t>
  </si>
  <si>
    <t>-693.443620400704 -16.4294464645864 753.958138126581</t>
  </si>
  <si>
    <t>-590.810269603404 -111.441890960304 828.297630768109</t>
  </si>
  <si>
    <t>9763-20170724T105143.111379400.bin</t>
  </si>
  <si>
    <t>-779.925911513792 82.3188734839148 -92.9530204366706</t>
  </si>
  <si>
    <t>-799.975762986281 74.5818436123959 -206.770216396481</t>
  </si>
  <si>
    <t>-808.540383498301 69.7955728950403 -304.904815788941</t>
  </si>
  <si>
    <t>-813.379564281281 65.9271751568776 -393.785882066169</t>
  </si>
  <si>
    <t>-814.953752611314 62.490363446474 -482.802445365603</t>
  </si>
  <si>
    <t>-813.717371352849 58.0507140008167 -607.299857865962</t>
  </si>
  <si>
    <t>-779.710431461285 57.0271611661406 -683.112057980885</t>
  </si>
  <si>
    <t>-817.50200520734 87.5045699255427 -553.527516290315</t>
  </si>
  <si>
    <t>-824.374159161591 223.625550864201 -535.615522436724</t>
  </si>
  <si>
    <t>-727.956038715352 261.646142951017 -260.208337256604</t>
  </si>
  <si>
    <t>-487.500314929594 252.074516797166 -272.051879014694</t>
  </si>
  <si>
    <t>-811.021025266332 32.5040593917051 -551.501899605943</t>
  </si>
  <si>
    <t>-636.742838811966 29.2498236079255 -314.302263285878</t>
  </si>
  <si>
    <t>-806.118571849623 176.729073908137 -95.8559421847592</t>
  </si>
  <si>
    <t>-785.107905941215 180.974684573113 307.126952392289</t>
  </si>
  <si>
    <t>-856.504597136893 203.873876980528 748.901304810578</t>
  </si>
  <si>
    <t>-711.657355130482 222.643023364529 810.173484188573</t>
  </si>
  <si>
    <t>-689.621728790756 -4.85680861249375 306.21209064284</t>
  </si>
  <si>
    <t>-693.534380846455 -16.286913884675 754.037408102889</t>
  </si>
  <si>
    <t>-591.234041440875 -111.680700362174 828.347423750355</t>
  </si>
  <si>
    <t>9763-20170724T105143.143464100.bin</t>
  </si>
  <si>
    <t>-780.179898539022 82.1627973941179 -92.8852927263983</t>
  </si>
  <si>
    <t>-800.311325698414 74.4278555554952 -206.688265264573</t>
  </si>
  <si>
    <t>-808.942072306838 69.6450688310094 -304.817340207928</t>
  </si>
  <si>
    <t>-813.839665959113 65.7820066582578 -393.695518198324</t>
  </si>
  <si>
    <t>-815.470804946614 62.3522901114172 -482.711242158448</t>
  </si>
  <si>
    <t>-814.312182814768 57.9245945841592 -607.209772637257</t>
  </si>
  <si>
    <t>-780.344169222463 56.8372309493288 -683.03860379376</t>
  </si>
  <si>
    <t>-818.02452331886 87.3778404284806 -553.432122682941</t>
  </si>
  <si>
    <t>-824.637289129587 223.516107796502 -535.506155711599</t>
  </si>
  <si>
    <t>-727.88368363998 261.512568484698 -260.213225008182</t>
  </si>
  <si>
    <t>-487.419135991437 252.056674709626 -271.972418666855</t>
  </si>
  <si>
    <t>-811.619560171418 32.368008049358 -551.416084694719</t>
  </si>
  <si>
    <t>-637.123362983524 28.8508659733739 -314.333598007349</t>
  </si>
  <si>
    <t>-806.25824528463 176.519991876071 -95.7807738465606</t>
  </si>
  <si>
    <t>-785.132706644111 180.837699155978 307.195369305672</t>
  </si>
  <si>
    <t>-856.478900011875 203.774411114196 748.978686661332</t>
  </si>
  <si>
    <t>-711.649372131925 222.704305173515 810.243143196836</t>
  </si>
  <si>
    <t>-689.909565684519 -4.98016271213396 306.261814071043</t>
  </si>
  <si>
    <t>-693.619253486066 -16.3036694572006 754.076978972192</t>
  </si>
  <si>
    <t>-591.204507597986 -111.592131231818 828.364221488879</t>
  </si>
  <si>
    <t>9763-20170724T105143.207324800.bin</t>
  </si>
  <si>
    <t>-780.397512749731 81.6444770713504 -92.7592265198504</t>
  </si>
  <si>
    <t>-800.652913287103 73.9396078827479 -206.542228985257</t>
  </si>
  <si>
    <t>-809.472279033647 69.1470450358547 -304.65396687186</t>
  </si>
  <si>
    <t>-814.574708033769 65.2647746788159 -393.519753427954</t>
  </si>
  <si>
    <t>-816.444946247287 61.8045032122429 -482.529675646559</t>
  </si>
  <si>
    <t>-815.657070666721 57.3236995644158 -607.029105298905</t>
  </si>
  <si>
    <t>-781.893536888992 56.1006041646426 -682.947177737493</t>
  </si>
  <si>
    <t>-819.115613811655 86.8106812833744 -553.253083264254</t>
  </si>
  <si>
    <t>-825.30148735798 222.963383611515 -535.287281653646</t>
  </si>
  <si>
    <t>-728.213065817137 260.413455680392 -260.037430005535</t>
  </si>
  <si>
    <t>-487.752921070895 250.989315467971 -271.9103847436</t>
  </si>
  <si>
    <t>-812.891836876825 31.7802584258313 -551.233021688159</t>
  </si>
  <si>
    <t>-638.1895958206 27.776894764949 -314.422971811125</t>
  </si>
  <si>
    <t>-806.197331862447 176.035408033582 -95.6508462912802</t>
  </si>
  <si>
    <t>-785.141231175139 180.459327846515 307.327757207824</t>
  </si>
  <si>
    <t>-856.4814986224 203.703247135974 749.10193989599</t>
  </si>
  <si>
    <t>-711.633210696737 222.477944527319 810.370096599047</t>
  </si>
  <si>
    <t>-690.325792995764 -5.09985948899089 306.349778676482</t>
  </si>
  <si>
    <t>-693.700319061928 -16.1665533168969 754.1465962821</t>
  </si>
  <si>
    <t>-591.526941100829 -111.725368750322 828.419005155878</t>
  </si>
  <si>
    <t>9763-20170724T105143.240414100.bin</t>
  </si>
  <si>
    <t>-780.413915853914 81.4137046099702 -92.7140439000084</t>
  </si>
  <si>
    <t>-800.719127665523 73.6963157229691 -206.487302789509</t>
  </si>
  <si>
    <t>-809.639151687688 68.8786854249126 -304.588680235479</t>
  </si>
  <si>
    <t>-814.856148532556 64.9693609381754 -393.446626345874</t>
  </si>
  <si>
    <t>-816.865032261805 61.4782142041718 -482.45241638689</t>
  </si>
  <si>
    <t>-816.295753601469 56.950410224267 -606.951368657828</t>
  </si>
  <si>
    <t>-782.671334308804 55.6507446995026 -682.929910483084</t>
  </si>
  <si>
    <t>-819.622341233011 86.4619169305888 -553.180434003895</t>
  </si>
  <si>
    <t>-825.613100463748 222.615996963556 -535.206088978043</t>
  </si>
  <si>
    <t>-728.280178761001 259.961676083854 -260.02845449774</t>
  </si>
  <si>
    <t>-487.812989869736 250.67822263744 -271.870390400956</t>
  </si>
  <si>
    <t>-813.470099130842 31.4238577959959 -551.150599897786</t>
  </si>
  <si>
    <t>-638.540566673375 27.2498232176729 -314.422032909264</t>
  </si>
  <si>
    <t>-806.115265724104 175.766040457621 -95.6094451411818</t>
  </si>
  <si>
    <t>-785.080509811084 180.235936885134 307.369759255917</t>
  </si>
  <si>
    <t>-856.420602322755 203.528438557838 749.152661774741</t>
  </si>
  <si>
    <t>-711.571611587362 222.340985064468 810.407470460909</t>
  </si>
  <si>
    <t>-690.49159149659 -5.18734472738674 306.408962791087</t>
  </si>
  <si>
    <t>-693.730688089133 -16.0889770959266 754.182715808734</t>
  </si>
  <si>
    <t>-591.498137234886 -111.599285097499 828.436084764827</t>
  </si>
  <si>
    <t>9763-20170724T105143.308604200.bin</t>
  </si>
  <si>
    <t>-780.443838679 81.1397592758983 -92.659332056597</t>
  </si>
  <si>
    <t>-800.883323228932 73.4073491879526 -206.407555803546</t>
  </si>
  <si>
    <t>-810.001141767384 68.5343244120643 -304.488084857881</t>
  </si>
  <si>
    <t>-815.431392960281 64.5604578357984 -393.330405935188</t>
  </si>
  <si>
    <t>-817.688063270087 60.9907512123796 -482.327086052354</t>
  </si>
  <si>
    <t>-817.501979951386 56.3389224528626 -606.822572012235</t>
  </si>
  <si>
    <t>-784.179793689593 54.8787004991657 -682.931173840328</t>
  </si>
  <si>
    <t>-820.604845815787 85.9104963360041 -553.071184341242</t>
  </si>
  <si>
    <t>-826.255587923597 222.08388872681 -535.120188118303</t>
  </si>
  <si>
    <t>-728.245101980664 259.380248087251 -260.176398813363</t>
  </si>
  <si>
    <t>-487.757225771605 250.612377427483 -271.992790487726</t>
  </si>
  <si>
    <t>-814.562905109666 30.8614541806153 -551.005216447448</t>
  </si>
  <si>
    <t>-639.159091699859 26.5796912496594 -314.494268116528</t>
  </si>
  <si>
    <t>-805.965436899103 175.370744408725 -95.5529813092957</t>
  </si>
  <si>
    <t>-785.057984482688 180.121695141502 307.429613836901</t>
  </si>
  <si>
    <t>-856.475981827537 203.577541279275 749.195504848071</t>
  </si>
  <si>
    <t>-711.578175197464 222.058920618822 810.435671420566</t>
  </si>
  <si>
    <t>-690.85318488409 -5.26030438666476 306.494854844868</t>
  </si>
  <si>
    <t>-693.731171338452 -15.8454759137815 754.246927915051</t>
  </si>
  <si>
    <t>-591.627789448049 -111.507764409741 828.482511220032</t>
  </si>
  <si>
    <t>9763-20170724T105143.340685000.bin</t>
  </si>
  <si>
    <t>-780.368564901911 80.8703233129816 -92.6492146340859</t>
  </si>
  <si>
    <t>-800.870135537288 73.1172535938317 -206.384929008788</t>
  </si>
  <si>
    <t>-810.063647774619 68.2017730895698 -304.456156366279</t>
  </si>
  <si>
    <t>-815.572391592188 64.1803890385427 -393.291520181274</t>
  </si>
  <si>
    <t>-817.91728753574 60.5538899575158 -482.283608865676</t>
  </si>
  <si>
    <t>-817.86531738272 55.8132655706963 -606.775906316585</t>
  </si>
  <si>
    <t>-784.65009443639 54.2739129420472 -682.929788370116</t>
  </si>
  <si>
    <t>-820.885804281832 85.4257689859528 -553.042447184369</t>
  </si>
  <si>
    <t>-826.387872393224 221.615442142801 -535.16460962982</t>
  </si>
  <si>
    <t>-728.019249890778 258.97278441571 -260.356882209505</t>
  </si>
  <si>
    <t>-487.515924213939 250.577167916221 -272.126209214302</t>
  </si>
  <si>
    <t>-814.890570554955 30.3728871289936 -550.943597301793</t>
  </si>
  <si>
    <t>-639.275942309134 26.0908321548607 -314.585648175997</t>
  </si>
  <si>
    <t>-805.754279430498 175.046488573495 -95.5535435047943</t>
  </si>
  <si>
    <t>-784.995470872146 179.954412379193 307.434812088995</t>
  </si>
  <si>
    <t>-856.429140041373 203.458440814087 749.195217775306</t>
  </si>
  <si>
    <t>-711.534138121328 221.968518193988 810.433321322168</t>
  </si>
  <si>
    <t>-690.876708664624 -5.45333431481367 306.516700295294</t>
  </si>
  <si>
    <t>-693.826228552223 -15.9178616584447 754.275062966652</t>
  </si>
  <si>
    <t>-591.526144389798 -111.384685427133 828.491439412932</t>
  </si>
  <si>
    <t>9763-20170724T105143.407641400.bin</t>
  </si>
  <si>
    <t>-780.10958886849 80.3926911527631 -92.6301704779609</t>
  </si>
  <si>
    <t>-800.742765358015 72.6156320599951 -206.340357421296</t>
  </si>
  <si>
    <t>-810.088860496401 67.6105848160805 -304.392581603204</t>
  </si>
  <si>
    <t>-815.75249479224 63.4819441287405 -393.213439188251</t>
  </si>
  <si>
    <t>-818.270718742215 59.7214496061044 -482.195222788667</t>
  </si>
  <si>
    <t>-818.480491781566 54.7659491429893 -606.678871198749</t>
  </si>
  <si>
    <t>-785.423097574399 53.0686824741617 -682.89803598274</t>
  </si>
  <si>
    <t>-821.343893159351 84.4760387184965 -552.990670752282</t>
  </si>
  <si>
    <t>-826.589629266708 220.704402571082 -535.327876764648</t>
  </si>
  <si>
    <t>-727.422272458979 258.515692928436 -260.86948111955</t>
  </si>
  <si>
    <t>-486.913621089218 250.657608009981 -272.897822859916</t>
  </si>
  <si>
    <t>-815.432500474124 29.4172056309844 -550.808839495209</t>
  </si>
  <si>
    <t>-639.453833284681 25.3060522131602 -314.91472155625</t>
  </si>
  <si>
    <t>-805.287325899703 174.544115736981 -95.5359699243464</t>
  </si>
  <si>
    <t>-784.647524761243 179.608813832836 307.456565583915</t>
  </si>
  <si>
    <t>-856.383843855944 203.321403500294 749.157958789857</t>
  </si>
  <si>
    <t>-711.51217178175 222.017035075047 810.395030010291</t>
  </si>
  <si>
    <t>-690.815083794377 -5.71447543986369 306.541814978809</t>
  </si>
  <si>
    <t>-693.862640103717 -15.7934673611139 754.300277664415</t>
  </si>
  <si>
    <t>-591.546328952251 -111.255112222633 828.501182477921</t>
  </si>
  <si>
    <t>9763-20170724T105143.440760600.bin</t>
  </si>
  <si>
    <t>-779.941154820791 80.3208932796779 -92.617503327349</t>
  </si>
  <si>
    <t>-800.621015582258 72.5357654447648 -206.318714432871</t>
  </si>
  <si>
    <t>-810.015168870685 67.4830897176514 -304.363942468081</t>
  </si>
  <si>
    <t>-815.726524996576 63.2959558764758 -393.178894420448</t>
  </si>
  <si>
    <t>-818.296778692794 59.4615321045524 -482.156077747145</t>
  </si>
  <si>
    <t>-818.584494848456 54.3870939530659 -606.634832187015</t>
  </si>
  <si>
    <t>-785.554296716327 52.6014663336518 -682.863718608619</t>
  </si>
  <si>
    <t>-821.405547368692 84.1492572334018 -552.973208074669</t>
  </si>
  <si>
    <t>-826.592756604399 220.396358559125 -535.426545061931</t>
  </si>
  <si>
    <t>-727.025284607623 258.415059642051 -261.141875134324</t>
  </si>
  <si>
    <t>-486.520317309234 250.791026884113 -273.394383967153</t>
  </si>
  <si>
    <t>-815.510202634618 29.0908254556796 -550.742442120309</t>
  </si>
  <si>
    <t>-639.39627795283 25.1229117805251 -315.099687717992</t>
  </si>
  <si>
    <t>-805.018336237617 174.457695261439 -95.5225496691478</t>
  </si>
  <si>
    <t>-784.425448554468 179.511712478659 307.472496761173</t>
  </si>
  <si>
    <t>-856.361585253977 203.237022373432 749.139050512102</t>
  </si>
  <si>
    <t>-711.493216860687 221.983701564525 810.368309204252</t>
  </si>
  <si>
    <t>-690.730915138409 -5.79880278665951 306.554189189634</t>
  </si>
  <si>
    <t>-693.916148300568 -15.8124639879818 754.310904169228</t>
  </si>
  <si>
    <t>-591.64227560685 -111.318794408372 828.512557679707</t>
  </si>
  <si>
    <t>9763-20170724T105143.505907000.bin</t>
  </si>
  <si>
    <t>-779.431223384673 80.4949622169581 -92.6056046407653</t>
  </si>
  <si>
    <t>-800.191035964961 72.7281841823751 -206.293351505153</t>
  </si>
  <si>
    <t>-809.637978544747 67.5876777629971 -304.329092658473</t>
  </si>
  <si>
    <t>-815.393235581618 63.2807479994444 -393.135309780788</t>
  </si>
  <si>
    <t>-818.004741700668 59.2862354723022 -482.104333359122</t>
  </si>
  <si>
    <t>-818.348449549236 53.9464984853535 -606.571844613772</t>
  </si>
  <si>
    <t>-785.295308141222 51.9732743431196 -682.786323324419</t>
  </si>
  <si>
    <t>-821.131314134155 83.8244602938726 -552.972784374142</t>
  </si>
  <si>
    <t>-826.239029391591 220.107659415441 -535.627469420131</t>
  </si>
  <si>
    <t>-725.878284925664 258.661939533035 -261.706884412114</t>
  </si>
  <si>
    <t>-485.385076922025 251.615560163416 -274.52204408703</t>
  </si>
  <si>
    <t>-815.262980534088 28.7679036331733 -550.627003157076</t>
  </si>
  <si>
    <t>-638.765470217277 25.0300799908773 -315.49969124215</t>
  </si>
  <si>
    <t>-804.382300251262 174.572478030423 -95.5098835566852</t>
  </si>
  <si>
    <t>-784.081926120625 179.580590203117 307.500658825277</t>
  </si>
  <si>
    <t>-856.428932027304 203.317406862024 749.089950406908</t>
  </si>
  <si>
    <t>-711.517404214611 221.745646831895 810.313686233235</t>
  </si>
  <si>
    <t>-690.328471948232 -5.64505504602994 306.559221381832</t>
  </si>
  <si>
    <t>-693.805400145782 -15.4690306169509 754.301636189763</t>
  </si>
  <si>
    <t>-591.881887353452 -111.326313672658 828.532736352823</t>
  </si>
  <si>
    <t>9763-20170724T105143.543005200.bin</t>
  </si>
  <si>
    <t>-779.192537396541 80.6154858263719 -92.6214689617221</t>
  </si>
  <si>
    <t>-799.977815582427 72.8429373880238 -206.304214238754</t>
  </si>
  <si>
    <t>-809.450243427585 67.6367981231285 -304.333919377517</t>
  </si>
  <si>
    <t>-815.230737182016 63.2462763521035 -393.134648196651</t>
  </si>
  <si>
    <t>-817.87087906903 59.1442217473066 -482.097846569971</t>
  </si>
  <si>
    <t>-818.258596154441 53.6282167002453 -606.557562041919</t>
  </si>
  <si>
    <t>-785.215973815453 51.5407657640769 -682.773405365</t>
  </si>
  <si>
    <t>-821.008941527684 83.5834953362605 -552.999890462452</t>
  </si>
  <si>
    <t>-826.078500360108 219.878124182381 -535.789243095426</t>
  </si>
  <si>
    <t>-725.403552958652 258.823060096406 -262.039212350236</t>
  </si>
  <si>
    <t>-484.907825572799 251.902517938453 -274.874759566035</t>
  </si>
  <si>
    <t>-815.16692716279 28.527533432574 -550.578062692632</t>
  </si>
  <si>
    <t>-638.534197817146 24.9569670117294 -315.615706304824</t>
  </si>
  <si>
    <t>-804.130665662555 174.62453391522 -95.5181143747677</t>
  </si>
  <si>
    <t>-783.839653327846 179.559247934686 307.493752764905</t>
  </si>
  <si>
    <t>-856.388445598647 203.21343145044 749.054648721925</t>
  </si>
  <si>
    <t>-711.48676064507 221.718996165456 810.278257352312</t>
  </si>
  <si>
    <t>-690.061401946935 -5.53747445081285 306.54677428944</t>
  </si>
  <si>
    <t>-693.740351178257 -15.2926054704153 754.287259605216</t>
  </si>
  <si>
    <t>-591.947646914673 -111.276712333591 828.534111547976</t>
  </si>
  <si>
    <t>9763-20170724T105143.611205600.bin</t>
  </si>
  <si>
    <t>-778.946354238478 80.6936392523053 -92.633323102</t>
  </si>
  <si>
    <t>-799.779471096257 72.9136382152701 -206.306761792146</t>
  </si>
  <si>
    <t>-809.273889847694 67.6019202455432 -304.32872258324</t>
  </si>
  <si>
    <t>-815.06887512856 63.0768401301225 -393.121628188159</t>
  </si>
  <si>
    <t>-817.719052803158 58.8004018855404 -482.076308999647</t>
  </si>
  <si>
    <t>-818.117447315003 52.9993709064574 -606.523195111747</t>
  </si>
  <si>
    <t>-785.097280252281 50.700031314208 -682.742611252544</t>
  </si>
  <si>
    <t>-820.838043422606 83.0799637619127 -553.034133893922</t>
  </si>
  <si>
    <t>-825.823305456385 219.408366163923 -536.077605747754</t>
  </si>
  <si>
    <t>-724.820326174229 259.188811632922 -262.568852388136</t>
  </si>
  <si>
    <t>-484.300540863744 252.581816660907 -275.116849678037</t>
  </si>
  <si>
    <t>-815.046419243894 28.0242372713774 -550.486292874364</t>
  </si>
  <si>
    <t>-638.360005240527 24.741805276313 -315.69265931464</t>
  </si>
  <si>
    <t>-803.768028726808 174.78789980185 -95.5667853938738</t>
  </si>
  <si>
    <t>-783.600599248335 179.62980721771 307.452398738152</t>
  </si>
  <si>
    <t>-856.417891928258 203.26873200503 748.973222260557</t>
  </si>
  <si>
    <t>-711.492613805587 221.563857625055 810.20427084382</t>
  </si>
  <si>
    <t>-689.903749742682 -5.56025314950921 306.535590369721</t>
  </si>
  <si>
    <t>-693.891624771168 -15.4548569069236 754.274834512156</t>
  </si>
  <si>
    <t>-591.720346379294 -111.037559388058 828.519349585132</t>
  </si>
  <si>
    <t>9763-20170724T105143.649296300.bin</t>
  </si>
  <si>
    <t>-778.829203628318 80.8427681750582 -92.6554134870413</t>
  </si>
  <si>
    <t>-799.671025238992 73.0698075701362 -206.327803525329</t>
  </si>
  <si>
    <t>-809.158854027767 67.7184431708888 -304.348171461117</t>
  </si>
  <si>
    <t>-814.943169081236 63.1393278757121 -393.139031161835</t>
  </si>
  <si>
    <t>-817.578726781921 58.7905678152808 -482.090624578966</t>
  </si>
  <si>
    <t>-817.952583910172 52.8689150373618 -606.531880190203</t>
  </si>
  <si>
    <t>-784.942861744831 50.4743550697751 -682.753005342634</t>
  </si>
  <si>
    <t>-820.67158552322 83.0026399021513 -553.072639967596</t>
  </si>
  <si>
    <t>-825.601333147687 219.346361730716 -536.216048359539</t>
  </si>
  <si>
    <t>-724.537285641886 259.378841821472 -262.766531139611</t>
  </si>
  <si>
    <t>-484.003073075934 252.865472225604 -275.083096873921</t>
  </si>
  <si>
    <t>-814.904460819165 27.9468531206192 -550.470059512716</t>
  </si>
  <si>
    <t>-638.212561042227 24.7852903320484 -315.68824318585</t>
  </si>
  <si>
    <t>-803.577672113706 174.891221701635 -95.6033889116686</t>
  </si>
  <si>
    <t>-783.548466151057 179.693223718312 307.423309807798</t>
  </si>
  <si>
    <t>-856.373599767664 203.181374961581 748.931410298685</t>
  </si>
  <si>
    <t>-711.479985707457 221.705924378633 810.168544686398</t>
  </si>
  <si>
    <t>-689.803054567962 -5.42914283372943 306.516653022632</t>
  </si>
  <si>
    <t>-693.835228715285 -15.2991673259007 754.25152253528</t>
  </si>
  <si>
    <t>-591.830568657883 -111.042086386819 828.518857653809</t>
  </si>
  <si>
    <t>9763-20170724T105143.709481400.bin</t>
  </si>
  <si>
    <t>-778.721594548999 81.3024507295627 -92.7235442847242</t>
  </si>
  <si>
    <t>-799.561818116924 73.5394909097342 -206.396845209615</t>
  </si>
  <si>
    <t>-809.039740382118 68.1375926822968 -304.415592574691</t>
  </si>
  <si>
    <t>-814.813286245917 63.4893634476473 -393.203430817603</t>
  </si>
  <si>
    <t>-817.436353166588 59.0481513904567 -482.150882294291</t>
  </si>
  <si>
    <t>-817.792133373965 52.9730691315542 -606.584747665212</t>
  </si>
  <si>
    <t>-784.783201678851 50.4213845140632 -682.800909806806</t>
  </si>
  <si>
    <t>-820.501708743493 83.1743778233142 -553.163407950003</t>
  </si>
  <si>
    <t>-825.343659346789 219.532510190035 -536.441825088774</t>
  </si>
  <si>
    <t>-724.239507837593 259.878365519034 -263.053164194618</t>
  </si>
  <si>
    <t>-483.675989403267 253.232766404762 -274.712146197731</t>
  </si>
  <si>
    <t>-814.769438109256 28.1183746656461 -550.491793782071</t>
  </si>
  <si>
    <t>-638.014061936303 25.0666002350952 -315.712187668452</t>
  </si>
  <si>
    <t>-803.408819136876 175.215854895455 -95.681298083813</t>
  </si>
  <si>
    <t>-783.520007870163 179.978408387554 307.352674483295</t>
  </si>
  <si>
    <t>-856.325936036272 203.109736952161 748.880085928991</t>
  </si>
  <si>
    <t>-711.426164257537 221.517763315171 810.137577458151</t>
  </si>
  <si>
    <t>-689.698376014072 -5.15480344047728 306.468116452291</t>
  </si>
  <si>
    <t>-693.834204874679 -15.174968546296 754.224217106076</t>
  </si>
  <si>
    <t>-592.050563754131 -111.13434192486 828.515484970118</t>
  </si>
  <si>
    <t>9763-20170724T105143.740553000.bin</t>
  </si>
  <si>
    <t>-778.683285570117 81.4450195636218 -92.7411923369551</t>
  </si>
  <si>
    <t>-799.533819019431 73.6864505000351 -206.413018385486</t>
  </si>
  <si>
    <t>-809.008217366887 68.2743899727429 -304.431396438504</t>
  </si>
  <si>
    <t>-814.773624809061 63.6119670213502 -393.219172558101</t>
  </si>
  <si>
    <t>-817.383946161705 59.1509600101697 -482.165975252237</t>
  </si>
  <si>
    <t>-817.717290682554 53.042372296504 -606.598218284523</t>
  </si>
  <si>
    <t>-784.70060830369 50.4383794222481 -682.809342316008</t>
  </si>
  <si>
    <t>-820.429280571225 83.2589057558769 -553.18535200785</t>
  </si>
  <si>
    <t>-825.233497232354 219.625344350162 -536.492048111273</t>
  </si>
  <si>
    <t>-724.246858972404 260.004576635721 -263.064907644201</t>
  </si>
  <si>
    <t>-483.683156406831 253.052473775756 -274.540106236193</t>
  </si>
  <si>
    <t>-814.712040049404 28.2021541532788 -550.497921734463</t>
  </si>
  <si>
    <t>-637.896654371171 25.1192663160441 -315.693628367984</t>
  </si>
  <si>
    <t>-803.295252422364 175.304688760073 -95.7086945387176</t>
  </si>
  <si>
    <t>-783.533695035153 180.036520480667 307.331940754604</t>
  </si>
  <si>
    <t>-856.284855613157 203.037133885752 748.867212040396</t>
  </si>
  <si>
    <t>-711.429474962221 221.79203694175 810.124491371228</t>
  </si>
  <si>
    <t>-689.607874064637 -5.07648888380868 306.451312867384</t>
  </si>
  <si>
    <t>-693.82530761427 -15.0937802075514 754.214509358154</t>
  </si>
  <si>
    <t>-592.015066931768 -111.023750751498 828.50728568972</t>
  </si>
  <si>
    <t>9763-20170724T105143.811742900.bin</t>
  </si>
  <si>
    <t>-778.724861301911 81.5955470048827 -92.752455690559</t>
  </si>
  <si>
    <t>-799.614789211262 73.8631812127071 -206.418779813456</t>
  </si>
  <si>
    <t>-809.076703275733 68.4573093946335 -304.438722627595</t>
  </si>
  <si>
    <t>-814.812619110841 63.7933446850011 -393.228346887458</t>
  </si>
  <si>
    <t>-817.37519300742 59.3228537343036 -482.175975566412</t>
  </si>
  <si>
    <t>-817.622791904786 53.1927876137152 -606.607391536788</t>
  </si>
  <si>
    <t>-784.558633291075 50.5414403201441 -682.796414965362</t>
  </si>
  <si>
    <t>-820.357753544889 83.4200136010309 -553.201925373695</t>
  </si>
  <si>
    <t>-825.115056189757 219.790922087656 -536.518189483276</t>
  </si>
  <si>
    <t>-724.352924680192 260.106918016884 -262.998821628926</t>
  </si>
  <si>
    <t>-483.805496142114 252.237600063964 -274.217449945788</t>
  </si>
  <si>
    <t>-814.669908998634 28.360709417045 -550.500698777361</t>
  </si>
  <si>
    <t>-637.886140906862 25.0516063692176 -315.661432172681</t>
  </si>
  <si>
    <t>-803.330915553367 175.526327198361 -95.7145085094888</t>
  </si>
  <si>
    <t>-783.627135850307 180.179874028621 307.329873514554</t>
  </si>
  <si>
    <t>-856.243866025586 202.958549732381 748.88155810038</t>
  </si>
  <si>
    <t>-711.357922183992 221.427771391393 810.153506270831</t>
  </si>
  <si>
    <t>-689.613397208591 -4.97864217178017 306.410507959351</t>
  </si>
  <si>
    <t>-693.893737010774 -15.0810133293035 754.188166391168</t>
  </si>
  <si>
    <t>-591.957340823523 -110.876992214105 828.480985735592</t>
  </si>
  <si>
    <t>9763-20170724T105143.839816900.bin</t>
  </si>
  <si>
    <t>-778.770425122532 81.651704037869 -92.74691961437</t>
  </si>
  <si>
    <t>-799.664609187668 73.9232158008786 -206.412762042252</t>
  </si>
  <si>
    <t>-809.123289201909 68.5203208276482 -304.433134895795</t>
  </si>
  <si>
    <t>-814.853179141961 63.8590499429777 -393.223279839902</t>
  </si>
  <si>
    <t>-817.407149410352 59.3912402091266 -482.171396786536</t>
  </si>
  <si>
    <t>-817.639968758324 53.2641048154233 -606.602912011888</t>
  </si>
  <si>
    <t>-784.549842654751 50.6146360818118 -682.780670552842</t>
  </si>
  <si>
    <t>-820.373991067388 83.4907586221691 -553.196975978524</t>
  </si>
  <si>
    <t>-825.114195857807 219.857743467011 -536.499935273818</t>
  </si>
  <si>
    <t>-724.426926150698 260.056708026089 -262.935874416463</t>
  </si>
  <si>
    <t>-483.886413665117 251.553482778446 -273.836387625064</t>
  </si>
  <si>
    <t>-814.701048033957 28.429987402151 -550.496414684387</t>
  </si>
  <si>
    <t>-637.931926825676 25.0928354179559 -315.619908102962</t>
  </si>
  <si>
    <t>-803.336341358147 175.551943740181 -95.7044977856385</t>
  </si>
  <si>
    <t>-783.62457725422 180.215354996391 307.339486612396</t>
  </si>
  <si>
    <t>-856.235860445472 202.949652793481 748.895019486502</t>
  </si>
  <si>
    <t>-711.34377560189 221.339603139436 810.176366584997</t>
  </si>
  <si>
    <t>-689.643796325426 -4.90920412581431 306.414395746824</t>
  </si>
  <si>
    <t>-693.961891357857 -15.1212874010923 754.18844597774</t>
  </si>
  <si>
    <t>-592.121890806087 -111.015944876666 828.485994501571</t>
  </si>
  <si>
    <t>9763-20170724T105143.911010300.bin</t>
  </si>
  <si>
    <t>-778.880389132835 81.7142417771215 -92.7182127530765</t>
  </si>
  <si>
    <t>-799.801508061576 73.9922691750689 -206.379485455139</t>
  </si>
  <si>
    <t>-809.272648152425 68.6019312233639 -304.399362923838</t>
  </si>
  <si>
    <t>-815.009665169079 63.9552353072147 -393.189858999677</t>
  </si>
  <si>
    <t>-817.56630242034 59.5049757466259 -482.138799918409</t>
  </si>
  <si>
    <t>-817.797794168006 53.4058978935748 -606.571657385682</t>
  </si>
  <si>
    <t>-784.678862743258 50.782577026717 -682.737865217939</t>
  </si>
  <si>
    <t>-820.514596090331 83.6222922869163 -553.159108294348</t>
  </si>
  <si>
    <t>-825.151350536592 219.988160127695 -536.406763814025</t>
  </si>
  <si>
    <t>-724.644755667104 259.944006502162 -262.740651526686</t>
  </si>
  <si>
    <t>-484.133719665892 250.334864211572 -273.368408017123</t>
  </si>
  <si>
    <t>-814.877213471255 28.5572727828085 -550.470518467498</t>
  </si>
  <si>
    <t>-638.144192612729 25.1397290884947 -315.570139295444</t>
  </si>
  <si>
    <t>-803.34422356897 175.544282263385 -95.6775831071827</t>
  </si>
  <si>
    <t>-783.555190891636 180.138968862686 307.363301976133</t>
  </si>
  <si>
    <t>-856.180295638881 202.840788331655 748.923485931848</t>
  </si>
  <si>
    <t>-711.321287142538 221.474730337615 810.208898195458</t>
  </si>
  <si>
    <t>-689.813045464949 -4.80512593239905 306.438417568908</t>
  </si>
  <si>
    <t>-694.002244420323 -15.0286753273836 754.195277289088</t>
  </si>
  <si>
    <t>-592.068790337632 -110.838366496958 828.47432298902</t>
  </si>
  <si>
    <t>9763-20170724T105143.945104500.bin</t>
  </si>
  <si>
    <t>-778.965001281676 81.7409305677984 -92.7041783358158</t>
  </si>
  <si>
    <t>-799.894662467493 74.032596424536 -206.364874589315</t>
  </si>
  <si>
    <t>-809.36439363674 68.6539989191444 -304.385576624065</t>
  </si>
  <si>
    <t>-815.096623098459 64.0184590566278 -393.176878876307</t>
  </si>
  <si>
    <t>-817.644980118554 59.5798668424736 -482.126516133677</t>
  </si>
  <si>
    <t>-817.86122154478 53.4971462884898 -606.560427983917</t>
  </si>
  <si>
    <t>-784.738171226295 50.8824191777148 -682.724912453382</t>
  </si>
  <si>
    <t>-820.5722252568 83.7077846955101 -553.144153364174</t>
  </si>
  <si>
    <t>-825.15526677805 220.069114417821 -536.356676251144</t>
  </si>
  <si>
    <t>-724.664362884201 259.816202936835 -262.654374152575</t>
  </si>
  <si>
    <t>-484.164989642723 249.829904177373 -273.201039917644</t>
  </si>
  <si>
    <t>-814.95977469488 28.639930031065 -550.462198368763</t>
  </si>
  <si>
    <t>-638.24961654329 25.0738526599091 -315.579142528525</t>
  </si>
  <si>
    <t>-803.375992299635 175.537561687275 -95.6633577620228</t>
  </si>
  <si>
    <t>-783.543652907614 180.071891165912 307.376082444476</t>
  </si>
  <si>
    <t>-856.139189615191 202.734845965612 748.947437931176</t>
  </si>
  <si>
    <t>-711.297146497855 221.509844156172 810.230270603918</t>
  </si>
  <si>
    <t>-689.919792270794 -4.72092828443988 306.445651359334</t>
  </si>
  <si>
    <t>-693.978613913927 -14.8924006480868 754.202686207141</t>
  </si>
  <si>
    <t>-592.205428619154 -110.872296759533 828.481758499332</t>
  </si>
  <si>
    <t>9763-20170724T105144.007277300.bin</t>
  </si>
  <si>
    <t>-779.108345228887 81.7344235400806 -92.6486109639126</t>
  </si>
  <si>
    <t>-800.05183282156 74.0616026763969 -206.309141230778</t>
  </si>
  <si>
    <t>-809.50910786924 68.6987565048832 -304.331884849706</t>
  </si>
  <si>
    <t>-815.220738632805 64.0720203318649 -393.124977057135</t>
  </si>
  <si>
    <t>-817.738936850548 59.6357707521056 -482.075603145553</t>
  </si>
  <si>
    <t>-817.903694903098 53.5498446504043 -606.509402980644</t>
  </si>
  <si>
    <t>-784.772780154046 50.9096509701124 -682.669752941729</t>
  </si>
  <si>
    <t>-820.596283535088 83.7660569020338 -553.095374073211</t>
  </si>
  <si>
    <t>-824.985832965682 220.132846976025 -536.286445323945</t>
  </si>
  <si>
    <t>-724.368865368898 259.7759491181 -262.615210963799</t>
  </si>
  <si>
    <t>-483.884006959465 249.276849222246 -272.990870698839</t>
  </si>
  <si>
    <t>-815.066157808233 28.6900243540497 -550.409120992168</t>
  </si>
  <si>
    <t>-638.38636373713 24.804922165177 -315.54458463551</t>
  </si>
  <si>
    <t>-803.396937317389 175.510729182 -95.6008191804556</t>
  </si>
  <si>
    <t>-783.51975801077 180.027856400799 307.436618885256</t>
  </si>
  <si>
    <t>-856.138848870617 202.706341974645 749.009120813635</t>
  </si>
  <si>
    <t>-711.273638606749 221.313836671022 810.288329863263</t>
  </si>
  <si>
    <t>-689.997769768416 -4.7959454292411 306.467373873314</t>
  </si>
  <si>
    <t>-694.055820709166 -14.8652018535156 754.23525767482</t>
  </si>
  <si>
    <t>-592.240288700979 -110.816561507758 828.493120096291</t>
  </si>
  <si>
    <t>9763-20170724T105144.045382100.bin</t>
  </si>
  <si>
    <t>-779.121979723094 81.7217102651621 -92.6167290768333</t>
  </si>
  <si>
    <t>-800.07498586018 74.063735781313 -206.276494997514</t>
  </si>
  <si>
    <t>-809.529416596546 68.7012076954136 -304.299590131222</t>
  </si>
  <si>
    <t>-815.23433699445 64.0692532701294 -393.092789426414</t>
  </si>
  <si>
    <t>-817.741716023071 59.6222244898006 -482.043286057736</t>
  </si>
  <si>
    <t>-817.887500722509 53.514788718704 -606.475879777587</t>
  </si>
  <si>
    <t>-784.749875481624 50.8401626352304 -682.632080395344</t>
  </si>
  <si>
    <t>-820.561284952423 83.7428142034371 -553.067805757191</t>
  </si>
  <si>
    <t>-824.822978441169 220.113047347724 -536.260129773202</t>
  </si>
  <si>
    <t>-724.131873914413 259.780484553898 -262.619815136902</t>
  </si>
  <si>
    <t>-483.653496079501 249.034971348021 -272.894542533782</t>
  </si>
  <si>
    <t>-815.085444201985 28.6618597740646 -550.370738627044</t>
  </si>
  <si>
    <t>-638.390524783945 24.5763806893701 -315.480946167151</t>
  </si>
  <si>
    <t>-803.338050594886 175.48601382573 -95.5664133020142</t>
  </si>
  <si>
    <t>-783.488779989204 180.027820451902 307.47206948049</t>
  </si>
  <si>
    <t>-856.117680225267 202.653098673811 749.033345878363</t>
  </si>
  <si>
    <t>-711.243630609643 221.191587808572 810.312514099339</t>
  </si>
  <si>
    <t>-690.03045077672 -4.8661345494354 306.477743441356</t>
  </si>
  <si>
    <t>-694.139617634425 -14.9419310041676 754.249451551634</t>
  </si>
  <si>
    <t>-592.343999730359 -110.915894827677 828.505220747865</t>
  </si>
  <si>
    <t>9763-20170724T105144.108750600.bin</t>
  </si>
  <si>
    <t>-778.991451891296 81.5979321053596 -92.5581552147054</t>
  </si>
  <si>
    <t>-799.973726170606 73.958722530966 -206.213813273164</t>
  </si>
  <si>
    <t>-809.429206629862 68.5917696809893 -304.236519346379</t>
  </si>
  <si>
    <t>-815.12609234181 63.9482110843226 -393.029593928831</t>
  </si>
  <si>
    <t>-817.616534070944 59.4803525847763 -481.979440805031</t>
  </si>
  <si>
    <t>-817.729226835938 53.334293919846 -606.410293070514</t>
  </si>
  <si>
    <t>-784.581361363485 50.5791842425301 -682.559388573079</t>
  </si>
  <si>
    <t>-820.368658352739 83.5836151869739 -553.012614158416</t>
  </si>
  <si>
    <t>-824.403199872009 219.959745595869 -536.218151001376</t>
  </si>
  <si>
    <t>-723.687252534115 259.64473085385 -262.58964040083</t>
  </si>
  <si>
    <t>-483.245932514867 247.943960931239 -272.686782170413</t>
  </si>
  <si>
    <t>-814.990529940665 28.494114739714 -550.296284901392</t>
  </si>
  <si>
    <t>-638.256158838306 23.9849271039961 -315.344989422131</t>
  </si>
  <si>
    <t>-803.068752538447 175.421540740057 -95.5174961652065</t>
  </si>
  <si>
    <t>-783.362462185911 179.983303129948 307.527816979652</t>
  </si>
  <si>
    <t>-856.155372141719 202.724948232297 749.062194217648</t>
  </si>
  <si>
    <t>-711.250616083446 221.013360572722 810.343799965207</t>
  </si>
  <si>
    <t>-690.102010602426 -4.97160689134284 306.535112267727</t>
  </si>
  <si>
    <t>-694.248089752464 -14.9946325441342 754.279354081508</t>
  </si>
  <si>
    <t>-592.198892144708 -110.71786434581 828.510937974612</t>
  </si>
  <si>
    <t>9763-20170724T105144.141807800.bin</t>
  </si>
  <si>
    <t>-778.839958681855 81.6103753255552 -92.5476246165489</t>
  </si>
  <si>
    <t>-799.84260143169 73.9799286078248 -206.200096885315</t>
  </si>
  <si>
    <t>-809.300568787636 68.6162940782317 -304.222797067716</t>
  </si>
  <si>
    <t>-814.993638517113 63.9741815508939 -393.016284654119</t>
  </si>
  <si>
    <t>-817.474413417071 59.5060823890026 -481.96634125704</t>
  </si>
  <si>
    <t>-817.567234534821 53.3574164729748 -606.397091151444</t>
  </si>
  <si>
    <t>-784.409068449162 50.5712444543949 -682.540290130529</t>
  </si>
  <si>
    <t>-820.19657406332 83.6097450332736 -553.000449198896</t>
  </si>
  <si>
    <t>-824.11591041519 219.986192612923 -536.197679041839</t>
  </si>
  <si>
    <t>-723.367523633614 259.577752890681 -262.567654702491</t>
  </si>
  <si>
    <t>-482.943459804129 247.380632471595 -272.485910110981</t>
  </si>
  <si>
    <t>-814.856065060801 28.5165971011279 -550.281983296318</t>
  </si>
  <si>
    <t>-638.081544259946 23.8541608280427 -315.347287689311</t>
  </si>
  <si>
    <t>-802.855222438826 175.38587376152 -95.4991006796769</t>
  </si>
  <si>
    <t>-783.232535628733 179.956022803656 307.550150855149</t>
  </si>
  <si>
    <t>-856.100087189349 202.588511816676 749.073604357013</t>
  </si>
  <si>
    <t>-711.226586003475 221.139379223175 810.350166209457</t>
  </si>
  <si>
    <t>-690.025932588701 -4.93272092750044 306.548793255101</t>
  </si>
  <si>
    <t>-694.210173463179 -14.8640628445378 754.283295106798</t>
  </si>
  <si>
    <t>-592.531566348802 -110.963540362454 828.5370992474</t>
  </si>
  <si>
    <t>9763-20170724T105144.212870400.bin</t>
  </si>
  <si>
    <t>-778.603314076447 81.7195930344756 -92.5230050938397</t>
  </si>
  <si>
    <t>-799.639960270167 74.1118424681877 -206.170689101701</t>
  </si>
  <si>
    <t>-809.091836471948 68.7528507064853 -304.194204188975</t>
  </si>
  <si>
    <t>-814.7657438929 64.1100084718159 -392.98883226482</t>
  </si>
  <si>
    <t>-817.213628441916 59.636006289162 -481.939649670074</t>
  </si>
  <si>
    <t>-817.246156894293 53.4739409587235 -606.369613426089</t>
  </si>
  <si>
    <t>-784.068241231862 50.643231835619 -682.502762943801</t>
  </si>
  <si>
    <t>-819.869976601295 83.735031158413 -552.977776762464</t>
  </si>
  <si>
    <t>-823.571850387158 220.125665855247 -536.198712994996</t>
  </si>
  <si>
    <t>-722.734925468201 259.447826947687 -262.562273421309</t>
  </si>
  <si>
    <t>-482.352967005732 246.223839751638 -272.178104423057</t>
  </si>
  <si>
    <t>-814.593715080582 28.6361894248375 -550.25045129389</t>
  </si>
  <si>
    <t>-637.725358135735 23.7929195559288 -315.388661789635</t>
  </si>
  <si>
    <t>-802.473141422212 175.481685319105 -95.4752649043796</t>
  </si>
  <si>
    <t>-782.927128352102 179.929585947192 307.579161429938</t>
  </si>
  <si>
    <t>-856.096931647639 202.560993563345 749.075227324666</t>
  </si>
  <si>
    <t>-711.188887504894 220.874664691043 810.341430271191</t>
  </si>
  <si>
    <t>-689.982051827646 -4.92698714341282 306.57797072082</t>
  </si>
  <si>
    <t>-694.248601293606 -14.8152945062197 754.304829030538</t>
  </si>
  <si>
    <t>-592.540740202487 -110.888297352656 828.55273413688</t>
  </si>
  <si>
    <t>9763-20170724T105144.241946200.bin</t>
  </si>
  <si>
    <t>-778.417306889111 81.7268767024523 -92.5071400327482</t>
  </si>
  <si>
    <t>-799.509416244525 74.1184818106606 -206.144500881425</t>
  </si>
  <si>
    <t>-808.973454124354 68.7602527859165 -304.166876542652</t>
  </si>
  <si>
    <t>-814.644334265111 64.1195498171621 -392.961906985693</t>
  </si>
  <si>
    <t>-817.074829786179 59.6489394921498 -481.913292628269</t>
  </si>
  <si>
    <t>-817.068447672561 53.4930175168533 -606.343666358363</t>
  </si>
  <si>
    <t>-783.888714140293 50.6433929713319 -682.475195818164</t>
  </si>
  <si>
    <t>-819.696815344165 83.7526200210714 -552.951145735013</t>
  </si>
  <si>
    <t>-823.297193744009 220.150320215424 -536.1911957784</t>
  </si>
  <si>
    <t>-722.4236557948 259.365635896265 -262.552938497871</t>
  </si>
  <si>
    <t>-482.059072381291 245.74395266898 -272.048246329277</t>
  </si>
  <si>
    <t>-814.445629606227 28.6513598227345 -550.224839914896</t>
  </si>
  <si>
    <t>-637.541530255232 23.7395954850435 -315.3754562595</t>
  </si>
  <si>
    <t>-802.159738919255 175.463682017718 -95.4758797907195</t>
  </si>
  <si>
    <t>-782.754696778357 179.881024937871 307.585684572386</t>
  </si>
  <si>
    <t>-856.036886747867 202.418398679044 749.063422333922</t>
  </si>
  <si>
    <t>-711.140072233597 220.850645350853 810.320571016179</t>
  </si>
  <si>
    <t>-689.937156570113 -4.97742901984179 306.594494366649</t>
  </si>
  <si>
    <t>-694.284582122452 -14.8209787653345 754.314640282542</t>
  </si>
  <si>
    <t>-592.412951181644 -110.729229335925 828.551260269623</t>
  </si>
  <si>
    <t>9763-20170724T105144.306913100.bin</t>
  </si>
  <si>
    <t>-778.084897330175 81.8053282170986 -92.4881702332447</t>
  </si>
  <si>
    <t>-799.365376516654 74.2034479456943 -206.090884161508</t>
  </si>
  <si>
    <t>-808.719114061107 68.8554291757177 -304.124327570849</t>
  </si>
  <si>
    <t>-814.180532624468 64.2242326769599 -392.932896071457</t>
  </si>
  <si>
    <t>-816.291633118776 59.760937970944 -481.892810591948</t>
  </si>
  <si>
    <t>-815.7234366491 53.6114349887723 -606.322323594573</t>
  </si>
  <si>
    <t>-782.416554251481 50.7103865792058 -682.396316545003</t>
  </si>
  <si>
    <t>-818.570246814517 83.8703449896777 -552.940602498333</t>
  </si>
  <si>
    <t>-821.957694116464 220.278493480216 -536.249071984198</t>
  </si>
  <si>
    <t>-721.151331398214 259.214923846119 -262.546188982451</t>
  </si>
  <si>
    <t>-480.816501899377 244.928926683185 -271.817631429477</t>
  </si>
  <si>
    <t>-813.376654600507 28.7646518157733 -550.193482281653</t>
  </si>
  <si>
    <t>-636.596330719649 23.7488515189314 -315.300090784783</t>
  </si>
  <si>
    <t>-801.572539530245 175.539877173264 -95.4517070636412</t>
  </si>
  <si>
    <t>-782.332529419703 179.891073675104 307.618460519418</t>
  </si>
  <si>
    <t>-856.019590140569 202.351583635343 749.044793156283</t>
  </si>
  <si>
    <t>-711.12723679818 220.925633986805 810.270028409302</t>
  </si>
  <si>
    <t>-689.744032637746 -4.95373861988355 306.608182962005</t>
  </si>
  <si>
    <t>-694.274332489693 -14.6999701631926 754.320560361785</t>
  </si>
  <si>
    <t>-592.57920613425 -110.787047205632 828.568032221958</t>
  </si>
  <si>
    <t>9763-20170724T105144.340002300.bin</t>
  </si>
  <si>
    <t>-777.998948443174 81.814770737348 -92.4868833103391</t>
  </si>
  <si>
    <t>-799.337957777663 74.244181632281 -206.080618523511</t>
  </si>
  <si>
    <t>-808.624455614667 68.9164415378448 -304.121671567366</t>
  </si>
  <si>
    <t>-813.977932297558 64.3000893587157 -392.937673098806</t>
  </si>
  <si>
    <t>-815.933831176598 59.8468652073409 -481.901546056789</t>
  </si>
  <si>
    <t>-815.099244941369 53.70548609005 -606.329935938969</t>
  </si>
  <si>
    <t>-781.748950775881 50.7843075980074 -682.384061406295</t>
  </si>
  <si>
    <t>-818.043715946947 83.9626752363715 -552.952457733982</t>
  </si>
  <si>
    <t>-821.309846159256 220.376956212456 -536.290485366009</t>
  </si>
  <si>
    <t>-720.575086584934 259.313092622162 -262.56126787076</t>
  </si>
  <si>
    <t>-480.250079035852 244.756165429918 -271.663618716737</t>
  </si>
  <si>
    <t>-812.889271476729 28.8535134625245 -550.197898045102</t>
  </si>
  <si>
    <t>-636.177679171245 23.6734576508059 -315.241158636935</t>
  </si>
  <si>
    <t>-801.414835912996 175.602621268295 -95.4107321453969</t>
  </si>
  <si>
    <t>-782.015706073359 179.780325589369 307.653590023876</t>
  </si>
  <si>
    <t>-856.009263544839 202.303131321849 749.030166867027</t>
  </si>
  <si>
    <t>-711.102538257326 220.810299516341 810.24142802391</t>
  </si>
  <si>
    <t>-689.692335647487 -4.88757391991612 306.610015104493</t>
  </si>
  <si>
    <t>-694.235529473266 -14.588013531855 754.311622315019</t>
  </si>
  <si>
    <t>-592.581692050396 -110.7095218253 828.570793041245</t>
  </si>
  <si>
    <t>9763-20170724T105144.410208400.bin</t>
  </si>
  <si>
    <t>-777.690167112835 81.9901981602236 -92.4775803249206</t>
  </si>
  <si>
    <t>-798.956540816408 74.5103148669634 -206.091035128124</t>
  </si>
  <si>
    <t>-808.197719700147 69.2112455688741 -304.137792718428</t>
  </si>
  <si>
    <t>-813.518261576919 64.6020717569288 -392.956219943869</t>
  </si>
  <si>
    <t>-815.449878597385 60.1376950597037 -481.920058206148</t>
  </si>
  <si>
    <t>-814.591023717251 53.9614084159591 -606.346489026663</t>
  </si>
  <si>
    <t>-781.29154996262 51.02177827336 -682.422335764474</t>
  </si>
  <si>
    <t>-817.515454394809 84.2363361098626 -552.978085892847</t>
  </si>
  <si>
    <t>-820.64349782393 220.66757948042 -536.380977114505</t>
  </si>
  <si>
    <t>-719.913074760791 259.497471958861 -262.635085789883</t>
  </si>
  <si>
    <t>-479.58763198175 244.85581471325 -271.588032918617</t>
  </si>
  <si>
    <t>-812.422475850878 29.1222718845163 -550.207085738003</t>
  </si>
  <si>
    <t>-635.886338027124 23.8217566434621 -315.268399052018</t>
  </si>
  <si>
    <t>-800.910062501681 175.675600588606 -95.3895265308591</t>
  </si>
  <si>
    <t>-781.755202588431 179.767126774955 307.687450822856</t>
  </si>
  <si>
    <t>-855.995529176377 202.227544548334 749.001047994915</t>
  </si>
  <si>
    <t>-711.076579006367 220.732329948914 810.184145848769</t>
  </si>
  <si>
    <t>-689.528219230336 -4.83939155687563 306.587709406126</t>
  </si>
  <si>
    <t>-694.297488186687 -14.5825017217605 754.299273555501</t>
  </si>
  <si>
    <t>-592.806803433149 -110.859055913602 828.581118181876</t>
  </si>
  <si>
    <t>9763-20170724T105144.445314000.bin</t>
  </si>
  <si>
    <t>-777.469212605639 82.2347765563732 -92.4703176528344</t>
  </si>
  <si>
    <t>-798.730166974422 74.7566486376013 -206.08492103229</t>
  </si>
  <si>
    <t>-808.005093695366 69.4369137221793 -304.127306910668</t>
  </si>
  <si>
    <t>-813.371915156375 64.8009653134727 -392.941508487154</t>
  </si>
  <si>
    <t>-815.36617463034 60.3013610537503 -481.902297884254</t>
  </si>
  <si>
    <t>-814.611792997183 54.0673942395506 -606.326480216898</t>
  </si>
  <si>
    <t>-781.339704756025 51.1155905217145 -682.413779693662</t>
  </si>
  <si>
    <t>-817.469064310767 84.3691260877733 -552.969630827458</t>
  </si>
  <si>
    <t>-820.442608823457 220.81023798281 -536.412616623614</t>
  </si>
  <si>
    <t>-719.505532788879 259.584940646035 -262.734911352094</t>
  </si>
  <si>
    <t>-479.171888621125 245.054028880594 -271.652483715321</t>
  </si>
  <si>
    <t>-812.418523397684 29.2523052046013 -550.177531515038</t>
  </si>
  <si>
    <t>-635.833648786935 24.0507052217056 -315.252737045667</t>
  </si>
  <si>
    <t>-800.555037605162 175.883776398755 -95.4079914611801</t>
  </si>
  <si>
    <t>-781.772738803595 180.024499080032 307.68599580579</t>
  </si>
  <si>
    <t>-856.023461156384 202.28847088204 748.9902887166</t>
  </si>
  <si>
    <t>-711.08174696064 220.64271661981 810.164876569394</t>
  </si>
  <si>
    <t>-689.467592343505 -4.89698515639338 306.589318381248</t>
  </si>
  <si>
    <t>-694.383933081698 -14.7133744285538 754.298875990801</t>
  </si>
  <si>
    <t>-592.658262550539 -110.748313655588 828.571897521228</t>
  </si>
  <si>
    <t>9763-20170724T105144.507358700.bin</t>
  </si>
  <si>
    <t>-777.210861098016 82.5903924082111 -92.5275520676554</t>
  </si>
  <si>
    <t>-798.446285386263 75.1372603174243 -206.148483890521</t>
  </si>
  <si>
    <t>-807.756222482994 69.7879151881232 -304.186113402247</t>
  </si>
  <si>
    <t>-813.178662615959 65.105189881074 -392.994419430468</t>
  </si>
  <si>
    <t>-815.252941093191 60.5386638004145 -481.949801606597</t>
  </si>
  <si>
    <t>-814.63681895209 54.1902214075112 -606.369168374954</t>
  </si>
  <si>
    <t>-781.42110243429 51.1762083418562 -682.478515278698</t>
  </si>
  <si>
    <t>-817.404319996473 84.5437373004193 -553.036879835327</t>
  </si>
  <si>
    <t>-820.294808224301 220.988577018176 -536.557389335346</t>
  </si>
  <si>
    <t>-718.846787782298 259.819240205861 -263.076555253287</t>
  </si>
  <si>
    <t>-478.496247770462 245.41966368903 -271.743909552978</t>
  </si>
  <si>
    <t>-812.411653015055 29.4240488610687 -550.199680492915</t>
  </si>
  <si>
    <t>-635.864651060344 24.1351647624535 -315.389947585346</t>
  </si>
  <si>
    <t>-800.406188161729 176.262390407811 -95.4311713860824</t>
  </si>
  <si>
    <t>-781.483274129103 180.211385823201 307.658184399969</t>
  </si>
  <si>
    <t>-856.009074117344 202.269847012526 748.950875405387</t>
  </si>
  <si>
    <t>-711.057163118389 220.604635326814 810.10705241885</t>
  </si>
  <si>
    <t>-689.324004936475 -4.62995572772911 306.559638401538</t>
  </si>
  <si>
    <t>-694.376603517502 -14.6325044704108 754.272125432192</t>
  </si>
  <si>
    <t>-592.806365417937 -110.808194588233 828.57570135271</t>
  </si>
  <si>
    <t>9763-20170724T105144.545459400.bin</t>
  </si>
  <si>
    <t>-777.061126228896 82.6447615151644 -92.547062647967</t>
  </si>
  <si>
    <t>-798.283641059206 75.203743900166 -206.171184923567</t>
  </si>
  <si>
    <t>-807.550862240792 69.8519626876421 -304.212691188293</t>
  </si>
  <si>
    <t>-812.922590974258 65.1617355673461 -393.023685693165</t>
  </si>
  <si>
    <t>-814.933900736628 60.5821077127787 -481.979970859838</t>
  </si>
  <si>
    <t>-814.216963074965 54.2091091100876 -606.397373654828</t>
  </si>
  <si>
    <t>-780.939650896796 51.1775244766197 -682.47924260594</t>
  </si>
  <si>
    <t>-817.021786586262 84.5737502169861 -553.073460515928</t>
  </si>
  <si>
    <t>-819.897802492939 221.026821852116 -536.616302739133</t>
  </si>
  <si>
    <t>-718.297683614163 259.919657341671 -263.201070254111</t>
  </si>
  <si>
    <t>-477.937364573785 245.689349481265 -271.876441732328</t>
  </si>
  <si>
    <t>-812.043184075935 29.4534368739321 -550.22133709399</t>
  </si>
  <si>
    <t>-635.618053081826 24.1816540690318 -315.532143613003</t>
  </si>
  <si>
    <t>-800.174471766225 176.361301834084 -95.4505409116746</t>
  </si>
  <si>
    <t>-781.406674429669 180.205221698208 307.64710561531</t>
  </si>
  <si>
    <t>-856.032912488704 202.33218517145 748.921893990555</t>
  </si>
  <si>
    <t>-711.068595071216 220.562428231475 810.079563494901</t>
  </si>
  <si>
    <t>-689.218804303395 -4.60872853692217 306.542370844</t>
  </si>
  <si>
    <t>-694.405276648367 -14.6527528235047 754.261350079306</t>
  </si>
  <si>
    <t>-592.716498222719 -110.703010182696 828.565100413045</t>
  </si>
  <si>
    <t>9763-20170724T105144.613647800.bin</t>
  </si>
  <si>
    <t>-776.644978658176 82.8262092554271 -92.5731810134391</t>
  </si>
  <si>
    <t>-797.883746405014 75.4220649695519 -206.196719172474</t>
  </si>
  <si>
    <t>-807.109329745237 70.0914884410909 -304.243252548719</t>
  </si>
  <si>
    <t>-812.420873219611 65.4163237667628 -393.058672681858</t>
  </si>
  <si>
    <t>-814.349910156965 60.8473865886069 -482.017360561078</t>
  </si>
  <si>
    <t>-813.494815578328 54.4844523863383 -606.434338443374</t>
  </si>
  <si>
    <t>-780.195732954461 51.4514377769738 -682.50666998162</t>
  </si>
  <si>
    <t>-816.356064298044 84.8449232304697 -553.111162029127</t>
  </si>
  <si>
    <t>-819.216025113002 221.294650046739 -536.663280646079</t>
  </si>
  <si>
    <t>-717.501715993042 260.116935525838 -263.280372534884</t>
  </si>
  <si>
    <t>-477.113174479106 246.060118248391 -271.442917350338</t>
  </si>
  <si>
    <t>-811.386213094921 29.7239230650378 -550.257982961013</t>
  </si>
  <si>
    <t>-635.031051606492 24.414524911055 -315.545755131746</t>
  </si>
  <si>
    <t>-799.629241988408 176.472535878786 -95.452148169252</t>
  </si>
  <si>
    <t>-781.110495922382 180.238967832736 307.657680832581</t>
  </si>
  <si>
    <t>-855.967421252476 202.209156238554 748.891972046501</t>
  </si>
  <si>
    <t>-711.025956607029 220.636835568921 810.045108594738</t>
  </si>
  <si>
    <t>-688.911527990814 -4.54170856477617 306.518634894565</t>
  </si>
  <si>
    <t>-694.32895678335 -14.4359786439184 754.233712535017</t>
  </si>
  <si>
    <t>-592.954565616433 -110.798326501758 828.562903574485</t>
  </si>
  <si>
    <t>9763-20170724T105144.642725300.bin</t>
  </si>
  <si>
    <t>-776.448149821871 82.9324105566213 -92.5668899396156</t>
  </si>
  <si>
    <t>-797.663749680127 75.5590224533798 -206.196753533605</t>
  </si>
  <si>
    <t>-806.853032432649 70.2489685902099 -304.247988693752</t>
  </si>
  <si>
    <t>-812.125365201681 65.5897866019698 -393.066390930382</t>
  </si>
  <si>
    <t>-814.008792893476 61.0341393517247 -482.026752583877</t>
  </si>
  <si>
    <t>-813.083587290304 54.6872238468341 -606.44412774778</t>
  </si>
  <si>
    <t>-779.715832680549 51.6658091510826 -682.486886209009</t>
  </si>
  <si>
    <t>-815.974043893931 85.0409970515545 -553.118667603061</t>
  </si>
  <si>
    <t>-818.829002222717 221.486863976827 -536.689927051622</t>
  </si>
  <si>
    <t>-717.171659810306 260.340013141488 -263.290142644742</t>
  </si>
  <si>
    <t>-476.755648921254 246.483857203706 -270.976052497685</t>
  </si>
  <si>
    <t>-811.007215401265 29.9194412737049 -550.269890053104</t>
  </si>
  <si>
    <t>-634.764448243743 24.6559705204299 -315.495231670866</t>
  </si>
  <si>
    <t>-799.414283284712 176.500535513478 -95.429736511896</t>
  </si>
  <si>
    <t>-780.902014365164 180.233147899538 307.680716793718</t>
  </si>
  <si>
    <t>-855.946064651839 202.14628108892 748.884001853233</t>
  </si>
  <si>
    <t>-711.013709459424 220.690720335673 810.023434401422</t>
  </si>
  <si>
    <t>-688.731031213774 -4.5092741063836 306.50554921615</t>
  </si>
  <si>
    <t>-694.29196801442 -14.3316089369814 754.219051491979</t>
  </si>
  <si>
    <t>-593.126857900241 -110.900241620732 828.565440262874</t>
  </si>
  <si>
    <t>9763-20170724T105144.710476800.bin</t>
  </si>
  <si>
    <t>-776.024723076088 83.0079608026956 -92.5221338358374</t>
  </si>
  <si>
    <t>-797.261255019171 75.6747549279492 -206.150841864419</t>
  </si>
  <si>
    <t>-806.496903456005 70.3931338714176 -304.198951739282</t>
  </si>
  <si>
    <t>-811.823153198907 65.7585644651533 -393.01558210596</t>
  </si>
  <si>
    <t>-813.771957253218 61.226425845914 -481.975821599873</t>
  </si>
  <si>
    <t>-812.95043230168 54.9122030991614 -606.395381434617</t>
  </si>
  <si>
    <t>-779.525863880215 51.9094433765451 -682.413945027705</t>
  </si>
  <si>
    <t>-815.787762204135 85.2527038982403 -553.059602087437</t>
  </si>
  <si>
    <t>-818.642900978468 221.706013240715 -536.606722865981</t>
  </si>
  <si>
    <t>-716.862634461255 260.470896881498 -263.240112990276</t>
  </si>
  <si>
    <t>-476.387518491908 247.114729408052 -269.887825439824</t>
  </si>
  <si>
    <t>-810.836134115134 30.1288422692469 -550.229419548728</t>
  </si>
  <si>
    <t>-634.41583259825 24.8166938692868 -315.51756801661</t>
  </si>
  <si>
    <t>-798.886724614815 176.593313126016 -95.3735225865826</t>
  </si>
  <si>
    <t>-780.515790287818 180.238459935818 307.744187799588</t>
  </si>
  <si>
    <t>-855.953951302016 202.143709919587 748.864638488383</t>
  </si>
  <si>
    <t>-710.987743610232 220.480396072117 809.98638342873</t>
  </si>
  <si>
    <t>-688.405453873286 -4.59102479866328 306.511807639747</t>
  </si>
  <si>
    <t>-694.366337269721 -14.4043431236303 754.212444708488</t>
  </si>
  <si>
    <t>-593.040837307663 -110.811108125371 828.55075705059</t>
  </si>
  <si>
    <t>9763-20170724T105144.751583900.bin</t>
  </si>
  <si>
    <t>-775.890333520833 83.0016436413018 -92.5109752453404</t>
  </si>
  <si>
    <t>-797.120920610503 75.697708520963 -206.142499373508</t>
  </si>
  <si>
    <t>-806.363329492786 70.4269492183789 -304.190760362185</t>
  </si>
  <si>
    <t>-811.700376415659 65.7971572295462 -393.007007894766</t>
  </si>
  <si>
    <t>-813.665256879546 61.2649278475292 -481.966805604507</t>
  </si>
  <si>
    <t>-812.871781945619 54.9452970899554 -606.386475092199</t>
  </si>
  <si>
    <t>-779.392316066909 51.9495987086132 -682.380982553468</t>
  </si>
  <si>
    <t>-815.696866683157 85.2881099495135 -553.051302245099</t>
  </si>
  <si>
    <t>-818.584845710721 221.746438411722 -536.589578437384</t>
  </si>
  <si>
    <t>-716.925503612827 260.432743303447 -263.166852787973</t>
  </si>
  <si>
    <t>-476.433995716417 247.200278208987 -269.461511057172</t>
  </si>
  <si>
    <t>-810.745191716891 30.1642810708436 -550.219778151157</t>
  </si>
  <si>
    <t>-634.299418753952 24.8753869094944 -315.590023906701</t>
  </si>
  <si>
    <t>-798.720022473792 176.595372276469 -95.346103475318</t>
  </si>
  <si>
    <t>-780.34899084618 180.217195766306 307.771806341157</t>
  </si>
  <si>
    <t>-855.927136565771 202.079842342946 748.853951269964</t>
  </si>
  <si>
    <t>-710.968646982263 220.500074209441 809.96865348428</t>
  </si>
  <si>
    <t>-688.335347267393 -4.65733029174021 306.50364573497</t>
  </si>
  <si>
    <t>-694.450911467792 -14.5253316669157 754.212336115907</t>
  </si>
  <si>
    <t>-593.013676788307 -110.816998767196 828.547405084733</t>
  </si>
  <si>
    <t>9763-20170724T105144.809534100.bin</t>
  </si>
  <si>
    <t>-775.603626575438 83.187889200814 -92.4969497707822</t>
  </si>
  <si>
    <t>-796.857028870367 75.9037580460595 -206.125472152111</t>
  </si>
  <si>
    <t>-806.106754859537 70.6184367095721 -304.172144522279</t>
  </si>
  <si>
    <t>-811.446087071859 65.9632598846313 -392.987081595522</t>
  </si>
  <si>
    <t>-813.409344627415 61.3943473922261 -481.944940867603</t>
  </si>
  <si>
    <t>-812.609665621309 55.011346185561 -606.36132522992</t>
  </si>
  <si>
    <t>-779.080975558749 52.0331335680271 -682.334887333261</t>
  </si>
  <si>
    <t>-815.44993062196 85.3801626027498 -553.041773758196</t>
  </si>
  <si>
    <t>-818.460162325139 221.831119861375 -536.624592836264</t>
  </si>
  <si>
    <t>-717.20938035296 260.715088345023 -263.078421466196</t>
  </si>
  <si>
    <t>-476.698316465491 247.680265046119 -269.028661103343</t>
  </si>
  <si>
    <t>-810.473256752708 30.2601369115312 -550.181892553959</t>
  </si>
  <si>
    <t>-633.892339500642 24.9527133121514 -315.64596703109</t>
  </si>
  <si>
    <t>-798.404605682978 176.76409553072 -95.3156702547146</t>
  </si>
  <si>
    <t>-779.964001655768 180.237244520389 307.800383473258</t>
  </si>
  <si>
    <t>-855.916296141442 202.064638854748 748.823176886268</t>
  </si>
  <si>
    <t>-710.971537540632 220.603609344108 809.93445604697</t>
  </si>
  <si>
    <t>-688.055618749981 -4.56594321940997 306.493045450227</t>
  </si>
  <si>
    <t>-694.304273044962 -14.2024435134867 754.185401141393</t>
  </si>
  <si>
    <t>-593.103731794026 -110.724588115012 828.544009996022</t>
  </si>
  <si>
    <t>9763-20170724T105144.841617300.bin</t>
  </si>
  <si>
    <t>-775.478334092509 83.2615445266626 -92.493901212328</t>
  </si>
  <si>
    <t>-796.755033712057 75.99113889723 -206.119073340495</t>
  </si>
  <si>
    <t>-806.020366965025 70.6916155650988 -304.163509659367</t>
  </si>
  <si>
    <t>-811.372599875191 66.0138607454296 -392.976345141138</t>
  </si>
  <si>
    <t>-813.348059561453 61.4123546797928 -481.932249272519</t>
  </si>
  <si>
    <t>-812.564801589457 54.9742557128416 -606.345859517168</t>
  </si>
  <si>
    <t>-779.051077364312 52.0007898400604 -682.326345425093</t>
  </si>
  <si>
    <t>-815.408849064727 85.3656683420641 -553.03943434033</t>
  </si>
  <si>
    <t>-818.525266402463 221.817986231959 -536.656696766643</t>
  </si>
  <si>
    <t>-717.460093767467 260.808376762961 -263.057032192597</t>
  </si>
  <si>
    <t>-476.942250429328 247.792038158364 -268.76921798816</t>
  </si>
  <si>
    <t>-810.409952559044 30.2489810728703 -550.155852735411</t>
  </si>
  <si>
    <t>-633.793028888671 25.0747015205077 -315.618571010429</t>
  </si>
  <si>
    <t>-798.254064694397 176.825110532169 -95.3008550663867</t>
  </si>
  <si>
    <t>-779.800569231107 180.254739399542 307.815016447529</t>
  </si>
  <si>
    <t>-855.90504374651 202.047158275674 748.804638903037</t>
  </si>
  <si>
    <t>-710.95635512512 220.541066128421 809.920553888563</t>
  </si>
  <si>
    <t>-687.903229631921 -4.59638529071526 306.487364124301</t>
  </si>
  <si>
    <t>-694.334922490691 -14.2300193612857 754.182006051317</t>
  </si>
  <si>
    <t>-592.918442253291 -110.534114332725 828.529164836614</t>
  </si>
  <si>
    <t>9763-20170724T105144.909805000.bin</t>
  </si>
  <si>
    <t>-775.262802154854 83.2684227114653 -92.478630286423</t>
  </si>
  <si>
    <t>-796.558392901257 76.0080985482998 -206.100822618277</t>
  </si>
  <si>
    <t>-805.853950065778 70.6790862045075 -304.140917142557</t>
  </si>
  <si>
    <t>-811.239933573416 65.960047450317 -392.949366201968</t>
  </si>
  <si>
    <t>-813.256007009232 61.3043017001592 -481.901671809741</t>
  </si>
  <si>
    <t>-812.536878533644 54.7771571377864 -606.310989592464</t>
  </si>
  <si>
    <t>-779.053034226058 51.8184636241299 -682.305087243462</t>
  </si>
  <si>
    <t>-815.385746346239 85.2038323115164 -553.0249279842</t>
  </si>
  <si>
    <t>-818.71104358659 221.663576979537 -536.701417302151</t>
  </si>
  <si>
    <t>-718.198373852528 260.782761858788 -262.916614518248</t>
  </si>
  <si>
    <t>-477.675169868757 247.818736621534 -268.524944553783</t>
  </si>
  <si>
    <t>-810.320902425157 30.0949296055169 -550.104376269516</t>
  </si>
  <si>
    <t>-633.633169067156 25.2514463376781 -315.610022284956</t>
  </si>
  <si>
    <t>-797.99514390255 176.863608165765 -95.2805412856092</t>
  </si>
  <si>
    <t>-779.50348955085 180.14063683181 307.834789821961</t>
  </si>
  <si>
    <t>-855.814644038822 201.848047609929 748.781263160944</t>
  </si>
  <si>
    <t>-710.904082494687 220.63923128002 809.896915575495</t>
  </si>
  <si>
    <t>-687.658711314629 -4.6998078183658 306.480733914336</t>
  </si>
  <si>
    <t>-694.436289248117 -14.3501945503281 754.172582975395</t>
  </si>
  <si>
    <t>-592.838052756854 -110.46662898654 828.514504326218</t>
  </si>
  <si>
    <t>9763-20170724T105144.940887500.bin</t>
  </si>
  <si>
    <t>-775.103091739266 83.3586282350047 -92.4842749099387</t>
  </si>
  <si>
    <t>-796.411016593193 76.1031572612869 -206.104505288911</t>
  </si>
  <si>
    <t>-805.717939895742 70.7619591356433 -304.142805539892</t>
  </si>
  <si>
    <t>-811.114903957454 66.0261472864674 -392.949728356303</t>
  </si>
  <si>
    <t>-813.142381794644 61.3482680526238 -481.900606414203</t>
  </si>
  <si>
    <t>-812.44057243155 54.7853555504864 -606.30820148754</t>
  </si>
  <si>
    <t>-778.944643845464 51.835283073211 -682.297311518401</t>
  </si>
  <si>
    <t>-815.305185039652 85.225285093092 -553.030465966599</t>
  </si>
  <si>
    <t>-818.756202680396 221.678910239428 -536.714753208066</t>
  </si>
  <si>
    <t>-718.69415190306 260.829320036415 -262.769327008197</t>
  </si>
  <si>
    <t>-478.180855918285 247.752866617312 -268.532179908715</t>
  </si>
  <si>
    <t>-810.193780110816 30.1215767465869 -550.094807014816</t>
  </si>
  <si>
    <t>-633.444455439764 25.4195250840962 -315.623407565589</t>
  </si>
  <si>
    <t>-797.82417373617 176.942809393868 -95.2793463875422</t>
  </si>
  <si>
    <t>-779.39297870002 180.180709727356 307.83905252736</t>
  </si>
  <si>
    <t>-855.786692807342 201.801295751052 748.76348243393</t>
  </si>
  <si>
    <t>-710.884222437249 220.627516754272 809.88728673393</t>
  </si>
  <si>
    <t>-687.525250154755 -4.67137953799488 306.475804087498</t>
  </si>
  <si>
    <t>-694.414800285138 -14.2810197137176 754.16473687106</t>
  </si>
  <si>
    <t>-592.900521793224 -110.483297901607 828.510320656239</t>
  </si>
  <si>
    <t>9763-20170724T105145.017684800.bin</t>
  </si>
  <si>
    <t>-774.925852077692 83.7448883921227 -92.4962932217485</t>
  </si>
  <si>
    <t>-796.279017570966 76.4983560829833 -206.108624301132</t>
  </si>
  <si>
    <t>-805.605812064321 71.1628791068056 -304.145392420047</t>
  </si>
  <si>
    <t>-811.012946248934 66.4320229957377 -392.95208084765</t>
  </si>
  <si>
    <t>-813.043496581928 61.7602163059028 -481.903121970287</t>
  </si>
  <si>
    <t>-812.337365075762 55.2074100194584 -606.311236966203</t>
  </si>
  <si>
    <t>-778.850100812613 52.3056705593219 -682.305989224938</t>
  </si>
  <si>
    <t>-815.2512737055 85.6386138838654 -553.031077182343</t>
  </si>
  <si>
    <t>-818.988754478672 222.079763165586 -536.663264171941</t>
  </si>
  <si>
    <t>-719.781570026939 261.086955564163 -262.386837267126</t>
  </si>
  <si>
    <t>-479.285525225776 248.005870197112 -268.821581572431</t>
  </si>
  <si>
    <t>-810.0447278688 30.5435183336165 -550.099563852937</t>
  </si>
  <si>
    <t>-633.074219780415 26.0389708366577 -315.618111098822</t>
  </si>
  <si>
    <t>-797.727051565922 177.352596082826 -95.2689185483065</t>
  </si>
  <si>
    <t>-779.128234676436 180.348280181383 307.843671580568</t>
  </si>
  <si>
    <t>-855.778666495235 201.824996031885 748.740080974707</t>
  </si>
  <si>
    <t>-710.861379246693 220.472564138907 809.883650579923</t>
  </si>
  <si>
    <t>-687.211304826534 -4.4896677326833 306.443048348605</t>
  </si>
  <si>
    <t>-694.408722843171 -14.220234054312 754.139444361771</t>
  </si>
  <si>
    <t>-593.059714630059 -110.579951638767 828.506668023945</t>
  </si>
  <si>
    <t>9763-20170724T105145.049769100.bin</t>
  </si>
  <si>
    <t>-774.865468182472 83.8671542707457 -92.5154998885166</t>
  </si>
  <si>
    <t>-796.226939473195 76.6229715323771 -206.126315198782</t>
  </si>
  <si>
    <t>-805.54952219159 71.2966205438254 -304.163941997688</t>
  </si>
  <si>
    <t>-810.947968642712 66.5767635890338 -392.971813415711</t>
  </si>
  <si>
    <t>-812.964742917846 61.9188846206655 -481.923920276698</t>
  </si>
  <si>
    <t>-812.234564193857 55.3892843557533 -606.333075508745</t>
  </si>
  <si>
    <t>-778.739524061869 52.5236398394886 -682.325803922712</t>
  </si>
  <si>
    <t>-815.178973353596 85.8086000889987 -553.0477721293</t>
  </si>
  <si>
    <t>-819.041709024046 222.24174703374 -536.652416989635</t>
  </si>
  <si>
    <t>-720.031661936828 261.225173847908 -262.30132180873</t>
  </si>
  <si>
    <t>-479.536922566374 248.265787187891 -269.023917895688</t>
  </si>
  <si>
    <t>-809.932870356343 30.7167578462918 -550.125540039753</t>
  </si>
  <si>
    <t>-632.976845288125 26.3161520785252 -315.613129747057</t>
  </si>
  <si>
    <t>-797.714735658992 177.482801269847 -95.2734438512513</t>
  </si>
  <si>
    <t>-779.008704166741 180.428312822073 307.834608767011</t>
  </si>
  <si>
    <t>-855.786625141038 201.876867670201 748.718657969539</t>
  </si>
  <si>
    <t>-710.861759089185 220.41366028834 809.87816040844</t>
  </si>
  <si>
    <t>-687.127481356544 -4.3548302288898 306.42216592865</t>
  </si>
  <si>
    <t>-694.35386833137 -14.0862172159577 754.121197851009</t>
  </si>
  <si>
    <t>-593.175072592834 -110.611734708728 828.504938120059</t>
  </si>
  <si>
    <t>9763-20170724T105145.110944300.bin</t>
  </si>
  <si>
    <t>-774.70837952638 84.0355331571873 -92.5132478834056</t>
  </si>
  <si>
    <t>-796.089399351756 76.7874075807129 -206.120229337047</t>
  </si>
  <si>
    <t>-805.403788803251 71.4523696825654 -304.158174724701</t>
  </si>
  <si>
    <t>-810.785148590473 66.7219498909153 -392.96638533097</t>
  </si>
  <si>
    <t>-812.77488208911 62.0510476726438 -481.918386050514</t>
  </si>
  <si>
    <t>-811.996772286348 55.499734545707 -606.326120250086</t>
  </si>
  <si>
    <t>-778.501284999375 52.6813768197114 -682.320385207128</t>
  </si>
  <si>
    <t>-814.983512449025 85.9261895511938 -553.047331600001</t>
  </si>
  <si>
    <t>-818.960831101899 222.355290432091 -536.659725445895</t>
  </si>
  <si>
    <t>-719.757765419706 261.530046154714 -262.405694566548</t>
  </si>
  <si>
    <t>-479.257752056554 248.703507321799 -269.1953744323</t>
  </si>
  <si>
    <t>-809.694933784505 30.8391176435887 -550.113504604826</t>
  </si>
  <si>
    <t>-632.784267703413 26.7174311383435 -315.581515616052</t>
  </si>
  <si>
    <t>-797.556404133041 177.586970414141 -95.2630699910198</t>
  </si>
  <si>
    <t>-778.892044711328 180.486410280332 307.847196920754</t>
  </si>
  <si>
    <t>-855.744681795043 201.811076429573 748.711093425056</t>
  </si>
  <si>
    <t>-710.836567216284 220.440567166905 809.881915257106</t>
  </si>
  <si>
    <t>-686.811998620864 -4.3060205072552 306.413127336756</t>
  </si>
  <si>
    <t>-694.385466164385 -14.0432633154637 754.12170390117</t>
  </si>
  <si>
    <t>-593.338314713399 -110.709690400106 828.501624853367</t>
  </si>
  <si>
    <t>9763-20170724T105145.144053600.bin</t>
  </si>
  <si>
    <t>-774.709146197407 84.0609719437246 -92.5104210384815</t>
  </si>
  <si>
    <t>-796.078574055312 76.8177525344063 -206.119760031959</t>
  </si>
  <si>
    <t>-805.374088977706 71.4743962536252 -304.159139321654</t>
  </si>
  <si>
    <t>-810.734875462543 66.7315815699042 -392.968010585772</t>
  </si>
  <si>
    <t>-812.700710102471 62.0431947249178 -481.919564284263</t>
  </si>
  <si>
    <t>-811.885727901697 55.4626975777774 -606.325553008495</t>
  </si>
  <si>
    <t>-778.380593121475 52.6559913289702 -682.316163170577</t>
  </si>
  <si>
    <t>-814.894853606169 85.9009951240482 -553.054823935753</t>
  </si>
  <si>
    <t>-818.89895335306 222.337262889632 -536.709098167761</t>
  </si>
  <si>
    <t>-719.628259197727 261.643196267591 -262.498264527928</t>
  </si>
  <si>
    <t>-479.126789144998 248.891207827882 -269.37754130575</t>
  </si>
  <si>
    <t>-809.593817298764 30.8159006006913 -550.106452231272</t>
  </si>
  <si>
    <t>-632.72952160867 26.874860639567 -315.596801912253</t>
  </si>
  <si>
    <t>-797.534686141455 177.730398744088 -95.2612823061521</t>
  </si>
  <si>
    <t>-779.001629686377 180.630804400065 307.855076344265</t>
  </si>
  <si>
    <t>-855.838090575787 202.041015941579 748.715677809355</t>
  </si>
  <si>
    <t>-710.861476771657 220.072898094037 809.903483027041</t>
  </si>
  <si>
    <t>-686.851095333319 -4.38165936996347 306.420616324936</t>
  </si>
  <si>
    <t>-694.526144069003 -14.2576646711775 754.125828487759</t>
  </si>
  <si>
    <t>-593.082407215666 -110.523397022926 828.485662719077</t>
  </si>
  <si>
    <t>9763-20170724T105145.209214800.bin</t>
  </si>
  <si>
    <t>-774.574610458914 84.2075250317473 -92.4918809706388</t>
  </si>
  <si>
    <t>-795.913754493649 76.972009872811 -206.107536751835</t>
  </si>
  <si>
    <t>-805.19874337444 71.5965700763888 -304.146011893474</t>
  </si>
  <si>
    <t>-810.55680159861 66.8097273722135 -392.952681857062</t>
  </si>
  <si>
    <t>-812.527481225368 62.0628786315019 -481.901172901916</t>
  </si>
  <si>
    <t>-811.727298942377 55.3855824319214 -606.301959959836</t>
  </si>
  <si>
    <t>-778.213609420625 52.5650048855616 -682.288254076254</t>
  </si>
  <si>
    <t>-814.735618493089 85.8647522161616 -553.054615989711</t>
  </si>
  <si>
    <t>-818.803823474672 222.305565035445 -536.776770984736</t>
  </si>
  <si>
    <t>-719.372260146122 261.705262920947 -262.637748257345</t>
  </si>
  <si>
    <t>-478.867860225203 249.127597682708 -269.729090996244</t>
  </si>
  <si>
    <t>-809.42318411019 30.7828843493069 -550.063957926423</t>
  </si>
  <si>
    <t>-632.635359223295 27.0796335802963 -315.585664334537</t>
  </si>
  <si>
    <t>-797.398480309797 177.880565796167 -95.2479593384392</t>
  </si>
  <si>
    <t>-778.967688999474 180.664124615559 307.873847749545</t>
  </si>
  <si>
    <t>-855.78126135375 201.932208209358 748.737539087024</t>
  </si>
  <si>
    <t>-710.850588296983 220.332214798751 809.9244919142</t>
  </si>
  <si>
    <t>-686.748356411221 -4.32921849929198 306.426681388615</t>
  </si>
  <si>
    <t>-694.47742343861 -14.1011855760617 754.120756611154</t>
  </si>
  <si>
    <t>-593.112301531731 -110.446284229666 828.48491644303</t>
  </si>
  <si>
    <t>9763-20170724T105145.241300200.bin</t>
  </si>
  <si>
    <t>-774.449809578382 84.2896471789438 -92.4774758086498</t>
  </si>
  <si>
    <t>-795.778513816118 77.0510738186847 -206.094765717544</t>
  </si>
  <si>
    <t>-805.059038144219 71.6614482031287 -304.132928373417</t>
  </si>
  <si>
    <t>-810.415242483647 66.8575056982374 -392.938756947831</t>
  </si>
  <si>
    <t>-812.386348253623 62.0891310555326 -481.886096701622</t>
  </si>
  <si>
    <t>-811.588973293394 55.3775530040443 -606.285215682119</t>
  </si>
  <si>
    <t>-778.053665159925 52.5502938038921 -682.261594512851</t>
  </si>
  <si>
    <t>-814.597684094332 85.8712586738129 -553.046154669113</t>
  </si>
  <si>
    <t>-818.658649734705 222.315994242974 -536.799570220863</t>
  </si>
  <si>
    <t>-719.1818782791 261.788823648127 -262.687493442969</t>
  </si>
  <si>
    <t>-478.671103878465 249.324163541613 -269.761413373073</t>
  </si>
  <si>
    <t>-809.282062419757 30.7905942911468 -550.040486893695</t>
  </si>
  <si>
    <t>-632.442840435898 27.0789952205189 -315.575148291132</t>
  </si>
  <si>
    <t>-797.226480323525 177.886729258103 -95.2478886690296</t>
  </si>
  <si>
    <t>-778.918402821756 180.661664875394 307.879577576093</t>
  </si>
  <si>
    <t>-855.735969857576 201.831306988003 748.746109488003</t>
  </si>
  <si>
    <t>-710.823644633605 220.386958466089 809.929315801942</t>
  </si>
  <si>
    <t>-686.711559350656 -4.30834897830164 306.436187894226</t>
  </si>
  <si>
    <t>-694.490752984274 -14.0987029848222 754.122146858594</t>
  </si>
  <si>
    <t>-593.093395522824 -110.410234262262 828.485817475048</t>
  </si>
  <si>
    <t>9763-20170724T105145.309504100.bin</t>
  </si>
  <si>
    <t>-774.201807403939 84.3981048186724 -92.4787704548168</t>
  </si>
  <si>
    <t>-795.540004848844 77.172169300113 -206.095181897004</t>
  </si>
  <si>
    <t>-804.834743698381 71.751533933086 -304.13025812841</t>
  </si>
  <si>
    <t>-810.207152109176 66.9029206672144 -392.932719444321</t>
  </si>
  <si>
    <t>-812.197856845958 62.0731712657123 -481.876165532099</t>
  </si>
  <si>
    <t>-811.432640870127 55.2581967667747 -606.26992612628</t>
  </si>
  <si>
    <t>-777.901523233781 52.3897401868919 -682.246741166773</t>
  </si>
  <si>
    <t>-814.414464990299 85.7973602397319 -553.055517840254</t>
  </si>
  <si>
    <t>-818.444075152415 222.256716453434 -536.902144002721</t>
  </si>
  <si>
    <t>-718.971049549614 261.989963816342 -262.826228096373</t>
  </si>
  <si>
    <t>-478.453400440885 249.561980488078 -269.731085252504</t>
  </si>
  <si>
    <t>-809.124145445116 30.7168019069004 -550.005227679707</t>
  </si>
  <si>
    <t>-632.138812147301 26.9401117973237 -315.547559712246</t>
  </si>
  <si>
    <t>-796.980228777274 177.992695336425 -95.234827214378</t>
  </si>
  <si>
    <t>-778.748151665402 180.698424519725 307.896617611097</t>
  </si>
  <si>
    <t>-855.761995780424 201.877010197958 748.750843882689</t>
  </si>
  <si>
    <t>-710.844654717953 220.405905361943 809.930095226288</t>
  </si>
  <si>
    <t>-686.501503769851 -4.25417826618786 306.437605550401</t>
  </si>
  <si>
    <t>-694.461111314761 -13.9822329504166 754.123208515236</t>
  </si>
  <si>
    <t>-593.252663019819 -110.481950195592 828.500307745402</t>
  </si>
  <si>
    <t>9763-20170724T105145.340586300.bin</t>
  </si>
  <si>
    <t>-774.04407887813 84.3217263320278 -92.4752697153979</t>
  </si>
  <si>
    <t>-795.393752207603 77.1019027265606 -206.089902102523</t>
  </si>
  <si>
    <t>-804.697768659229 71.671680544054 -304.123687029234</t>
  </si>
  <si>
    <t>-810.078716545626 66.8086223417977 -392.924764234969</t>
  </si>
  <si>
    <t>-812.078421199087 61.9587033791504 -481.866914735214</t>
  </si>
  <si>
    <t>-811.326067924717 55.1094817822473 -606.258778921686</t>
  </si>
  <si>
    <t>-777.795531916617 52.2181488816398 -682.235015177178</t>
  </si>
  <si>
    <t>-814.299635152622 85.6636672173045 -553.052478921887</t>
  </si>
  <si>
    <t>-818.336520412748 222.123586453212 -536.935885510166</t>
  </si>
  <si>
    <t>-718.864892629265 261.936196093171 -262.871021755771</t>
  </si>
  <si>
    <t>-478.342901427505 249.533377625776 -269.667781552561</t>
  </si>
  <si>
    <t>-809.014595265552 30.5833071016787 -549.987713920317</t>
  </si>
  <si>
    <t>-632.016939290849 26.7915593001046 -315.545870315756</t>
  </si>
  <si>
    <t>-796.8123733379 177.900233711423 -95.2170536045149</t>
  </si>
  <si>
    <t>-778.550511988941 180.546486004539 307.913397364671</t>
  </si>
  <si>
    <t>-855.635668022982 201.575757577509 748.750217756253</t>
  </si>
  <si>
    <t>-710.745456678614 220.351443080508 809.918901866895</t>
  </si>
  <si>
    <t>-686.379759725932 -4.24756905557115 306.431051995948</t>
  </si>
  <si>
    <t>-694.450761534542 -13.9383141032861 754.115803108139</t>
  </si>
  <si>
    <t>-593.385897168782 -110.576844412275 828.508020577417</t>
  </si>
  <si>
    <t>9763-20170724T105145.406379400.bin</t>
  </si>
  <si>
    <t>-773.86276846156 84.3476462942031 -92.4769841245452</t>
  </si>
  <si>
    <t>-795.2114470042 77.1366615517802 -206.092355772775</t>
  </si>
  <si>
    <t>-804.500998353884 71.6893898001031 -304.126474290727</t>
  </si>
  <si>
    <t>-809.863716936879 66.8014325118072 -392.927336269571</t>
  </si>
  <si>
    <t>-811.840396621999 61.916708233714 -481.868342014317</t>
  </si>
  <si>
    <t>-811.050904099092 55.0088705919911 -606.256651918772</t>
  </si>
  <si>
    <t>-777.478726203789 52.0786889206981 -682.212868426133</t>
  </si>
  <si>
    <t>-814.03860733401 85.5883507095739 -553.065625934563</t>
  </si>
  <si>
    <t>-818.083679705047 222.050571339879 -536.96639671389</t>
  </si>
  <si>
    <t>-718.707242474406 261.839566463424 -262.863419558598</t>
  </si>
  <si>
    <t>-478.178234944941 249.488976298049 -269.505063285609</t>
  </si>
  <si>
    <t>-808.757973910154 30.5089590922287 -549.973239842661</t>
  </si>
  <si>
    <t>-631.795139457368 26.8210609917885 -315.532959050463</t>
  </si>
  <si>
    <t>-796.548589057481 177.941825720399 -95.2002841979097</t>
  </si>
  <si>
    <t>-778.427057590737 180.562838220042 307.93666385363</t>
  </si>
  <si>
    <t>-855.6959977083 201.6974217958 748.727859485358</t>
  </si>
  <si>
    <t>-710.779312307361 220.269399234323 809.896078423622</t>
  </si>
  <si>
    <t>-686.337096976316 -4.33182807230651 306.450373010119</t>
  </si>
  <si>
    <t>-694.512757554689 -13.9859643583684 754.124615530181</t>
  </si>
  <si>
    <t>-593.410483474989 -110.586696967552 828.515040265499</t>
  </si>
  <si>
    <t>9763-20170724T105145.446486400.bin</t>
  </si>
  <si>
    <t>-773.805638093289 84.4279965115281 -92.4882117063298</t>
  </si>
  <si>
    <t>-795.138623509611 77.2251594828201 -206.106957509892</t>
  </si>
  <si>
    <t>-804.395973003575 71.7694243367614 -304.143705166619</t>
  </si>
  <si>
    <t>-809.722237628198 66.8673328069649 -392.945984613767</t>
  </si>
  <si>
    <t>-811.655422495472 61.96229248284 -481.886670223032</t>
  </si>
  <si>
    <t>-810.797969772131 55.0193393273159 -606.272709962291</t>
  </si>
  <si>
    <t>-777.199497925682 52.0782613073445 -682.216872401055</t>
  </si>
  <si>
    <t>-813.816429072969 85.6135307861414 -553.091842544327</t>
  </si>
  <si>
    <t>-817.893891267325 222.078888121563 -537.00560895009</t>
  </si>
  <si>
    <t>-718.573346971585 261.868408658448 -262.882730953201</t>
  </si>
  <si>
    <t>-478.038665900382 249.593624020715 -269.461545312632</t>
  </si>
  <si>
    <t>-808.534071294305 30.5355830079016 -549.981102597955</t>
  </si>
  <si>
    <t>-631.643497142126 26.8741298341395 -315.535032633615</t>
  </si>
  <si>
    <t>-796.499857355793 178.051319954913 -95.2133348625567</t>
  </si>
  <si>
    <t>-778.435873369909 180.64628104173 307.926382194284</t>
  </si>
  <si>
    <t>-855.749151135389 201.817112613806 748.713393135043</t>
  </si>
  <si>
    <t>-710.792482272624 220.039017441051 809.892162978572</t>
  </si>
  <si>
    <t>-686.362004923092 -4.34393735963522 306.454532408356</t>
  </si>
  <si>
    <t>-694.565534079335 -14.0447976723635 754.130919907511</t>
  </si>
  <si>
    <t>-593.396061010301 -110.579159016824 828.516024645426</t>
  </si>
  <si>
    <t>9763-20170724T105145.512431800.bin</t>
  </si>
  <si>
    <t>-773.679266518607 84.4580545274687 -92.5086338698483</t>
  </si>
  <si>
    <t>-794.962270972521 77.2597410195526 -206.137178336619</t>
  </si>
  <si>
    <t>-804.177599246305 71.7945368250132 -304.177240238304</t>
  </si>
  <si>
    <t>-809.46665720936 66.8784800464823 -392.980967580559</t>
  </si>
  <si>
    <t>-811.363408284195 61.9537100120126 -481.921345000672</t>
  </si>
  <si>
    <t>-810.456260945691 54.9771080019545 -606.30512304008</t>
  </si>
  <si>
    <t>-776.864257419188 52.0164929203838 -682.251392683578</t>
  </si>
  <si>
    <t>-813.49416505926 85.5859952490923 -553.133831602641</t>
  </si>
  <si>
    <t>-817.587085242157 222.052431914065 -537.073353165946</t>
  </si>
  <si>
    <t>-718.335372368481 261.996466241286 -262.947810072833</t>
  </si>
  <si>
    <t>-477.793205001718 249.797771568789 -269.389945749385</t>
  </si>
  <si>
    <t>-808.216742478705 30.5084050129985 -550.006066936669</t>
  </si>
  <si>
    <t>-631.383771363468 26.7813294602031 -315.484539670858</t>
  </si>
  <si>
    <t>-796.360373191347 178.019378220732 -95.2488295747445</t>
  </si>
  <si>
    <t>-778.461978297414 180.608476627156 307.898282870416</t>
  </si>
  <si>
    <t>-855.686762795165 201.680923045129 748.693270661655</t>
  </si>
  <si>
    <t>-710.761532159941 220.160445018102 809.868892748068</t>
  </si>
  <si>
    <t>-686.307538538662 -4.35193906918016 306.451847107951</t>
  </si>
  <si>
    <t>-694.536264920813 -13.9242640803111 754.126725589914</t>
  </si>
  <si>
    <t>-593.3521564584 -110.44621311167 828.507934662842</t>
  </si>
  <si>
    <t>9763-20170724T105145.546525300.bin</t>
  </si>
  <si>
    <t>-773.561734195751 84.4241446516182 -92.5221761430834</t>
  </si>
  <si>
    <t>-794.826087318443 77.2219064149242 -206.153842326661</t>
  </si>
  <si>
    <t>-804.030490272822 71.7509169871596 -304.194755661581</t>
  </si>
  <si>
    <t>-809.31150323478 66.8282801736157 -392.998603482947</t>
  </si>
  <si>
    <t>-811.202127073502 61.8960309060419 -481.938645875822</t>
  </si>
  <si>
    <t>-810.288627386569 54.9080089067811 -606.321756189103</t>
  </si>
  <si>
    <t>-776.714252594964 51.9381560093411 -682.275492644233</t>
  </si>
  <si>
    <t>-813.330204604467 85.5215986260926 -553.153505730988</t>
  </si>
  <si>
    <t>-817.430664839369 221.991899441757 -537.118027477368</t>
  </si>
  <si>
    <t>-718.1536247545 261.934364315362 -263.001517203636</t>
  </si>
  <si>
    <t>-477.605433553533 249.807978745883 -269.355336716193</t>
  </si>
  <si>
    <t>-808.051076910529 30.4445987888462 -550.02043908785</t>
  </si>
  <si>
    <t>-631.237455231365 26.6901861711642 -315.457492926557</t>
  </si>
  <si>
    <t>-796.200849935134 177.934180908992 -95.2646030649477</t>
  </si>
  <si>
    <t>-778.462863769367 180.594195878795 307.889132305183</t>
  </si>
  <si>
    <t>-855.681500404544 201.667307983414 748.686126466454</t>
  </si>
  <si>
    <t>-710.759249064113 220.178729603721 809.85943592487</t>
  </si>
  <si>
    <t>-686.263010476383 -4.38466733252812 306.450906884437</t>
  </si>
  <si>
    <t>-694.573065230586 -13.9548941838159 754.132470485101</t>
  </si>
  <si>
    <t>-593.360628184108 -110.452125755037 828.5074510316</t>
  </si>
  <si>
    <t>9763-20170724T105145.608212200.bin</t>
  </si>
  <si>
    <t>-773.351527974822 84.3369936849886 -92.5134650701207</t>
  </si>
  <si>
    <t>-794.61572073248 77.1413519863206 -206.145664436776</t>
  </si>
  <si>
    <t>-803.816048881001 71.6521790746669 -304.185787531914</t>
  </si>
  <si>
    <t>-809.092258036362 66.703929370784 -392.988567037229</t>
  </si>
  <si>
    <t>-810.977276482809 61.7368009476036 -481.926854188824</t>
  </si>
  <si>
    <t>-810.055352503883 54.6903414857275 -606.306633019484</t>
  </si>
  <si>
    <t>-776.527164044273 51.677725697366 -682.278971194783</t>
  </si>
  <si>
    <t>-813.102736630971 85.3287801649108 -553.152837104784</t>
  </si>
  <si>
    <t>-817.199142753635 221.803786366195 -537.158423887831</t>
  </si>
  <si>
    <t>-717.947650490779 261.844650021559 -263.047088476011</t>
  </si>
  <si>
    <t>-477.393971844017 249.748666200677 -269.254980154249</t>
  </si>
  <si>
    <t>-807.819248220331 30.2536725177588 -549.993455716945</t>
  </si>
  <si>
    <t>-630.952842566635 26.4912869391328 -315.367892031424</t>
  </si>
  <si>
    <t>-796.00209421256 177.899732188007 -95.2513413997178</t>
  </si>
  <si>
    <t>-778.287060048997 180.490295496595 307.903852898731</t>
  </si>
  <si>
    <t>-855.681247661091 201.641494365854 748.67242206145</t>
  </si>
  <si>
    <t>-710.754266419274 220.134849083204 809.839867695115</t>
  </si>
  <si>
    <t>-686.128561692595 -4.53698517297084 306.450904774432</t>
  </si>
  <si>
    <t>-694.666467053767 -14.0741708483363 754.131139478016</t>
  </si>
  <si>
    <t>-593.259086072491 -110.372627479279 828.498040918546</t>
  </si>
  <si>
    <t>9763-20170724T105145.642303600.bin</t>
  </si>
  <si>
    <t>-773.263407314945 84.2558036791766 -92.5063760596238</t>
  </si>
  <si>
    <t>-794.531625310503 77.0602157256612 -206.137947361888</t>
  </si>
  <si>
    <t>-803.724014564468 71.5634855282294 -304.178407733983</t>
  </si>
  <si>
    <t>-808.988837868568 66.6052543097662 -392.981219237216</t>
  </si>
  <si>
    <t>-810.858096960719 61.6251390307266 -481.919129116123</t>
  </si>
  <si>
    <t>-809.909688477338 54.557284052159 -606.297356170718</t>
  </si>
  <si>
    <t>-776.408868965099 51.5253759828208 -682.281096061676</t>
  </si>
  <si>
    <t>-812.970739927915 85.2045351667093 -553.149651237106</t>
  </si>
  <si>
    <t>-817.057925637179 221.681246623103 -537.175272999889</t>
  </si>
  <si>
    <t>-717.854437966723 261.714930198289 -263.045468269368</t>
  </si>
  <si>
    <t>-477.303509327847 249.541507741724 -269.205922016409</t>
  </si>
  <si>
    <t>-807.683384409698 30.1303132950607 -549.979796838501</t>
  </si>
  <si>
    <t>-630.867346467599 26.4420162071042 -315.378718075581</t>
  </si>
  <si>
    <t>-795.873245769637 177.831773209145 -95.2524130283523</t>
  </si>
  <si>
    <t>-778.201852179988 180.40775511359 307.904845415944</t>
  </si>
  <si>
    <t>-855.652692602401 201.556898290387 748.655284461088</t>
  </si>
  <si>
    <t>-710.725768943034 220.053552137958 809.82199866221</t>
  </si>
  <si>
    <t>-686.122155958823 -4.6316394312837 306.459772715843</t>
  </si>
  <si>
    <t>-694.731663277257 -14.1685404273831 754.134323918374</t>
  </si>
  <si>
    <t>-593.157991655736 -110.297860474232 828.493395288456</t>
  </si>
  <si>
    <t>9763-20170724T105145.706863600.bin</t>
  </si>
  <si>
    <t>-773.073193121741 84.2400399920505 -92.5271773466934</t>
  </si>
  <si>
    <t>-794.332249235593 77.0420207972315 -206.160109066287</t>
  </si>
  <si>
    <t>-803.481695670096 71.5439319422433 -304.204602603478</t>
  </si>
  <si>
    <t>-808.693575149045 66.5845922145552 -393.010458845668</t>
  </si>
  <si>
    <t>-810.495813628316 61.6023741316824 -481.949559626452</t>
  </si>
  <si>
    <t>-809.438644988153 54.5304950073285 -606.326723727117</t>
  </si>
  <si>
    <t>-775.955539598823 51.4357808090365 -682.315886638357</t>
  </si>
  <si>
    <t>-812.535003766732 85.1805791533363 -553.182619293669</t>
  </si>
  <si>
    <t>-816.572646985095 221.665217388221 -537.238389551794</t>
  </si>
  <si>
    <t>-717.528996063587 261.667977612566 -263.046163669768</t>
  </si>
  <si>
    <t>-476.970688516374 249.61379605934 -269.151261412597</t>
  </si>
  <si>
    <t>-807.272808094933 30.1043971947311 -550.006461926606</t>
  </si>
  <si>
    <t>-630.541100457109 26.4436158033539 -315.373906875642</t>
  </si>
  <si>
    <t>-795.660050526662 177.796578763677 -95.2798353122803</t>
  </si>
  <si>
    <t>-778.062505182468 180.315031269729 307.880980358321</t>
  </si>
  <si>
    <t>-855.639109105752 201.516694852159 748.609347161632</t>
  </si>
  <si>
    <t>-710.744035383776 220.258242096088 809.777274403005</t>
  </si>
  <si>
    <t>-686.026076372087 -4.65810356252814 306.473067236517</t>
  </si>
  <si>
    <t>-694.713156354671 -14.0768875039207 754.138373571277</t>
  </si>
  <si>
    <t>-593.152748120779 -110.22315044624 828.493467218486</t>
  </si>
  <si>
    <t>9763-20170724T105145.742959200.bin</t>
  </si>
  <si>
    <t>-772.943070120298 84.2656602543441 -92.5391917590382</t>
  </si>
  <si>
    <t>-794.16459684895 77.0807108398665 -206.179985149688</t>
  </si>
  <si>
    <t>-803.28384476767 71.5909124149694 -304.227691184133</t>
  </si>
  <si>
    <t>-808.469231353108 66.6380583705836 -393.035608932823</t>
  </si>
  <si>
    <t>-810.245772411846 61.6613368671281 -481.975497466511</t>
  </si>
  <si>
    <t>-809.153933142066 54.5960377349488 -606.35268968432</t>
  </si>
  <si>
    <t>-775.626473581653 51.4781714000871 -682.321333361556</t>
  </si>
  <si>
    <t>-812.258474080319 85.2438953511578 -553.207878447943</t>
  </si>
  <si>
    <t>-816.242019430284 221.727066025818 -537.275399867215</t>
  </si>
  <si>
    <t>-717.137428671633 261.760640252253 -263.109758756818</t>
  </si>
  <si>
    <t>-476.573517190439 249.809232732106 -269.193002842978</t>
  </si>
  <si>
    <t>-807.010331403006 30.1663851802616 -550.033152508358</t>
  </si>
  <si>
    <t>-630.313958786041 26.5047916348697 -315.363421676952</t>
  </si>
  <si>
    <t>-795.481708277479 177.757630266275 -95.2989837754365</t>
  </si>
  <si>
    <t>-778.032092504228 180.277623408195 307.868246213009</t>
  </si>
  <si>
    <t>-855.607060488567 201.445435235541 748.590112469639</t>
  </si>
  <si>
    <t>-710.73913578054 220.387123617827 809.760196263357</t>
  </si>
  <si>
    <t>-685.967165076092 -4.56662455958281 306.466820626902</t>
  </si>
  <si>
    <t>-694.607519812915 -13.8556448215138 754.130106069333</t>
  </si>
  <si>
    <t>-593.386733638112 -110.342612702066 828.507113939749</t>
  </si>
  <si>
    <t>9763-20170724T105145.807158900.bin</t>
  </si>
  <si>
    <t>-772.880850621845 84.333597482547 -92.5590911826387</t>
  </si>
  <si>
    <t>-794.049937487683 77.1755799177788 -206.211476914339</t>
  </si>
  <si>
    <t>-803.140840585887 71.692668816986 -304.262174239257</t>
  </si>
  <si>
    <t>-808.308075613127 66.7399302389035 -393.070973429502</t>
  </si>
  <si>
    <t>-810.073892092663 61.7575903657823 -482.01085518746</t>
  </si>
  <si>
    <t>-808.974726325818 54.6783229291786 -606.387229327155</t>
  </si>
  <si>
    <t>-775.387279151019 51.5047919143285 -682.327042382242</t>
  </si>
  <si>
    <t>-812.070925774673 85.3333411004844 -553.246061078183</t>
  </si>
  <si>
    <t>-816.013280096359 221.821271950073 -537.337741534894</t>
  </si>
  <si>
    <t>-716.857948711054 261.943991362517 -263.203418238105</t>
  </si>
  <si>
    <t>-476.289215411059 250.050020815445 -269.207837771238</t>
  </si>
  <si>
    <t>-806.845854423663 30.25379199795 -550.064736679961</t>
  </si>
  <si>
    <t>-630.217432634006 26.3350749328004 -315.24828981607</t>
  </si>
  <si>
    <t>-795.359796416688 177.827156349521 -95.3153263617495</t>
  </si>
  <si>
    <t>-778.016273989794 180.27743688587 307.856946086327</t>
  </si>
  <si>
    <t>-855.613941116594 201.442677148895 748.572070144015</t>
  </si>
  <si>
    <t>-710.715750294077 220.141951382981 809.74491424025</t>
  </si>
  <si>
    <t>-685.977722111945 -4.66590841777474 306.455440239533</t>
  </si>
  <si>
    <t>-694.668922551089 -13.9244838486702 754.125043466492</t>
  </si>
  <si>
    <t>-593.148888137828 -110.108864941702 828.486161039765</t>
  </si>
  <si>
    <t>9763-20170724T105145.842252400.bin</t>
  </si>
  <si>
    <t>-772.82743258264 84.3824882488989 -92.5675272438605</t>
  </si>
  <si>
    <t>-793.962095493899 77.2406864187828 -206.227376391382</t>
  </si>
  <si>
    <t>-803.049821955409 71.7688425607373 -304.279065797473</t>
  </si>
  <si>
    <t>-808.224498133135 66.8250723651306 -393.087946094635</t>
  </si>
  <si>
    <t>-810.008257006221 61.8510381173394 -482.027892384152</t>
  </si>
  <si>
    <t>-808.94566821231 54.7830282893074 -606.40521815533</t>
  </si>
  <si>
    <t>-775.359882326241 51.5894184436029 -682.34484953578</t>
  </si>
  <si>
    <t>-812.019089114628 85.4338976712654 -553.260346042428</t>
  </si>
  <si>
    <t>-815.945652546087 221.920976920313 -537.369662844801</t>
  </si>
  <si>
    <t>-716.899776021175 262.123704156492 -263.207687866785</t>
  </si>
  <si>
    <t>-476.337029909381 250.067853041555 -269.136836896343</t>
  </si>
  <si>
    <t>-806.807521436684 30.3528214784767 -550.085599019964</t>
  </si>
  <si>
    <t>-630.346279116895 26.2546455860186 -315.177068128415</t>
  </si>
  <si>
    <t>-795.29782776882 177.885677119045 -95.3173319660064</t>
  </si>
  <si>
    <t>-778.017072705461 180.314113154283 307.857728092437</t>
  </si>
  <si>
    <t>-855.652169814934 201.509681005267 748.561705564569</t>
  </si>
  <si>
    <t>-710.719848835113 219.929127089647 809.738718299021</t>
  </si>
  <si>
    <t>-686.013039066476 -4.66275922237105 306.454337071242</t>
  </si>
  <si>
    <t>-694.721487965351 -13.993171970613 754.130809776144</t>
  </si>
  <si>
    <t>-593.184167659223 -110.162086050997 828.488290222425</t>
  </si>
  <si>
    <t>9763-20170724T105145.913347400.bin</t>
  </si>
  <si>
    <t>-772.544286664651 84.5162101551407 -92.6012730363747</t>
  </si>
  <si>
    <t>-793.572463854749 77.4023854073826 -206.28257031301</t>
  </si>
  <si>
    <t>-802.620265749936 71.9381969119975 -304.338407471073</t>
  </si>
  <si>
    <t>-807.780095815244 66.9958550474958 -393.148207940404</t>
  </si>
  <si>
    <t>-809.570557613637 62.0173490606865 -482.087810848074</t>
  </si>
  <si>
    <t>-808.539776803664 54.9369600855398 -606.464700416401</t>
  </si>
  <si>
    <t>-774.962392547503 51.7022867310507 -682.406334663501</t>
  </si>
  <si>
    <t>-811.573455660016 85.5954386426993 -553.321891470518</t>
  </si>
  <si>
    <t>-815.381669683379 222.097665742626 -537.478232530432</t>
  </si>
  <si>
    <t>-716.521117810936 262.335469562554 -263.254312632088</t>
  </si>
  <si>
    <t>-475.967934211896 249.943548817226 -268.867271164265</t>
  </si>
  <si>
    <t>-806.413303804895 30.5096946814167 -550.143279002648</t>
  </si>
  <si>
    <t>-630.169079549198 26.2709759500608 -315.018347472842</t>
  </si>
  <si>
    <t>-794.961112005849 177.925404247141 -95.3510826358412</t>
  </si>
  <si>
    <t>-778.037765468579 180.390901785607 307.838921391486</t>
  </si>
  <si>
    <t>-855.679615212376 201.551764480776 748.541584241595</t>
  </si>
  <si>
    <t>-710.751224192438 220.008014064056 809.717064575404</t>
  </si>
  <si>
    <t>-685.895997702951 -4.59949333284771 306.451207609591</t>
  </si>
  <si>
    <t>-694.626218038699 -13.7745955578082 754.121617969889</t>
  </si>
  <si>
    <t>-593.440174213747 -110.298730895437 828.497423454454</t>
  </si>
  <si>
    <t>9763-20170724T105145.945431700.bin</t>
  </si>
  <si>
    <t>-772.362337892232 84.5367980747274 -92.6158307871808</t>
  </si>
  <si>
    <t>-793.33157186398 77.4402840380108 -206.309018227907</t>
  </si>
  <si>
    <t>-802.376476295888 71.9683202530339 -304.364766818545</t>
  </si>
  <si>
    <t>-807.553424474439 67.0103214847534 -393.172731650873</t>
  </si>
  <si>
    <t>-809.38098204908 62.0078676883827 -482.110087177791</t>
  </si>
  <si>
    <t>-808.423281925 54.8854052563886 -606.485350918373</t>
  </si>
  <si>
    <t>-774.841023306255 51.6287334445201 -682.423686109086</t>
  </si>
  <si>
    <t>-811.411449366159 85.5632512237137 -553.351080656823</t>
  </si>
  <si>
    <t>-815.147192729074 222.070988648576 -537.546009801223</t>
  </si>
  <si>
    <t>-716.355444766597 262.315140934889 -263.298336819766</t>
  </si>
  <si>
    <t>-475.81583675176 249.599747258776 -268.769380292625</t>
  </si>
  <si>
    <t>-806.278197015642 30.4759826390452 -550.156829295071</t>
  </si>
  <si>
    <t>-630.029820342476 26.2071051764972 -314.976202917167</t>
  </si>
  <si>
    <t>-794.745787936711 177.873399195268 -95.3663173498192</t>
  </si>
  <si>
    <t>-777.959661058676 180.339712792379 307.829500090694</t>
  </si>
  <si>
    <t>-855.574258450501 201.315670224713 748.530990101624</t>
  </si>
  <si>
    <t>-710.709765906985 220.305509988747 809.694566007981</t>
  </si>
  <si>
    <t>-685.838886862903 -4.65959923160744 306.446891716927</t>
  </si>
  <si>
    <t>-694.623800706255 -13.7594436586944 754.114733827519</t>
  </si>
  <si>
    <t>-593.334136864546 -110.176338984534 828.488758309671</t>
  </si>
  <si>
    <t>9763-20170724T105146.011555200.bin</t>
  </si>
  <si>
    <t>-771.939299346341 84.7554680795563 -92.6291088753255</t>
  </si>
  <si>
    <t>-792.81076354783 77.7148059028204 -206.343814920163</t>
  </si>
  <si>
    <t>-801.888831002 72.2366987581763 -304.39605547875</t>
  </si>
  <si>
    <t>-807.144229355261 67.2537319114392 -393.19810373723</t>
  </si>
  <si>
    <t>-809.099244262398 62.2081383230934 -482.130318994886</t>
  </si>
  <si>
    <t>-808.371710102351 55.007264748954 -606.502468121891</t>
  </si>
  <si>
    <t>-774.832708843853 51.7109979689881 -682.458485083865</t>
  </si>
  <si>
    <t>-811.246432970687 85.7199645777307 -553.382054160428</t>
  </si>
  <si>
    <t>-814.842489062308 222.238645008235 -537.675844416263</t>
  </si>
  <si>
    <t>-716.091545117702 262.694710397644 -263.444747929395</t>
  </si>
  <si>
    <t>-475.578683779464 249.371594444049 -268.632322046008</t>
  </si>
  <si>
    <t>-806.137372489762 30.6318952950292 -550.162868239651</t>
  </si>
  <si>
    <t>-629.656601271716 26.2149614582052 -314.943129246819</t>
  </si>
  <si>
    <t>-794.29481510001 178.124885686136 -95.3741028752273</t>
  </si>
  <si>
    <t>-777.794305755521 180.49566511566 307.834026949927</t>
  </si>
  <si>
    <t>-855.666130684165 201.503298266897 748.507054597938</t>
  </si>
  <si>
    <t>-710.733274224718 219.961235232 809.671123766011</t>
  </si>
  <si>
    <t>-685.756560193885 -4.51949411568899 306.446642711315</t>
  </si>
  <si>
    <t>-694.543362569932 -13.5943266578035 754.106777346175</t>
  </si>
  <si>
    <t>-593.668697108877 -110.421424464266 828.51170081399</t>
  </si>
  <si>
    <t>9763-20170724T105146.043644400.bin</t>
  </si>
  <si>
    <t>-771.738481085331 84.8011276911177 -92.6360798941507</t>
  </si>
  <si>
    <t>-792.595569237832 77.7824731571072 -206.354818967301</t>
  </si>
  <si>
    <t>-801.72876906276 72.2889651243447 -304.400969478564</t>
  </si>
  <si>
    <t>-807.062091791854 67.2801217662518 -393.196975177902</t>
  </si>
  <si>
    <t>-809.123273048803 62.1969637169286 -482.124685869834</t>
  </si>
  <si>
    <t>-808.57410939462 54.9322258583829 -606.49405264851</t>
  </si>
  <si>
    <t>-775.105210740858 51.5955523109164 -682.479133821579</t>
  </si>
  <si>
    <t>-811.358902103064 85.6736085776172 -553.385423057793</t>
  </si>
  <si>
    <t>-814.881977626009 222.213718623298 -537.748020043356</t>
  </si>
  <si>
    <t>-716.161320905086 262.723603663433 -263.513758029779</t>
  </si>
  <si>
    <t>-475.648134339867 249.386296559697 -268.654568232941</t>
  </si>
  <si>
    <t>-806.272575403216 30.5846077447768 -550.145137948758</t>
  </si>
  <si>
    <t>-629.639677948864 26.138951527312 -314.940765389113</t>
  </si>
  <si>
    <t>-794.019793160233 178.155875539759 -95.3713348798367</t>
  </si>
  <si>
    <t>-777.677234689548 180.446127281004 307.843730183833</t>
  </si>
  <si>
    <t>-855.629753790075 201.416935831473 748.494360233327</t>
  </si>
  <si>
    <t>-710.716163301134 220.037008941886 809.655289591227</t>
  </si>
  <si>
    <t>-685.718131884757 -4.62372146981716 306.443262557155</t>
  </si>
  <si>
    <t>-694.637868320492 -13.7503124458362 754.114223566898</t>
  </si>
  <si>
    <t>-593.668928595211 -110.482692467956 828.514380583517</t>
  </si>
  <si>
    <t>9763-20170724T105146.109537000.bin</t>
  </si>
  <si>
    <t>-771.434164958825 84.990013370842 -92.6399617226134</t>
  </si>
  <si>
    <t>-792.274539959625 77.9947188760443 -206.36303177496</t>
  </si>
  <si>
    <t>-801.522019531697 72.4867467602087 -304.3977494611</t>
  </si>
  <si>
    <t>-807.011049195 67.4533503481082 -393.182827733501</t>
  </si>
  <si>
    <t>-809.281166653609 62.3352884631172 -482.103607408436</t>
  </si>
  <si>
    <t>-809.079595834051 55.0122642457391 -606.470524018451</t>
  </si>
  <si>
    <t>-775.796043580258 51.5781653443105 -682.532643715611</t>
  </si>
  <si>
    <t>-811.689006708279 85.7808764601834 -553.368809617098</t>
  </si>
  <si>
    <t>-815.103665769173 222.32443883389 -537.855016757372</t>
  </si>
  <si>
    <t>-716.252357039062 263.154354613787 -263.715238444296</t>
  </si>
  <si>
    <t>-475.73314053969 249.848833341764 -268.641019021587</t>
  </si>
  <si>
    <t>-806.64756604568 30.6884948230627 -550.116610328384</t>
  </si>
  <si>
    <t>-629.719422098573 26.2510674547777 -315.005716304542</t>
  </si>
  <si>
    <t>-793.654012656202 178.340421384479 -95.3666287202727</t>
  </si>
  <si>
    <t>-777.392017309628 180.441287274896 307.852698035096</t>
  </si>
  <si>
    <t>-855.642973582095 201.431687227886 748.46082405118</t>
  </si>
  <si>
    <t>-710.720470302063 219.977014704846 809.622991772299</t>
  </si>
  <si>
    <t>-685.550584363428 -4.66067910202514 306.452177810223</t>
  </si>
  <si>
    <t>-694.641270118461 -13.7459375362553 754.109218569118</t>
  </si>
  <si>
    <t>-593.584747075674 -110.383529336326 828.513825346612</t>
  </si>
  <si>
    <t>9763-20170724T105146.143617100.bin</t>
  </si>
  <si>
    <t>-771.222083077984 84.9935853621876 -92.6412283504667</t>
  </si>
  <si>
    <t>-792.06624380922 78.0192727823451 -206.364922697166</t>
  </si>
  <si>
    <t>-801.358031971092 72.5174516044083 -304.395920847263</t>
  </si>
  <si>
    <t>-806.903973969388 67.4858215294837 -393.177465226688</t>
  </si>
  <si>
    <t>-809.248088886026 62.3661680062733 -482.096231297359</t>
  </si>
  <si>
    <t>-809.167631294624 55.0375215361457 -606.462932818693</t>
  </si>
  <si>
    <t>-775.968337382076 51.5571633957793 -682.559710457779</t>
  </si>
  <si>
    <t>-811.721847273417 85.808963770631 -553.360161621901</t>
  </si>
  <si>
    <t>-815.115853069968 222.361541544412 -537.888729937132</t>
  </si>
  <si>
    <t>-716.1442145633 263.386963135001 -263.821707538017</t>
  </si>
  <si>
    <t>-475.611945760513 250.291872801739 -268.684904192016</t>
  </si>
  <si>
    <t>-806.684223025988 30.7160388823922 -550.110381520558</t>
  </si>
  <si>
    <t>-629.665466061848 26.2366398447477 -315.064552415996</t>
  </si>
  <si>
    <t>-793.389382635035 178.318090651426 -95.354865062764</t>
  </si>
  <si>
    <t>-777.225402381327 180.389275510207 307.868550071872</t>
  </si>
  <si>
    <t>-855.614628991878 201.368673619394 748.437874958018</t>
  </si>
  <si>
    <t>-710.712770500962 220.070870765592 809.601126865497</t>
  </si>
  <si>
    <t>-685.398942194648 -4.7251944256243 306.454257623312</t>
  </si>
  <si>
    <t>-694.648685151622 -13.7558897257416 754.108521721045</t>
  </si>
  <si>
    <t>-593.621956753278 -110.421171502018 828.517512556322</t>
  </si>
  <si>
    <t>9763-20170724T105146.209785000.bin</t>
  </si>
  <si>
    <t>-770.748099044582 85.0429526901348 -92.6665709250905</t>
  </si>
  <si>
    <t>-791.584188059212 78.0824851291925 -206.392840203586</t>
  </si>
  <si>
    <t>-800.994683529832 72.5991403499665 -304.413421511906</t>
  </si>
  <si>
    <t>-806.698484943028 67.5890153074947 -393.186187261333</t>
  </si>
  <si>
    <t>-809.25116773433 62.4970633453408 -482.100663151576</t>
  </si>
  <si>
    <t>-809.515043222493 55.2153357044419 -606.46991814098</t>
  </si>
  <si>
    <t>-776.488271534133 51.6950350197192 -682.63996536157</t>
  </si>
  <si>
    <t>-811.925368740498 85.9664578526795 -553.348586536478</t>
  </si>
  <si>
    <t>-815.27681804241 222.521586424054 -537.878826332906</t>
  </si>
  <si>
    <t>-716.141989761676 263.442630646166 -263.85515570853</t>
  </si>
  <si>
    <t>-475.589661243462 250.729853135266 -268.738405253367</t>
  </si>
  <si>
    <t>-806.872372109979 30.8728563191869 -550.133659971575</t>
  </si>
  <si>
    <t>-629.600606618586 26.3685813757456 -315.138705561004</t>
  </si>
  <si>
    <t>-792.937565427773 178.395039426478 -95.351271643995</t>
  </si>
  <si>
    <t>-776.920051621199 180.396303230562 307.878296322324</t>
  </si>
  <si>
    <t>-855.62324406681 201.377402082628 748.398605303224</t>
  </si>
  <si>
    <t>-710.722839189232 220.102607397503 809.5586774287</t>
  </si>
  <si>
    <t>-685.004603685607 -4.75529676028236 306.443412583327</t>
  </si>
  <si>
    <t>-694.585038114061 -13.6339502562098 754.084970841408</t>
  </si>
  <si>
    <t>-593.57257392545 -110.30546497161 828.505119843008</t>
  </si>
  <si>
    <t>9763-20170724T105146.243875000.bin</t>
  </si>
  <si>
    <t>-770.520066773425 85.0828877014999 -92.6795458180392</t>
  </si>
  <si>
    <t>-791.330407590167 78.1409054155508 -206.411564590486</t>
  </si>
  <si>
    <t>-800.789506629627 72.6758054052859 -304.42832716033</t>
  </si>
  <si>
    <t>-806.565912110043 67.6846103893761 -393.197551893441</t>
  </si>
  <si>
    <t>-809.219166641223 62.6148358227342 -482.110398949637</t>
  </si>
  <si>
    <t>-809.653849492529 55.3682653985682 -606.481263735241</t>
  </si>
  <si>
    <t>-776.700304544927 51.8551658601434 -682.683260933479</t>
  </si>
  <si>
    <t>-812.001080238488 86.1034386997985 -553.348063182165</t>
  </si>
  <si>
    <t>-815.390188234408 222.650893846057 -537.853463163854</t>
  </si>
  <si>
    <t>-716.215503909004 263.519148182674 -263.836372092333</t>
  </si>
  <si>
    <t>-475.654563903612 250.976503632209 -268.736049618441</t>
  </si>
  <si>
    <t>-806.924170660657 31.0107343260188 -550.155620161714</t>
  </si>
  <si>
    <t>-629.537184422717 26.6073020467061 -315.17839430829</t>
  </si>
  <si>
    <t>-792.688382288672 178.469054325544 -95.3598917797638</t>
  </si>
  <si>
    <t>-776.871967001555 180.461534344275 307.877650585981</t>
  </si>
  <si>
    <t>-855.66335864002 201.462966741741 748.378071381733</t>
  </si>
  <si>
    <t>-710.724819743094 219.876511859507 809.541941336514</t>
  </si>
  <si>
    <t>-684.831195794533 -4.75115521880116 306.428882768098</t>
  </si>
  <si>
    <t>-694.589068242239 -13.6400955250267 754.074555559599</t>
  </si>
  <si>
    <t>-593.56184462896 -110.291560995936 828.501032162624</t>
  </si>
  <si>
    <t>9763-20170724T105146.312611000.bin</t>
  </si>
  <si>
    <t>-770.079306907637 85.1514449280908 -92.6953988821946</t>
  </si>
  <si>
    <t>-790.846879850401 78.2211291997951 -206.435916840358</t>
  </si>
  <si>
    <t>-800.362853860199 72.7909238993659 -304.449344653723</t>
  </si>
  <si>
    <t>-806.227851069055 67.8426016795095 -393.215054217829</t>
  </si>
  <si>
    <t>-809.006920157394 62.8284436334745 -482.127184165456</t>
  </si>
  <si>
    <t>-809.655947010769 55.6740975522314 -606.502585132596</t>
  </si>
  <si>
    <t>-776.821140479389 52.2277453394754 -682.758877004577</t>
  </si>
  <si>
    <t>-811.940259933722 86.3672603802827 -553.342089305875</t>
  </si>
  <si>
    <t>-815.428057992265 222.907008618753 -537.79290312617</t>
  </si>
  <si>
    <t>-716.261444340246 263.764419354724 -263.771233350846</t>
  </si>
  <si>
    <t>-475.678722953849 251.579186133739 -268.499691237556</t>
  </si>
  <si>
    <t>-806.800484071177 31.2775101691975 -550.200054483542</t>
  </si>
  <si>
    <t>-629.261566633251 27.0258153658565 -315.232941359999</t>
  </si>
  <si>
    <t>-792.249143090246 178.441749444551 -95.3463494663278</t>
  </si>
  <si>
    <t>-776.527102124475 180.438168348639 307.894883139956</t>
  </si>
  <si>
    <t>-855.644427874571 201.365459620616 748.343021365317</t>
  </si>
  <si>
    <t>-710.726181100277 220.006904056547 809.486111301499</t>
  </si>
  <si>
    <t>-684.581673511557 -4.81349181027417 306.421624524017</t>
  </si>
  <si>
    <t>-694.627206786167 -13.7038730759703 754.070740474541</t>
  </si>
  <si>
    <t>-593.680582768786 -110.432665866318 828.505888227295</t>
  </si>
  <si>
    <t>9763-20170724T105146.341681900.bin</t>
  </si>
  <si>
    <t>-769.903061536705 85.1744052462152 -92.6850735728085</t>
  </si>
  <si>
    <t>-790.662758878974 78.2571044011463 -206.427833891645</t>
  </si>
  <si>
    <t>-800.20655655884 72.854767274292 -304.439992351329</t>
  </si>
  <si>
    <t>-806.11041488563 67.9394556735092 -393.205027692514</t>
  </si>
  <si>
    <t>-808.942016390437 62.9667634538303 -482.117800473483</t>
  </si>
  <si>
    <t>-809.678335011979 55.8800048200233 -606.496566273736</t>
  </si>
  <si>
    <t>-776.881976228392 52.4866944282771 -682.771747633608</t>
  </si>
  <si>
    <t>-811.946647988728 86.5422500581658 -553.317669765532</t>
  </si>
  <si>
    <t>-815.521969102081 223.082691582142 -537.728910071385</t>
  </si>
  <si>
    <t>-716.381866585062 263.931894758852 -263.69658343624</t>
  </si>
  <si>
    <t>-475.784196039373 251.975507780209 -268.236760101512</t>
  </si>
  <si>
    <t>-806.76195227127 31.4547729524099 -550.209515871785</t>
  </si>
  <si>
    <t>-629.217706133563 27.2560234833527 -315.217123784855</t>
  </si>
  <si>
    <t>-792.091884046445 178.4153931196 -95.3244433973794</t>
  </si>
  <si>
    <t>-776.342730423673 180.388933803596 307.915850518064</t>
  </si>
  <si>
    <t>-855.618243439241 201.262097810597 748.326585076173</t>
  </si>
  <si>
    <t>-710.70552180053 219.996824622257 809.454402916819</t>
  </si>
  <si>
    <t>-684.471336029955 -4.79360775657301 306.423087250253</t>
  </si>
  <si>
    <t>-694.563496303302 -13.5797419451317 754.068767576135</t>
  </si>
  <si>
    <t>-593.730963120365 -110.425998547382 828.506254520736</t>
  </si>
  <si>
    <t>9763-20170724T105146.413885900.bin</t>
  </si>
  <si>
    <t>-769.686132209602 85.0205502130477 -92.6807115428616</t>
  </si>
  <si>
    <t>-790.420806589152 78.1193586007221 -206.42901582854</t>
  </si>
  <si>
    <t>-799.996928986857 72.7501292299273 -304.439875566545</t>
  </si>
  <si>
    <t>-805.951031813277 67.8727945583355 -393.203593616338</t>
  </si>
  <si>
    <t>-808.854181057448 62.9476590530512 -482.116737842456</t>
  </si>
  <si>
    <t>-809.712093866833 55.937699031821 -606.498994359523</t>
  </si>
  <si>
    <t>-776.942738682484 52.6329491521742 -682.789689299799</t>
  </si>
  <si>
    <t>-811.963113287195 86.5638295347942 -553.298560969025</t>
  </si>
  <si>
    <t>-815.687160284584 223.085937801591 -537.635613238298</t>
  </si>
  <si>
    <t>-716.86380900144 264.064131717717 -263.507885768441</t>
  </si>
  <si>
    <t>-476.254933853739 252.225008068795 -267.7552716588</t>
  </si>
  <si>
    <t>-806.705828466563 31.4810739438035 -550.230446215756</t>
  </si>
  <si>
    <t>-629.134231623707 27.3842504284962 -315.190304162125</t>
  </si>
  <si>
    <t>-791.840065326462 178.246218517281 -95.3168334360149</t>
  </si>
  <si>
    <t>-776.268522043014 180.256570376896 307.930234156948</t>
  </si>
  <si>
    <t>-855.632790241573 201.228965920244 748.292034393595</t>
  </si>
  <si>
    <t>-710.72817382601 220.077715349666 809.404034160806</t>
  </si>
  <si>
    <t>-684.317139027223 -4.93379407075895 306.418738949316</t>
  </si>
  <si>
    <t>-694.624064273681 -13.6981852737463 754.070369634401</t>
  </si>
  <si>
    <t>-593.727397210948 -110.481575206272 828.502255787032</t>
  </si>
  <si>
    <t>9763-20170724T105146.440959100.bin</t>
  </si>
  <si>
    <t>-769.603796265066 84.9524003527579 -92.6845517713609</t>
  </si>
  <si>
    <t>-790.341569584189 78.0457771601077 -206.431943179172</t>
  </si>
  <si>
    <t>-799.940476409996 72.6812253583462 -304.440776969798</t>
  </si>
  <si>
    <t>-805.923420678648 67.8119827394733 -393.203073867157</t>
  </si>
  <si>
    <t>-808.863119558072 62.8991241717592 -482.115729390168</t>
  </si>
  <si>
    <t>-809.780341270354 55.9110560557365 -606.498769378845</t>
  </si>
  <si>
    <t>-777.017480682051 52.6441474437438 -682.793826605444</t>
  </si>
  <si>
    <t>-812.019963682654 86.5264068274967 -553.291751107299</t>
  </si>
  <si>
    <t>-815.812245644039 223.044500082 -537.600540837896</t>
  </si>
  <si>
    <t>-717.178908095324 264.100433543902 -263.416266799485</t>
  </si>
  <si>
    <t>-476.567995806671 252.198227978544 -267.366138955701</t>
  </si>
  <si>
    <t>-806.733406185448 31.4457632253491 -550.236073620021</t>
  </si>
  <si>
    <t>-629.178173094264 27.3951576722966 -315.186347022584</t>
  </si>
  <si>
    <t>-791.752991374785 178.14669974558 -95.315002919789</t>
  </si>
  <si>
    <t>-776.219864400819 180.199115287067 307.933296525679</t>
  </si>
  <si>
    <t>-855.607508434715 201.147931441293 748.276390396245</t>
  </si>
  <si>
    <t>-710.720602792566 220.148171478682 809.383206994941</t>
  </si>
  <si>
    <t>-684.242702824612 -5.04972395731693 306.411515017482</t>
  </si>
  <si>
    <t>-694.630312301413 -13.7277649470916 754.061031571083</t>
  </si>
  <si>
    <t>-593.46420182889 -110.236168074113 828.484597807874</t>
  </si>
  <si>
    <t>9763-20170724T105146.511023500.bin</t>
  </si>
  <si>
    <t>-769.518873844338 84.9484638502111 -92.6957924819785</t>
  </si>
  <si>
    <t>-790.260155381534 78.0347368966823 -206.44209370794</t>
  </si>
  <si>
    <t>-799.901689259611 72.6907505208767 -304.447985152552</t>
  </si>
  <si>
    <t>-805.938324901729 67.8506492483555 -393.208139895492</t>
  </si>
  <si>
    <t>-808.947085821133 62.9782373183 -482.120713604011</t>
  </si>
  <si>
    <t>-809.976537370651 56.0586766475435 -606.506758211647</t>
  </si>
  <si>
    <t>-777.219227676647 52.8745154338189 -682.807673501065</t>
  </si>
  <si>
    <t>-812.191826477354 86.6426670840435 -553.280397826877</t>
  </si>
  <si>
    <t>-816.081805546095 223.150179584404 -537.532855399244</t>
  </si>
  <si>
    <t>-717.861572328838 264.313777292681 -263.216426351477</t>
  </si>
  <si>
    <t>-477.261106802415 252.068170386917 -266.733459484749</t>
  </si>
  <si>
    <t>-806.8552093776 31.5648248396571 -550.260748658062</t>
  </si>
  <si>
    <t>-629.296698220257 27.6162787704131 -315.179173014768</t>
  </si>
  <si>
    <t>-791.725509556004 178.191218655099 -95.3183940002434</t>
  </si>
  <si>
    <t>-776.201203564609 180.278888763805 307.930025026822</t>
  </si>
  <si>
    <t>-855.705298740299 201.322647362102 748.239048245922</t>
  </si>
  <si>
    <t>-710.781632615056 220.014433596249 809.354061460548</t>
  </si>
  <si>
    <t>-684.108410354094 -5.04015746073264 306.388994879408</t>
  </si>
  <si>
    <t>-694.600632953813 -13.692993680831 754.046110455358</t>
  </si>
  <si>
    <t>-593.543690048263 -110.308738652585 828.478618351748</t>
  </si>
  <si>
    <t>9763-20170724T105146.544111000.bin</t>
  </si>
  <si>
    <t>-769.50371795917 84.9488012624263 -92.6951084915722</t>
  </si>
  <si>
    <t>-790.252596766142 78.0347713195961 -206.440037223022</t>
  </si>
  <si>
    <t>-799.907117717013 72.7004586418627 -304.445100117631</t>
  </si>
  <si>
    <t>-805.957792021773 67.8731868387397 -393.205077510547</t>
  </si>
  <si>
    <t>-808.982621611785 63.0179665818009 -482.117998151186</t>
  </si>
  <si>
    <t>-810.037157291034 56.1275192028654 -606.505465331895</t>
  </si>
  <si>
    <t>-777.268749846656 52.9742477409536 -682.80300178835</t>
  </si>
  <si>
    <t>-812.25334275951 86.6978197194794 -553.271530736491</t>
  </si>
  <si>
    <t>-816.185676001786 223.202376526946 -537.492135266615</t>
  </si>
  <si>
    <t>-718.226309377272 264.30398465309 -263.072952996954</t>
  </si>
  <si>
    <t>-477.639842797354 251.787428232644 -266.594856250368</t>
  </si>
  <si>
    <t>-806.892712641551 31.6215903271582 -550.265955580517</t>
  </si>
  <si>
    <t>-629.283242545899 27.659007529046 -315.147697379762</t>
  </si>
  <si>
    <t>-791.69057806717 178.162103716387 -95.3123671411722</t>
  </si>
  <si>
    <t>-776.135981261815 180.234060099934 307.935010512977</t>
  </si>
  <si>
    <t>-855.643778814522 201.158542620466 748.22262339013</t>
  </si>
  <si>
    <t>-710.733615261963 219.959773425291 809.336238448509</t>
  </si>
  <si>
    <t>-684.07187581112 -5.04529888212187 306.384667075198</t>
  </si>
  <si>
    <t>-694.643706222048 -13.7820806633833 754.041168943946</t>
  </si>
  <si>
    <t>-593.554399888343 -110.365927820114 828.470996017295</t>
  </si>
  <si>
    <t>9763-20170724T105146.614239800.bin</t>
  </si>
  <si>
    <t>-769.554188699298 84.9968955515012 -92.7058818542747</t>
  </si>
  <si>
    <t>-790.30829747191 78.0842747859633 -206.449929151931</t>
  </si>
  <si>
    <t>-799.94311838188 72.7795470038907 -304.458601908261</t>
  </si>
  <si>
    <t>-805.966153369701 67.9900154261868 -393.222421308166</t>
  </si>
  <si>
    <t>-808.952760193017 63.1837410045391 -482.139338596797</t>
  </si>
  <si>
    <t>-809.9424196038 56.3729217707159 -606.531627519711</t>
  </si>
  <si>
    <t>-777.133868004153 53.2644020401185 -682.813820751792</t>
  </si>
  <si>
    <t>-812.201137228535 86.9076359922574 -553.279087911183</t>
  </si>
  <si>
    <t>-816.176956006222 223.401292125419 -537.413601839693</t>
  </si>
  <si>
    <t>-718.740373641036 264.42055086811 -262.796246094193</t>
  </si>
  <si>
    <t>-478.204459650709 251.021050617199 -266.513532582077</t>
  </si>
  <si>
    <t>-806.812630488044 31.8323514559604 -550.306399182023</t>
  </si>
  <si>
    <t>-629.182181072407 27.7738189845961 -315.195206569764</t>
  </si>
  <si>
    <t>-791.773788007054 178.215269519729 -95.3340329849103</t>
  </si>
  <si>
    <t>-776.135559298207 180.18669832076 307.910616111841</t>
  </si>
  <si>
    <t>-855.644952399743 201.121798187306 748.19911754269</t>
  </si>
  <si>
    <t>-710.767418163365 220.178107288886 809.31107443497</t>
  </si>
  <si>
    <t>-684.028368408213 -4.96120349740431 306.361850332225</t>
  </si>
  <si>
    <t>-694.550842569952 -13.6406286859872 754.0171822688</t>
  </si>
  <si>
    <t>-593.441618566512 -110.200207392949 828.45157798228</t>
  </si>
  <si>
    <t>9763-20170724T105146.642318000.bin</t>
  </si>
  <si>
    <t>-769.663448294662 85.0632757140872 -92.7128481262708</t>
  </si>
  <si>
    <t>-790.411949651423 78.1617040245812 -206.458582904857</t>
  </si>
  <si>
    <t>-800.02819145737 72.866584271507 -304.469483407086</t>
  </si>
  <si>
    <t>-806.028669721403 68.0858963693411 -393.235406518913</t>
  </si>
  <si>
    <t>-808.987244144343 63.287808340473 -482.153869720508</t>
  </si>
  <si>
    <t>-809.931718873999 56.4882575044567 -606.547035145399</t>
  </si>
  <si>
    <t>-777.095687844348 53.3941060933682 -682.817954679912</t>
  </si>
  <si>
    <t>-812.209264516224 87.0182880544717 -553.292623670068</t>
  </si>
  <si>
    <t>-816.161649192786 223.508172066282 -537.411980807707</t>
  </si>
  <si>
    <t>-718.970803871297 264.458984411077 -262.697252306667</t>
  </si>
  <si>
    <t>-478.463266378768 250.60733768835 -266.591401427998</t>
  </si>
  <si>
    <t>-806.822746072967 31.9425066037047 -550.322907863068</t>
  </si>
  <si>
    <t>-629.158594836152 27.8549893972624 -315.183472722311</t>
  </si>
  <si>
    <t>-791.881596332685 178.310486744504 -95.3447473825837</t>
  </si>
  <si>
    <t>-776.272255719075 180.290862344352 307.900998177639</t>
  </si>
  <si>
    <t>-855.673190057527 201.165365028719 748.202897016563</t>
  </si>
  <si>
    <t>-710.781690790214 220.095984524138 809.320721733479</t>
  </si>
  <si>
    <t>-684.060818863415 -4.94697795343086 306.350174476459</t>
  </si>
  <si>
    <t>-694.605173866977 -13.7428103700115 754.012640722165</t>
  </si>
  <si>
    <t>-593.235940966782 -110.039986510537 828.433190881924</t>
  </si>
  <si>
    <t>9763-20170724T105146.708513100.bin</t>
  </si>
  <si>
    <t>-769.812487455795 85.3511241139815 -92.7157669734835</t>
  </si>
  <si>
    <t>-790.58005180898 78.4455603655206 -206.457683659767</t>
  </si>
  <si>
    <t>-800.194919404317 73.1569140983497 -304.469156755874</t>
  </si>
  <si>
    <t>-806.186621477204 68.385625363077 -393.23610470862</t>
  </si>
  <si>
    <t>-809.128907360351 63.6008424101583 -482.155706240763</t>
  </si>
  <si>
    <t>-810.042485465163 56.8231831838705 -606.550363511674</t>
  </si>
  <si>
    <t>-777.15519429673 53.7544195870005 -682.800113011425</t>
  </si>
  <si>
    <t>-812.32617431117 87.3443892312339 -553.291245611426</t>
  </si>
  <si>
    <t>-816.251124075738 223.831837183275 -537.35957493077</t>
  </si>
  <si>
    <t>-719.196131308586 264.724976211892 -262.588230653083</t>
  </si>
  <si>
    <t>-478.72717939143 250.345073528447 -266.925093139532</t>
  </si>
  <si>
    <t>-806.954833795979 32.2668347396821 -550.329753209593</t>
  </si>
  <si>
    <t>-629.225813023568 28.0395871549151 -315.130526688093</t>
  </si>
  <si>
    <t>-791.997756085861 178.540060502219 -95.3516077552125</t>
  </si>
  <si>
    <t>-776.428736191941 180.479370141135 307.895877225279</t>
  </si>
  <si>
    <t>-855.614986845491 201.010942199175 748.235575432544</t>
  </si>
  <si>
    <t>-710.74914403401 220.133788442819 809.354399581036</t>
  </si>
  <si>
    <t>-684.046816027286 -4.69530563473541 306.328390842293</t>
  </si>
  <si>
    <t>-694.489556891744 -13.5367711384192 753.992482965915</t>
  </si>
  <si>
    <t>-593.601237672429 -110.321114687017 828.434903401263</t>
  </si>
  <si>
    <t>9763-20170724T105146.742607000.bin</t>
  </si>
  <si>
    <t>-770.013025704577 85.4225826341176 -92.706655423492</t>
  </si>
  <si>
    <t>-790.798043656207 78.5170183854016 -206.445457511799</t>
  </si>
  <si>
    <t>-800.419087889882 73.2314614667882 -304.456423655186</t>
  </si>
  <si>
    <t>-806.412746791097 68.4639245018282 -393.22351700165</t>
  </si>
  <si>
    <t>-809.35333517322 63.6838720002875 -482.143415510603</t>
  </si>
  <si>
    <t>-810.260876481051 56.9138182552172 -606.538469388747</t>
  </si>
  <si>
    <t>-777.352530464512 53.8563061627988 -682.779821321909</t>
  </si>
  <si>
    <t>-812.539974770497 87.4325250544939 -553.277618164383</t>
  </si>
  <si>
    <t>-816.431168626951 223.919870066077 -537.311691949756</t>
  </si>
  <si>
    <t>-719.317704439246 264.789838969842 -262.55758654411</t>
  </si>
  <si>
    <t>-478.863039899153 250.237767985933 -267.103197270732</t>
  </si>
  <si>
    <t>-807.18299761724 32.3535068441277 -550.319131392073</t>
  </si>
  <si>
    <t>-629.422603688513 28.0306217575214 -315.144324447368</t>
  </si>
  <si>
    <t>-792.214565975534 178.676141718894 -95.345948839542</t>
  </si>
  <si>
    <t>-776.506499550119 180.523407360848 307.896541974849</t>
  </si>
  <si>
    <t>-855.641231525768 201.055977893152 748.250780255784</t>
  </si>
  <si>
    <t>-710.77227551001 220.12549853469 809.378662828923</t>
  </si>
  <si>
    <t>-684.217434138333 -4.70379810563031 306.329000739359</t>
  </si>
  <si>
    <t>-694.629103047399 -13.7912625604977 753.997836873624</t>
  </si>
  <si>
    <t>-593.250415803075 -110.083810884076 828.411555916217</t>
  </si>
  <si>
    <t>9763-20170724T105146.809811600.bin</t>
  </si>
  <si>
    <t>-770.302198837881 85.8298504070563 -92.7214604942064</t>
  </si>
  <si>
    <t>-791.134084723725 78.92175181107 -206.451537615036</t>
  </si>
  <si>
    <t>-800.786053996439 73.6316575698777 -304.459357496281</t>
  </si>
  <si>
    <t>-806.804189855994 68.8593929357521 -393.224502695023</t>
  </si>
  <si>
    <t>-809.765384856801 64.0730961210486 -482.143284357844</t>
  </si>
  <si>
    <t>-810.698015366377 57.2926940262646 -606.537697655656</t>
  </si>
  <si>
    <t>-777.782556035767 54.230389648978 -682.775637901791</t>
  </si>
  <si>
    <t>-812.942997336336 87.8180948818444 -553.279179406043</t>
  </si>
  <si>
    <t>-816.753219362882 224.296741658609 -537.276283509316</t>
  </si>
  <si>
    <t>-719.559176486245 265.241584611598 -262.561643193913</t>
  </si>
  <si>
    <t>-479.127785606328 250.431029329598 -267.485856427838</t>
  </si>
  <si>
    <t>-807.632247620649 32.7346324653984 -550.316525216388</t>
  </si>
  <si>
    <t>-629.78335189304 28.2305591103279 -315.184983661543</t>
  </si>
  <si>
    <t>-792.50705497159 179.074245439835 -95.3624303201819</t>
  </si>
  <si>
    <t>-776.716290146944 180.772970913546 307.877498109077</t>
  </si>
  <si>
    <t>-855.716826208646 201.227371054794 748.279790562224</t>
  </si>
  <si>
    <t>-710.804457075548 219.854692249836 809.440967471707</t>
  </si>
  <si>
    <t>-684.310888618256 -4.34191965215041 306.298323790868</t>
  </si>
  <si>
    <t>-694.494626701506 -13.5533197541261 753.974966021696</t>
  </si>
  <si>
    <t>-593.582799113469 -110.307685257692 828.423977323999</t>
  </si>
  <si>
    <t>9763-20170724T105146.844884300.bin</t>
  </si>
  <si>
    <t>-770.467417669876 85.8531219738732 -92.7066642278804</t>
  </si>
  <si>
    <t>-791.320778130496 78.9450796000867 -206.432876726776</t>
  </si>
  <si>
    <t>-800.98888006858 73.6600822227401 -304.439279869115</t>
  </si>
  <si>
    <t>-807.020413460911 68.8947051608334 -393.203758522202</t>
  </si>
  <si>
    <t>-809.994112351329 64.1171438382808 -482.122805245392</t>
  </si>
  <si>
    <t>-810.942716318983 57.3513379166488 -606.51787198388</t>
  </si>
  <si>
    <t>-778.041763483323 54.2871311519345 -682.761856678221</t>
  </si>
  <si>
    <t>-813.16993795931 87.8715008578083 -553.255570114608</t>
  </si>
  <si>
    <t>-816.937023660773 224.349475261971 -537.222642354929</t>
  </si>
  <si>
    <t>-719.657368158467 265.292360624744 -262.53819216629</t>
  </si>
  <si>
    <t>-479.233568880673 250.411963649736 -267.621836451938</t>
  </si>
  <si>
    <t>-807.8805190247 32.7856933367086 -550.299810738408</t>
  </si>
  <si>
    <t>-630.006297831332 28.2254408871934 -315.203459560881</t>
  </si>
  <si>
    <t>-792.616684394795 179.127447991695 -95.3547667793242</t>
  </si>
  <si>
    <t>-776.835505595237 180.848990319775 307.885428324292</t>
  </si>
  <si>
    <t>-855.706847496873 201.190150413973 748.310124540437</t>
  </si>
  <si>
    <t>-710.797025612738 219.828862493414 809.474491453168</t>
  </si>
  <si>
    <t>-684.462864877836 -4.39325290323109 306.299816858034</t>
  </si>
  <si>
    <t>-694.651578361735 -13.8234904251844 753.984716685762</t>
  </si>
  <si>
    <t>-593.240926891868 -110.07848157681 828.403599199513</t>
  </si>
  <si>
    <t>9763-20170724T105146.921831100.bin</t>
  </si>
  <si>
    <t>-770.667051714724 86.0474429685539 -92.6676557947944</t>
  </si>
  <si>
    <t>-791.56933597451 79.1296118467699 -206.38422239689</t>
  </si>
  <si>
    <t>-801.271322097929 73.854600951511 -304.387852616458</t>
  </si>
  <si>
    <t>-807.330018368445 69.1055983033159 -393.151537504484</t>
  </si>
  <si>
    <t>-810.326993436591 64.3516011403879 -482.070834878081</t>
  </si>
  <si>
    <t>-811.304298765636 57.6254413970998 -606.467943650237</t>
  </si>
  <si>
    <t>-778.458245285831 54.556398204408 -682.735427819302</t>
  </si>
  <si>
    <t>-813.499566953961 88.1306455555721 -553.195641194925</t>
  </si>
  <si>
    <t>-817.16491428774 224.598233432516 -537.063138332191</t>
  </si>
  <si>
    <t>-719.69297568395 265.249134779547 -262.403448336502</t>
  </si>
  <si>
    <t>-479.282317071656 250.244387525362 -267.741766578857</t>
  </si>
  <si>
    <t>-808.248908515908 33.0401202183632 -550.258205606317</t>
  </si>
  <si>
    <t>-630.256877513918 28.2866527247218 -315.213914269537</t>
  </si>
  <si>
    <t>-792.848520273119 179.293483659809 -95.3193796886696</t>
  </si>
  <si>
    <t>-776.928868903163 180.944021604284 307.915633133978</t>
  </si>
  <si>
    <t>-855.745858341241 201.25935845379 748.367093482321</t>
  </si>
  <si>
    <t>-710.849084559418 219.996958757958 809.53164805493</t>
  </si>
  <si>
    <t>-684.460913590946 -4.29323105540834 306.319849345042</t>
  </si>
  <si>
    <t>-694.614906248238 -13.7432139414975 753.993938023296</t>
  </si>
  <si>
    <t>-593.446535290665 -110.248769300824 828.417739478043</t>
  </si>
  <si>
    <t>9763-20170724T105146.940882300.bin</t>
  </si>
  <si>
    <t>-770.761558910814 85.9840053522234 -92.6467380044367</t>
  </si>
  <si>
    <t>-791.678878195728 79.0646952459219 -206.360482788759</t>
  </si>
  <si>
    <t>-801.401364449807 73.8001299038017 -304.362674232662</t>
  </si>
  <si>
    <t>-807.48175336497 69.065727463958 -393.125468824565</t>
  </si>
  <si>
    <t>-810.503245223145 64.3316078926116 -482.045250044714</t>
  </si>
  <si>
    <t>-811.517598097247 57.6388336134798 -606.44371201402</t>
  </si>
  <si>
    <t>-778.714831243099 54.5787638438258 -682.730184774499</t>
  </si>
  <si>
    <t>-813.69239058032 88.1300755622688 -553.162620595351</t>
  </si>
  <si>
    <t>-817.324482875525 224.591308726497 -536.984207048526</t>
  </si>
  <si>
    <t>-719.773771872382 265.202873880003 -262.346591344885</t>
  </si>
  <si>
    <t>-479.371492970892 250.076626691278 -267.714883973095</t>
  </si>
  <si>
    <t>-808.450287692161 33.0378688412118 -550.241461645942</t>
  </si>
  <si>
    <t>-630.380038474776 28.2159650672581 -315.217293027729</t>
  </si>
  <si>
    <t>-792.886838338333 179.222534161876 -95.294988114424</t>
  </si>
  <si>
    <t>-776.945960919315 180.921722419195 307.939011714643</t>
  </si>
  <si>
    <t>-855.723090811747 201.2127613855 748.393345507666</t>
  </si>
  <si>
    <t>-710.836388965011 220.0104278019 809.563013093263</t>
  </si>
  <si>
    <t>-684.536592631887 -4.31518882524233 306.33365955682</t>
  </si>
  <si>
    <t>-694.690495705639 -13.8666106075827 754.005845839341</t>
  </si>
  <si>
    <t>-593.320829129172 -110.173520048887 828.413428618801</t>
  </si>
  <si>
    <t>9763-20170724T105147.006075500.bin</t>
  </si>
  <si>
    <t>-770.818030474645 85.9738850780857 -92.618981827534</t>
  </si>
  <si>
    <t>-791.795277449602 79.033449534068 -206.320342378511</t>
  </si>
  <si>
    <t>-801.579193006635 73.767619809013 -304.316324485634</t>
  </si>
  <si>
    <t>-807.718515154836 69.0392393845548 -393.075496278709</t>
  </si>
  <si>
    <t>-810.802456683869 64.3183086647975 -481.993783864963</t>
  </si>
  <si>
    <t>-811.907339266903 57.6517972920226 -606.392778166243</t>
  </si>
  <si>
    <t>-779.191793335596 54.6021255860815 -682.717387739341</t>
  </si>
  <si>
    <t>-814.027490362576 88.1334664443455 -553.104076591966</t>
  </si>
  <si>
    <t>-817.543036273227 224.599004263405 -536.8620300077</t>
  </si>
  <si>
    <t>-719.816404921246 264.9063100355 -262.242194015151</t>
  </si>
  <si>
    <t>-479.418191829985 249.756348579538 -267.718384706581</t>
  </si>
  <si>
    <t>-808.814850436168 33.0375447981401 -550.197803175923</t>
  </si>
  <si>
    <t>-630.540977192934 28.1747162497145 -315.2473168029</t>
  </si>
  <si>
    <t>-792.960299280838 179.247612232921 -95.2765389615424</t>
  </si>
  <si>
    <t>-776.949197480756 180.89316026835 307.954972536962</t>
  </si>
  <si>
    <t>-855.705124154225 201.157259185722 748.439432394531</t>
  </si>
  <si>
    <t>-710.818269321203 219.935077655289 809.615287317606</t>
  </si>
  <si>
    <t>-684.501248399991 -4.24649906080526 306.349502480898</t>
  </si>
  <si>
    <t>-694.615908502535 -13.7194704367166 754.009926051271</t>
  </si>
  <si>
    <t>-593.514344305737 -110.298835969531 828.4289827261</t>
  </si>
  <si>
    <t>9763-20170724T105147.039170800.bin</t>
  </si>
  <si>
    <t>-770.841278160085 85.9815310144099 -92.6178063347246</t>
  </si>
  <si>
    <t>-791.850173349683 79.0221334444748 -206.312161052144</t>
  </si>
  <si>
    <t>-801.67723473856 73.7456804438223 -304.303199489191</t>
  </si>
  <si>
    <t>-807.862252952056 69.0098379245042 -393.058881846016</t>
  </si>
  <si>
    <t>-810.998386670004 64.2831665719041 -481.974961203947</t>
  </si>
  <si>
    <t>-812.182802668063 57.6104360194461 -606.372979485148</t>
  </si>
  <si>
    <t>-779.522043743021 54.543423388656 -682.720176290589</t>
  </si>
  <si>
    <t>-814.25233723485 88.0962169463901 -553.084558600319</t>
  </si>
  <si>
    <t>-817.689693163457 224.553362315558 -536.808995847787</t>
  </si>
  <si>
    <t>-719.855259433884 264.784882003794 -262.216612494286</t>
  </si>
  <si>
    <t>-479.46097806705 249.532224721819 -267.591558574525</t>
  </si>
  <si>
    <t>-809.070930792579 32.9974142743656 -550.178467469448</t>
  </si>
  <si>
    <t>-630.713113073906 28.1426121037432 -315.280227092024</t>
  </si>
  <si>
    <t>-792.998733560522 179.268062522303 -95.2802159120839</t>
  </si>
  <si>
    <t>-776.965825107681 180.880715631738 307.9505424681</t>
  </si>
  <si>
    <t>-855.682359678664 201.10347993737 748.450205398461</t>
  </si>
  <si>
    <t>-710.805577368773 219.945267918268 809.630310614082</t>
  </si>
  <si>
    <t>-684.46928831077 -4.27058394555638 306.357953996502</t>
  </si>
  <si>
    <t>-694.628386813334 -13.7289130046147 754.018053275326</t>
  </si>
  <si>
    <t>-593.480854990374 -110.266363988938 828.428938439698</t>
  </si>
  <si>
    <t>9763-20170724T105147.107351500.bin</t>
  </si>
  <si>
    <t>-770.882579546171 85.8442191184693 -92.6028700393225</t>
  </si>
  <si>
    <t>-791.93567126041 78.8809040299461 -206.288864821571</t>
  </si>
  <si>
    <t>-801.776915721382 73.5996610184598 -304.278313282908</t>
  </si>
  <si>
    <t>-807.965164912932 68.8583917807744 -393.033383719701</t>
  </si>
  <si>
    <t>-811.094811502663 64.1242013021317 -481.9492618332</t>
  </si>
  <si>
    <t>-812.260170042305 57.438279019708 -606.346768721901</t>
  </si>
  <si>
    <t>-779.670044294277 54.3192788399606 -682.722117580702</t>
  </si>
  <si>
    <t>-814.309854793176 87.9322615333706 -553.062418367819</t>
  </si>
  <si>
    <t>-817.598256184226 224.395129972845 -536.784380574761</t>
  </si>
  <si>
    <t>-719.674922299492 264.548548521502 -262.212135071588</t>
  </si>
  <si>
    <t>-479.284829660993 249.197210998171 -267.483604147544</t>
  </si>
  <si>
    <t>-809.184802740549 32.8285320641764 -550.148739648702</t>
  </si>
  <si>
    <t>-630.809059033372 27.960695711826 -315.323138702721</t>
  </si>
  <si>
    <t>-792.987176651613 179.170106237953 -95.2611841384111</t>
  </si>
  <si>
    <t>-776.943935270389 180.826747749681 307.968994597783</t>
  </si>
  <si>
    <t>-855.715585710526 201.153948780009 748.467842974308</t>
  </si>
  <si>
    <t>-710.833442807045 219.944716888513 809.650968920029</t>
  </si>
  <si>
    <t>-684.470225105347 -4.22146849810792 306.368578195814</t>
  </si>
  <si>
    <t>-694.652323746263 -13.7639634058821 754.021662065683</t>
  </si>
  <si>
    <t>-593.601896662737 -110.394568804929 828.443559840941</t>
  </si>
  <si>
    <t>9763-20170724T105147.140439300.bin</t>
  </si>
  <si>
    <t>-770.897806450018 85.7872596196598 -92.5877519013279</t>
  </si>
  <si>
    <t>-791.953599271336 78.8361152638756 -206.27394941464</t>
  </si>
  <si>
    <t>-801.776046156326 73.5556308463345 -304.265295040431</t>
  </si>
  <si>
    <t>-807.938915545668 68.8109097661222 -393.021901130303</t>
  </si>
  <si>
    <t>-811.034875740522 64.069015079436 -481.938646072087</t>
  </si>
  <si>
    <t>-812.14463771485 57.3670861832304 -606.335749987324</t>
  </si>
  <si>
    <t>-779.567046181781 54.2202615720084 -682.715357584799</t>
  </si>
  <si>
    <t>-814.210420576279 87.8685603934489 -553.056395985182</t>
  </si>
  <si>
    <t>-817.458155321122 224.332648375785 -536.777365334127</t>
  </si>
  <si>
    <t>-719.527918109058 264.456704845089 -262.203300264432</t>
  </si>
  <si>
    <t>-479.141231601407 249.017588158497 -267.373662881075</t>
  </si>
  <si>
    <t>-809.102210434863 32.7639662153524 -550.133188433872</t>
  </si>
  <si>
    <t>-630.774042879762 27.8710980954904 -315.307146695878</t>
  </si>
  <si>
    <t>-793.000000121445 179.139582784014 -95.2356768590856</t>
  </si>
  <si>
    <t>-776.913218622256 180.729705971635 307.993015981435</t>
  </si>
  <si>
    <t>-855.681206751304 201.063955761305 748.480568007656</t>
  </si>
  <si>
    <t>-710.81228124161 219.958382079742 809.662679088746</t>
  </si>
  <si>
    <t>-684.468129400794 -4.23748045260049 306.369690031375</t>
  </si>
  <si>
    <t>-694.637114587989 -13.7254695769282 754.022061799672</t>
  </si>
  <si>
    <t>-593.505624911917 -110.275263266863 828.438669348341</t>
  </si>
  <si>
    <t>9763-20170724T105147.212225800.bin</t>
  </si>
  <si>
    <t>-770.819715259154 85.9949958974687 -92.5590808261519</t>
  </si>
  <si>
    <t>-791.844663936903 79.0744172262803 -206.252783710016</t>
  </si>
  <si>
    <t>-801.620856495166 73.7976213509753 -304.248890151098</t>
  </si>
  <si>
    <t>-807.73418805411 69.0473401086413 -393.008802015991</t>
  </si>
  <si>
    <t>-810.773238340235 64.2907399499677 -481.926565632277</t>
  </si>
  <si>
    <t>-811.796016937743 57.558982898282 -606.322926262306</t>
  </si>
  <si>
    <t>-779.192978454738 54.383185585807 -682.690375454684</t>
  </si>
  <si>
    <t>-813.894379142588 88.0736737047566 -553.052286633801</t>
  </si>
  <si>
    <t>-817.110969724721 224.539141875439 -536.80516758251</t>
  </si>
  <si>
    <t>-719.181005628765 264.624728104563 -262.225266579651</t>
  </si>
  <si>
    <t>-478.788962220509 249.196087297459 -267.172602779309</t>
  </si>
  <si>
    <t>-808.797308191127 32.9688292773119 -550.112189285979</t>
  </si>
  <si>
    <t>-630.538804084948 28.0571755609383 -315.255763975724</t>
  </si>
  <si>
    <t>-792.797676668879 179.204973034512 -95.2163022865026</t>
  </si>
  <si>
    <t>-777.013096621983 180.857080213277 308.024063950981</t>
  </si>
  <si>
    <t>-855.724008227274 201.125377188441 748.513155988931</t>
  </si>
  <si>
    <t>-710.842605399064 219.95179675631 809.686945873378</t>
  </si>
  <si>
    <t>-684.463690714041 -4.27657477312346 306.378919811252</t>
  </si>
  <si>
    <t>-694.614374722507 -13.6563579167805 754.03403560263</t>
  </si>
  <si>
    <t>-593.655111769174 -110.38390486721 828.453786113725</t>
  </si>
  <si>
    <t>9763-20170724T105147.240299800.bin</t>
  </si>
  <si>
    <t>-770.728294089791 86.0715504048737 -92.5345152418939</t>
  </si>
  <si>
    <t>-791.732389287043 79.1656792559911 -206.233032366494</t>
  </si>
  <si>
    <t>-801.480541874232 73.8841534037001 -304.231713660739</t>
  </si>
  <si>
    <t>-807.564814807071 69.1230598233565 -392.992987858844</t>
  </si>
  <si>
    <t>-810.571396714684 64.348954625345 -481.910969939507</t>
  </si>
  <si>
    <t>-811.545132720907 57.5859178655751 -606.306081371718</t>
  </si>
  <si>
    <t>-778.911318420825 54.4066670995685 -682.660104264276</t>
  </si>
  <si>
    <t>-813.667110764705 88.1137887811606 -553.043979708553</t>
  </si>
  <si>
    <t>-816.893939943476 224.582437514297 -536.812097547043</t>
  </si>
  <si>
    <t>-719.020793119438 264.721204461081 -262.219902256394</t>
  </si>
  <si>
    <t>-478.625036390678 249.338675218418 -267.128785017059</t>
  </si>
  <si>
    <t>-808.566199308296 33.0102315422803 -550.087920067629</t>
  </si>
  <si>
    <t>-630.312271131204 28.060676307806 -315.242749900429</t>
  </si>
  <si>
    <t>-792.684115026494 179.278192965172 -95.1875416945347</t>
  </si>
  <si>
    <t>-776.937432341525 180.915618599643 308.054384998475</t>
  </si>
  <si>
    <t>-855.746122893896 201.156736229141 748.528122742483</t>
  </si>
  <si>
    <t>-710.844643602579 219.835634029003 809.69950901148</t>
  </si>
  <si>
    <t>-684.446417373162 -4.32840019989862 306.395953686217</t>
  </si>
  <si>
    <t>-694.679311992424 -13.7663876004074 754.048719414003</t>
  </si>
  <si>
    <t>-593.5324415031 -110.31036512064 828.452051419528</t>
  </si>
  <si>
    <t>9763-20170724T105147.310492100.bin</t>
  </si>
  <si>
    <t>-770.418402302685 86.156446246132 -92.5108228670185</t>
  </si>
  <si>
    <t>-791.442809589098 79.2636198242983 -206.206443973673</t>
  </si>
  <si>
    <t>-801.171661810496 73.9669901586617 -304.206286221255</t>
  </si>
  <si>
    <t>-807.224211611841 69.1812103659829 -392.968310621632</t>
  </si>
  <si>
    <t>-810.185040386717 64.3714710045892 -481.885799710049</t>
  </si>
  <si>
    <t>-811.080502470594 57.5465238089089 -606.278102878586</t>
  </si>
  <si>
    <t>-778.387357823133 54.3484150145296 -682.606125612584</t>
  </si>
  <si>
    <t>-813.23939641142 88.1005950074448 -553.032456251421</t>
  </si>
  <si>
    <t>-816.525570354852 224.576133856424 -536.8728326031</t>
  </si>
  <si>
    <t>-718.805496912377 264.874503833766 -262.249372608332</t>
  </si>
  <si>
    <t>-478.403409666273 249.546047107749 -267.018677363838</t>
  </si>
  <si>
    <t>-808.133485870355 32.9991004008004 -550.046076354578</t>
  </si>
  <si>
    <t>-629.875067489458 28.0578363087541 -315.160334803067</t>
  </si>
  <si>
    <t>-792.422011610059 179.433153961612 -95.1341388083396</t>
  </si>
  <si>
    <t>-776.639280085768 180.931190637523 308.106876511924</t>
  </si>
  <si>
    <t>-855.803364227546 201.23610977716 748.536317896547</t>
  </si>
  <si>
    <t>-710.869460716911 219.686322430505 809.700038866431</t>
  </si>
  <si>
    <t>-684.232322524344 -4.32295695267499 306.420595625642</t>
  </si>
  <si>
    <t>-694.73635933019 -13.8805249656825 754.054568219516</t>
  </si>
  <si>
    <t>-593.707529731534 -110.53655177007 828.472912010915</t>
  </si>
  <si>
    <t>9763-20170724T105147.342577100.bin</t>
  </si>
  <si>
    <t>-770.156854021033 86.0331776399132 -92.5208014603053</t>
  </si>
  <si>
    <t>-791.189776947107 79.1443130834459 -206.215061006262</t>
  </si>
  <si>
    <t>-800.916942982542 73.8264339752886 -304.213832521786</t>
  </si>
  <si>
    <t>-806.964978060628 69.0109039556785 -392.974555322148</t>
  </si>
  <si>
    <t>-809.91838731522 64.1611921815404 -481.890350402929</t>
  </si>
  <si>
    <t>-810.800621497895 57.2693586340829 -606.278917139356</t>
  </si>
  <si>
    <t>-778.084328743002 54.0368376627796 -682.595667981827</t>
  </si>
  <si>
    <t>-812.966368348536 87.8520029189892 -553.049978680758</t>
  </si>
  <si>
    <t>-816.272593417437 224.339215065928 -536.935635120804</t>
  </si>
  <si>
    <t>-718.574021128793 264.731379682378 -262.318234259399</t>
  </si>
  <si>
    <t>-478.167058896098 249.454944365282 -267.009072838457</t>
  </si>
  <si>
    <t>-807.85842500547 32.7523776442924 -550.033292340997</t>
  </si>
  <si>
    <t>-629.531548008601 27.8812866278327 -315.095697012094</t>
  </si>
  <si>
    <t>-792.133200520707 179.260255132741 -95.1136186116365</t>
  </si>
  <si>
    <t>-776.442470253002 180.808744802454 308.130784875066</t>
  </si>
  <si>
    <t>-855.759891682968 201.096080756834 748.539194724698</t>
  </si>
  <si>
    <t>-710.847341917472 219.78581066993 809.681220973902</t>
  </si>
  <si>
    <t>-684.039655958047 -4.3897148101305 306.415248722394</t>
  </si>
  <si>
    <t>-694.688353938206 -13.8179796612521 754.040963252042</t>
  </si>
  <si>
    <t>-593.610167581564 -110.413470390257 828.470911405958</t>
  </si>
  <si>
    <t>9763-20170724T105147.407766200.bin</t>
  </si>
  <si>
    <t>-769.691322902818 85.9020373722697 -92.5226872724971</t>
  </si>
  <si>
    <t>-790.679015008685 79.0090184408555 -206.224962570004</t>
  </si>
  <si>
    <t>-800.387380513014 73.642633813711 -304.222962533632</t>
  </si>
  <si>
    <t>-806.42703085054 68.7648477794144 -392.980992337018</t>
  </si>
  <si>
    <t>-809.381142565337 63.8340854586002 -481.892218445069</t>
  </si>
  <si>
    <t>-810.274865390103 56.8095900086223 -606.273357554154</t>
  </si>
  <si>
    <t>-777.541982907904 53.5011986997101 -682.579550152394</t>
  </si>
  <si>
    <t>-812.447931123387 87.4477927214853 -553.076553673843</t>
  </si>
  <si>
    <t>-815.836097808944 223.932765931899 -537.02514785792</t>
  </si>
  <si>
    <t>-718.089573257666 264.58562992046 -262.463193104075</t>
  </si>
  <si>
    <t>-477.678577914104 249.40766901487 -267.265440000326</t>
  </si>
  <si>
    <t>-807.315462389176 32.3535795812368 -550.001965115593</t>
  </si>
  <si>
    <t>-628.883881062608 27.6875011379168 -315.050674072788</t>
  </si>
  <si>
    <t>-791.727158773035 179.127701814417 -95.0944531423976</t>
  </si>
  <si>
    <t>-776.193537011881 180.796945279945 308.155546767431</t>
  </si>
  <si>
    <t>-855.790653811091 201.078087387824 748.513752669379</t>
  </si>
  <si>
    <t>-710.862321639268 219.784670157144 809.612850616829</t>
  </si>
  <si>
    <t>-683.697470122002 -4.60989900140498 306.420029930593</t>
  </si>
  <si>
    <t>-694.740611642962 -13.9451094880233 754.038287008271</t>
  </si>
  <si>
    <t>-593.501936540544 -110.369451373397 828.47203609324</t>
  </si>
  <si>
    <t>9763-20170724T105147.442858000.bin</t>
  </si>
  <si>
    <t>-769.573025372461 85.9642253279476 -92.5291332042798</t>
  </si>
  <si>
    <t>-790.544425168189 79.0620101482918 -206.234013646228</t>
  </si>
  <si>
    <t>-800.249070795888 73.6714682378497 -304.231065134341</t>
  </si>
  <si>
    <t>-806.289983490437 68.7648957947767 -392.987248457654</t>
  </si>
  <si>
    <t>-809.250192116891 63.798723545239 -481.896297459568</t>
  </si>
  <si>
    <t>-810.157280648674 56.7176111657659 -606.274121219622</t>
  </si>
  <si>
    <t>-777.43734780429 53.3846229918727 -682.584759013811</t>
  </si>
  <si>
    <t>-812.334562515104 87.3791728971219 -553.091058008676</t>
  </si>
  <si>
    <t>-815.779534360526 223.869001367031 -537.061366770895</t>
  </si>
  <si>
    <t>-717.963572958114 264.567884859144 -262.531063416981</t>
  </si>
  <si>
    <t>-477.547321486509 249.503786494917 -267.42106733557</t>
  </si>
  <si>
    <t>-807.181711460324 32.2881304302307 -549.992211924793</t>
  </si>
  <si>
    <t>-628.729015374493 27.8358312054247 -315.031604861614</t>
  </si>
  <si>
    <t>-791.685184092543 179.19055061835 -95.1057013480249</t>
  </si>
  <si>
    <t>-776.093705966313 180.843859849731 308.142238272715</t>
  </si>
  <si>
    <t>-855.765041882949 200.993668638014 748.492376149242</t>
  </si>
  <si>
    <t>-710.843407811677 219.791782045687 809.579573188043</t>
  </si>
  <si>
    <t>-683.566404124727 -4.60998035062426 306.422783015124</t>
  </si>
  <si>
    <t>-694.706905201363 -13.9020659422981 754.030827552829</t>
  </si>
  <si>
    <t>-593.518111486155 -110.371965887943 828.473229667735</t>
  </si>
  <si>
    <t>9763-20170724T105147.512052800.bin</t>
  </si>
  <si>
    <t>-769.402674577056 86.1257009547564 -92.5505737793368</t>
  </si>
  <si>
    <t>-790.362844147945 79.2000065337263 -206.255945449469</t>
  </si>
  <si>
    <t>-800.06093640676 73.7694539577033 -304.251393911792</t>
  </si>
  <si>
    <t>-806.097292730619 68.8175609252974 -393.005530439973</t>
  </si>
  <si>
    <t>-809.05470041277 63.796941795898 -481.91163760912</t>
  </si>
  <si>
    <t>-809.960162494316 56.629769712991 -606.284484946302</t>
  </si>
  <si>
    <t>-777.25447840428 53.2655536525631 -682.599971570014</t>
  </si>
  <si>
    <t>-812.150237578576 87.3268843611534 -553.122491249617</t>
  </si>
  <si>
    <t>-815.699200127922 223.816388965407 -537.148904999247</t>
  </si>
  <si>
    <t>-717.776431333239 264.754456021521 -262.692195686315</t>
  </si>
  <si>
    <t>-477.348891141895 249.900644126714 -267.671788254855</t>
  </si>
  <si>
    <t>-806.973232470178 32.2403645994634 -549.985745968927</t>
  </si>
  <si>
    <t>-628.528695526006 28.0672096376454 -315.017495318093</t>
  </si>
  <si>
    <t>-791.710344044273 179.369567737711 -95.1540328851654</t>
  </si>
  <si>
    <t>-775.953241617142 180.860267998083 308.088057077391</t>
  </si>
  <si>
    <t>-855.756625507461 200.942398417045 748.431494740371</t>
  </si>
  <si>
    <t>-710.8334877218 219.73673481886 809.516303090176</t>
  </si>
  <si>
    <t>-683.326502849596 -4.38873886303486 306.409671273209</t>
  </si>
  <si>
    <t>-694.522792562338 -13.5783411033781 754.00606014662</t>
  </si>
  <si>
    <t>-593.567974617975 -110.276601380356 828.469694421592</t>
  </si>
  <si>
    <t>9763-20170724T105147.546136400.bin</t>
  </si>
  <si>
    <t>-769.329200051486 86.1127638018902 -92.5649212717253</t>
  </si>
  <si>
    <t>-790.345895862024 79.1460980026138 -206.257543080422</t>
  </si>
  <si>
    <t>-800.048411530013 73.703013551795 -304.251797960191</t>
  </si>
  <si>
    <t>-806.07061583381 68.7480812161757 -393.006721342421</t>
  </si>
  <si>
    <t>-808.995415698782 63.7322513144904 -481.914084825167</t>
  </si>
  <si>
    <t>-809.835604953561 56.5797145737051 -606.288348426165</t>
  </si>
  <si>
    <t>-777.120184813927 53.2169680004938 -682.599690422135</t>
  </si>
  <si>
    <t>-812.061528073323 87.2699461797774 -553.123834449559</t>
  </si>
  <si>
    <t>-815.62376341428 223.76144013713 -537.15313187073</t>
  </si>
  <si>
    <t>-717.673806481823 264.730124816889 -262.710826863029</t>
  </si>
  <si>
    <t>-477.243931725448 249.928313540772 -267.731723695882</t>
  </si>
  <si>
    <t>-806.870167679703 32.1845773855373 -549.990917767075</t>
  </si>
  <si>
    <t>-628.464476576637 28.0989865894371 -315.006586380806</t>
  </si>
  <si>
    <t>-791.598948693819 179.358485766184 -95.1896662431772</t>
  </si>
  <si>
    <t>-775.96615329398 180.865119467896 308.057111431621</t>
  </si>
  <si>
    <t>-855.769899050759 200.969516811622 748.387937492254</t>
  </si>
  <si>
    <t>-710.836108833813 219.63553610263 809.486876607622</t>
  </si>
  <si>
    <t>-683.261370466045 -4.47215376404097 306.40381139472</t>
  </si>
  <si>
    <t>-694.59168637393 -13.702127813621 754.006113402971</t>
  </si>
  <si>
    <t>-593.323010223466 -110.082647624887 828.455743195383</t>
  </si>
  <si>
    <t>9763-20170724T105147.609821200.bin</t>
  </si>
  <si>
    <t>-769.227007017326 86.0080202680954 -92.5991073135891</t>
  </si>
  <si>
    <t>-790.330510511895 78.997584541843 -206.272782315256</t>
  </si>
  <si>
    <t>-799.977652032016 73.5502595167152 -304.272411836883</t>
  </si>
  <si>
    <t>-805.89650316077 68.6024124023552 -393.034662854806</t>
  </si>
  <si>
    <t>-808.66464475622 63.6031999203972 -481.948028214962</t>
  </si>
  <si>
    <t>-809.229294116877 56.4826582509183 -606.325614426128</t>
  </si>
  <si>
    <t>-776.469951968765 53.1282865311271 -682.618535723404</t>
  </si>
  <si>
    <t>-811.590611144033 87.1574895806671 -553.158070575666</t>
  </si>
  <si>
    <t>-815.168323530354 223.645425910446 -537.146298377348</t>
  </si>
  <si>
    <t>-717.219599793253 264.418076739764 -262.674361884618</t>
  </si>
  <si>
    <t>-476.78776965867 249.660161985933 -267.738062429405</t>
  </si>
  <si>
    <t>-806.371110809236 32.0746067127795 -550.028274939149</t>
  </si>
  <si>
    <t>-628.10724180228 27.99224644418 -314.994592859647</t>
  </si>
  <si>
    <t>-791.570912168963 179.334843699831 -95.2278227319769</t>
  </si>
  <si>
    <t>-775.725459529209 180.757176221688 308.011077435642</t>
  </si>
  <si>
    <t>-855.746256851702 200.897628038686 748.315924186887</t>
  </si>
  <si>
    <t>-710.845607028059 219.785607394279 809.42524924124</t>
  </si>
  <si>
    <t>-683.017470371377 -4.56013320055035 306.394198892137</t>
  </si>
  <si>
    <t>-694.621126847054 -13.752882745848 753.998896853528</t>
  </si>
  <si>
    <t>-593.392118164177 -110.168834967958 828.456577495835</t>
  </si>
  <si>
    <t>9763-20170724T105147.640903000.bin</t>
  </si>
  <si>
    <t>-769.197960778474 85.9480933307325 -92.6100832507789</t>
  </si>
  <si>
    <t>-790.296711661276 78.9413202957548 -206.284930093553</t>
  </si>
  <si>
    <t>-799.909440909176 73.4979269634064 -304.288057307454</t>
  </si>
  <si>
    <t>-805.785102310216 68.5532648423762 -393.053361408173</t>
  </si>
  <si>
    <t>-808.497507771339 63.5571136352066 -481.968626878373</t>
  </si>
  <si>
    <t>-808.971564945429 56.4403413974755 -606.346782639809</t>
  </si>
  <si>
    <t>-776.199535369509 53.1029957311766 -682.634820396335</t>
  </si>
  <si>
    <t>-811.379910002187 87.1128809819061 -553.179983190006</t>
  </si>
  <si>
    <t>-814.983975499793 223.598913326829 -537.168587660914</t>
  </si>
  <si>
    <t>-717.159732987088 264.308254550403 -262.642738762914</t>
  </si>
  <si>
    <t>-476.731702417579 249.489605159989 -267.701891527166</t>
  </si>
  <si>
    <t>-806.14609685751 32.0313136250938 -550.048276169904</t>
  </si>
  <si>
    <t>-628.010279429377 27.9398577740581 -315.005499085777</t>
  </si>
  <si>
    <t>-791.534831960635 179.285652722492 -95.233380755766</t>
  </si>
  <si>
    <t>-775.683434549733 180.709832162472 308.005144418303</t>
  </si>
  <si>
    <t>-855.745161937925 200.865947431055 748.297324153021</t>
  </si>
  <si>
    <t>-710.825962743456 219.615182621573 809.405424846245</t>
  </si>
  <si>
    <t>-682.952169624173 -4.63807487601525 306.391559498963</t>
  </si>
  <si>
    <t>-694.665366440281 -13.8158730492985 754.001323703179</t>
  </si>
  <si>
    <t>-593.477395362891 -110.276358780487 828.457052486533</t>
  </si>
  <si>
    <t>9763-20170724T105147.713603200.bin</t>
  </si>
  <si>
    <t>-769.107703440895 85.7918930812359 -92.6092406014429</t>
  </si>
  <si>
    <t>-790.222748607399 78.8091399249647 -206.282455014139</t>
  </si>
  <si>
    <t>-799.843183701185 73.3694815570127 -304.285037601924</t>
  </si>
  <si>
    <t>-805.723499173371 68.4223544897466 -393.049874540763</t>
  </si>
  <si>
    <t>-808.438461547865 63.4177612567275 -481.964600215273</t>
  </si>
  <si>
    <t>-808.914112396529 56.283748116143 -606.341790676649</t>
  </si>
  <si>
    <t>-775.954690326748 53.0252162793995 -682.552651418618</t>
  </si>
  <si>
    <t>-811.334253472186 86.9623859544427 -553.179248619413</t>
  </si>
  <si>
    <t>-814.909006182461 223.453044317264 -537.160437601969</t>
  </si>
  <si>
    <t>-716.901562225091 264.0755009186 -262.687130729123</t>
  </si>
  <si>
    <t>-476.472040009134 249.254218046625 -267.676994608982</t>
  </si>
  <si>
    <t>-806.075587625997 31.883808316315 -550.040052499986</t>
  </si>
  <si>
    <t>-627.762844176559 27.9766031889098 -314.996959312156</t>
  </si>
  <si>
    <t>-791.367629826659 179.094766767665 -95.2308978307642</t>
  </si>
  <si>
    <t>-775.708843765743 180.552866153315 308.015117955793</t>
  </si>
  <si>
    <t>-855.71237559165 200.744887047045 748.286159756081</t>
  </si>
  <si>
    <t>-710.818354524663 219.733494897961 809.379999398102</t>
  </si>
  <si>
    <t>-682.929792432465 -4.88554536268748 306.382645870614</t>
  </si>
  <si>
    <t>-694.749018168471 -13.9529163411487 753.996573017858</t>
  </si>
  <si>
    <t>-593.139616920234 -109.989720991631 828.42617727446</t>
  </si>
  <si>
    <t>9763-20170724T105147.742680300.bin</t>
  </si>
  <si>
    <t>-769.117422289527 85.7525421933997 -92.6117890652765</t>
  </si>
  <si>
    <t>-790.225595858902 78.7813146778824 -206.287052219424</t>
  </si>
  <si>
    <t>-799.837774408155 73.3484030682025 -304.290821101558</t>
  </si>
  <si>
    <t>-805.709789408287 68.4059400990463 -393.056550665034</t>
  </si>
  <si>
    <t>-808.415463782684 63.4046980062355 -481.971682694023</t>
  </si>
  <si>
    <t>-808.877387274409 56.2742060329224 -606.349194420433</t>
  </si>
  <si>
    <t>-775.82677224871 53.0566618527766 -682.522211950857</t>
  </si>
  <si>
    <t>-811.306021610141 86.9511428824424 -553.185825338105</t>
  </si>
  <si>
    <t>-814.945359317892 223.438273894839 -537.182876442988</t>
  </si>
  <si>
    <t>-717.132072960109 264.055799341219 -262.639741544974</t>
  </si>
  <si>
    <t>-476.709551526845 249.159267029858 -267.738830831064</t>
  </si>
  <si>
    <t>-806.042206319611 31.8728744911232 -550.0477941517</t>
  </si>
  <si>
    <t>-627.914343965602 27.9390682982596 -315.03143555031</t>
  </si>
  <si>
    <t>-791.414285735018 179.047275524193 -95.2227322206023</t>
  </si>
  <si>
    <t>-775.652546544603 180.467432493104 308.019451665447</t>
  </si>
  <si>
    <t>-855.687501681451 200.667360939801 748.284808287055</t>
  </si>
  <si>
    <t>-710.81177779521 219.812665077524 809.373178715402</t>
  </si>
  <si>
    <t>-682.921933239813 -4.8386336631886 306.372367898812</t>
  </si>
  <si>
    <t>-694.655662613853 -13.774017513625 753.988027269474</t>
  </si>
  <si>
    <t>-593.3418460408 -110.110084689571 828.433893017168</t>
  </si>
  <si>
    <t>9763-20170724T105147.811393100.bin</t>
  </si>
  <si>
    <t>-769.163629839028 85.6492068705109 -92.6196255692502</t>
  </si>
  <si>
    <t>-790.234838397336 78.7050780571124 -206.303439694237</t>
  </si>
  <si>
    <t>-799.804429939224 73.290692472347 -304.31244782444</t>
  </si>
  <si>
    <t>-805.63360607669 68.3626076755918 -393.081613641977</t>
  </si>
  <si>
    <t>-808.292499396778 63.3730512999077 -481.998909953456</t>
  </si>
  <si>
    <t>-808.684387414481 56.2556216612534 -606.377477237167</t>
  </si>
  <si>
    <t>-775.490678668131 53.0873637232166 -682.490231452447</t>
  </si>
  <si>
    <t>-811.145847361786 86.9265853318841 -553.212082241149</t>
  </si>
  <si>
    <t>-814.924816765657 223.41338499611 -537.213531947496</t>
  </si>
  <si>
    <t>-717.300401534453 264.088958116978 -262.611699148222</t>
  </si>
  <si>
    <t>-476.861936800783 249.441452890648 -267.679670855298</t>
  </si>
  <si>
    <t>-805.87817259396 31.8485831679438 -550.077002580304</t>
  </si>
  <si>
    <t>-628.058163193906 27.855743181246 -314.871649551223</t>
  </si>
  <si>
    <t>-791.487757345921 178.92480495104 -95.205201409834</t>
  </si>
  <si>
    <t>-775.790601142682 180.415579225826 308.039225777884</t>
  </si>
  <si>
    <t>-855.773737820603 200.773933760534 748.305662349014</t>
  </si>
  <si>
    <t>-710.869024679992 219.750074936591 809.378299200178</t>
  </si>
  <si>
    <t>-682.953964931833 -4.86401185678119 306.346005036702</t>
  </si>
  <si>
    <t>-694.655284385994 -13.7441372362578 753.978220295021</t>
  </si>
  <si>
    <t>-593.366661117082 -110.108676970817 828.421394642052</t>
  </si>
  <si>
    <t>9763-20170724T105147.848492300.bin</t>
  </si>
  <si>
    <t>-769.140355847328 85.548772789512 -92.6251956910691</t>
  </si>
  <si>
    <t>-790.153773357758 78.6139903186761 -206.320176568009</t>
  </si>
  <si>
    <t>-799.67921864053 73.2030197939771 -304.333742994932</t>
  </si>
  <si>
    <t>-805.4702232751 68.2756919599519 -393.105482910146</t>
  </si>
  <si>
    <t>-808.09341982271 63.2849766572956 -482.023753901081</t>
  </si>
  <si>
    <t>-808.437709367279 56.1635088123028 -606.402053094551</t>
  </si>
  <si>
    <t>-775.158018723686 53.0020095199257 -682.477656941514</t>
  </si>
  <si>
    <t>-810.923026966473 86.8359506599306 -553.238792886399</t>
  </si>
  <si>
    <t>-814.766578488822 223.31627648736 -537.216568371098</t>
  </si>
  <si>
    <t>-717.18937631208 264.042632570826 -262.605406330211</t>
  </si>
  <si>
    <t>-476.743797085233 249.502535210169 -267.638372539054</t>
  </si>
  <si>
    <t>-805.649384513385 31.7586825221858 -550.099907692227</t>
  </si>
  <si>
    <t>-627.875357457431 27.7490593944813 -314.795159828847</t>
  </si>
  <si>
    <t>-791.412985258553 178.746194783114 -95.2143279867859</t>
  </si>
  <si>
    <t>-775.981722113006 180.402269612988 308.039692243482</t>
  </si>
  <si>
    <t>-855.779097199839 200.732231711252 748.331296253523</t>
  </si>
  <si>
    <t>-710.882001661015 219.843334360066 809.379347236992</t>
  </si>
  <si>
    <t>-683.040826055703 -5.00759568933358 306.346008685923</t>
  </si>
  <si>
    <t>-694.772907292051 -13.9456372105076 753.98669957479</t>
  </si>
  <si>
    <t>-593.288789233161 -110.116713850302 828.413755376358</t>
  </si>
  <si>
    <t>9763-20170724T105147.911672100.bin</t>
  </si>
  <si>
    <t>-768.981838940853 85.5876571420135 -92.6094469467397</t>
  </si>
  <si>
    <t>-789.892386945435 78.6763345607151 -206.324845141086</t>
  </si>
  <si>
    <t>-799.339906996986 73.2860142158206 -304.347014556252</t>
  </si>
  <si>
    <t>-805.065150008646 68.3769685897487 -393.124064459</t>
  </si>
  <si>
    <t>-807.626437061069 63.4045001824973 -482.045188530499</t>
  </si>
  <si>
    <t>-807.889148795408 56.3084193338439 -606.425125290144</t>
  </si>
  <si>
    <t>-774.258970544797 53.2196406284597 -682.349440205066</t>
  </si>
  <si>
    <t>-810.416751518097 86.9691592361094 -553.257291697969</t>
  </si>
  <si>
    <t>-814.365309800623 223.43707249889 -537.209102359403</t>
  </si>
  <si>
    <t>-716.985901813917 264.278179015561 -262.544957746796</t>
  </si>
  <si>
    <t>-476.526413228449 249.949253393461 -267.525284738413</t>
  </si>
  <si>
    <t>-805.130375422128 31.8928486533512 -550.126205694419</t>
  </si>
  <si>
    <t>-627.407103231326 27.7790717943149 -314.747498447198</t>
  </si>
  <si>
    <t>-791.305114393023 178.67976814924 -95.2008364532352</t>
  </si>
  <si>
    <t>-776.257973152766 180.422080984851 308.067310855466</t>
  </si>
  <si>
    <t>-855.781206828015 200.588972810787 748.414918803115</t>
  </si>
  <si>
    <t>-710.863940519262 219.790297998938 809.386616289428</t>
  </si>
  <si>
    <t>-683.039567133963 -4.95849997580399 306.363826422168</t>
  </si>
  <si>
    <t>-694.653284456561 -13.7246120479808 753.990197328389</t>
  </si>
  <si>
    <t>-593.503199894359 -110.240909838391 828.425002856159</t>
  </si>
  <si>
    <t>9763-20170724T105147.943769800.bin</t>
  </si>
  <si>
    <t>-768.927830134798 85.5613182574011 -92.6067813609575</t>
  </si>
  <si>
    <t>-789.857593060565 78.6506728453674 -206.318714502855</t>
  </si>
  <si>
    <t>-799.329235247833 73.2688417257775 -304.339026459921</t>
  </si>
  <si>
    <t>-805.079090179184 68.3710093796099 -393.1151235586</t>
  </si>
  <si>
    <t>-807.668003615131 63.4129795403605 -482.0361234977</t>
  </si>
  <si>
    <t>-807.972065490102 56.3405302670221 -606.417391540666</t>
  </si>
  <si>
    <t>-774.063633807361 53.3117479275113 -682.220327406654</t>
  </si>
  <si>
    <t>-810.487497780468 86.9907867974653 -553.242762965273</t>
  </si>
  <si>
    <t>-814.503778014916 223.451685893545 -537.175175022571</t>
  </si>
  <si>
    <t>-717.13251786749 264.356148615615 -262.517423977709</t>
  </si>
  <si>
    <t>-476.660883879216 250.223017118134 -267.470332757</t>
  </si>
  <si>
    <t>-805.188962926639 31.9148718997685 -550.124085231992</t>
  </si>
  <si>
    <t>-627.404266546994 27.7034848255553 -314.745507960966</t>
  </si>
  <si>
    <t>-791.305421464468 178.627433626272 -95.1905678070276</t>
  </si>
  <si>
    <t>-776.331492139784 180.393867187734 308.080220863763</t>
  </si>
  <si>
    <t>-855.785317166532 200.493952543693 748.429982014943</t>
  </si>
  <si>
    <t>-710.850248114062 219.664593938733 809.369008483492</t>
  </si>
  <si>
    <t>-683.043807662942 -4.95720797458148 306.372862280767</t>
  </si>
  <si>
    <t>-694.653268948364 -13.720728964945 753.997455770373</t>
  </si>
  <si>
    <t>-593.435688110859 -110.175401601549 828.420668537557</t>
  </si>
  <si>
    <t>9763-20170724T105148.008934900.bin</t>
  </si>
  <si>
    <t>-768.983890874346 85.2274566538133 -92.6293556212873</t>
  </si>
  <si>
    <t>-789.999669982035 78.2996609630384 -206.324363450302</t>
  </si>
  <si>
    <t>-799.530290566734 72.9154482350098 -304.33889098084</t>
  </si>
  <si>
    <t>-805.327294007283 68.0202253399466 -393.112060303415</t>
  </si>
  <si>
    <t>-807.956765147671 63.0699728086204 -482.032321641645</t>
  </si>
  <si>
    <t>-808.310617255558 56.0140385576642 -606.414452319418</t>
  </si>
  <si>
    <t>-773.919116536311 53.1022372012822 -682.003879746805</t>
  </si>
  <si>
    <t>-810.821844636621 86.6556719089422 -553.234628554475</t>
  </si>
  <si>
    <t>-814.962483080954 223.121610611899 -537.17906834964</t>
  </si>
  <si>
    <t>-717.787785829458 264.05708688809 -262.456314700501</t>
  </si>
  <si>
    <t>-477.310780889932 249.963036258843 -267.256172581789</t>
  </si>
  <si>
    <t>-805.487994326881 31.5824454906347 -550.12555878131</t>
  </si>
  <si>
    <t>-627.709689016845 27.3266278535482 -314.831566897122</t>
  </si>
  <si>
    <t>-791.330058062189 178.322300896633 -95.2008295161367</t>
  </si>
  <si>
    <t>-776.545200453974 180.216036587609 308.076390411153</t>
  </si>
  <si>
    <t>-855.798363473406 200.394777082984 748.439899666375</t>
  </si>
  <si>
    <t>-710.875843394836 219.767265167113 809.345251079767</t>
  </si>
  <si>
    <t>-683.005780865723 -5.13395331773404 306.364241063921</t>
  </si>
  <si>
    <t>-694.654746474898 -13.7116909532815 753.999348568063</t>
  </si>
  <si>
    <t>-593.247213400692 -109.985970262944 828.397532300327</t>
  </si>
  <si>
    <t>9763-20170724T105148.041018900.bin</t>
  </si>
  <si>
    <t>-769.019236615745 85.059910590357 -92.6428462828031</t>
  </si>
  <si>
    <t>-790.046704679612 78.1274638616781 -206.335499411224</t>
  </si>
  <si>
    <t>-799.565258790881 72.7464228021829 -304.351259088644</t>
  </si>
  <si>
    <t>-805.342170989876 67.8561336944902 -393.125983980605</t>
  </si>
  <si>
    <t>-807.942484944576 62.9129791622647 -482.047559602176</t>
  </si>
  <si>
    <t>-808.245810269318 55.8688858250755 -606.430400881117</t>
  </si>
  <si>
    <t>-773.65598792584 53.0044350666512 -681.931268793645</t>
  </si>
  <si>
    <t>-810.785792320356 86.504749962862 -553.248576249364</t>
  </si>
  <si>
    <t>-814.967778983427 222.967299598305 -537.208227319404</t>
  </si>
  <si>
    <t>-718.006345724838 264.014454437139 -262.426743945462</t>
  </si>
  <si>
    <t>-477.531141435187 249.874502035301 -267.180333496371</t>
  </si>
  <si>
    <t>-805.438917107175 31.4327003665278 -550.142800494098</t>
  </si>
  <si>
    <t>-627.805204967486 27.2561114459008 -314.861207321004</t>
  </si>
  <si>
    <t>-791.403038563562 178.195589857149 -95.1927424772105</t>
  </si>
  <si>
    <t>-776.550872984693 180.11108792435 308.081899727968</t>
  </si>
  <si>
    <t>-855.787343794776 200.333404204031 748.452933158202</t>
  </si>
  <si>
    <t>-710.831312430046 219.437925856005 809.363071077405</t>
  </si>
  <si>
    <t>-683.035695924126 -5.227643053169 306.351689992752</t>
  </si>
  <si>
    <t>-694.696677141967 -13.7785754746667 753.998086188182</t>
  </si>
  <si>
    <t>-593.243471161593 -110.010403250814 828.388687414234</t>
  </si>
  <si>
    <t>9763-20170724T105148.109208300.bin</t>
  </si>
  <si>
    <t>-769.150962459921 85.1118815643938 -92.6313260437032</t>
  </si>
  <si>
    <t>-790.158473305329 78.1838234289626 -206.327960372198</t>
  </si>
  <si>
    <t>-799.661588446276 72.8116082978934 -304.3456967975</t>
  </si>
  <si>
    <t>-805.425107571452 67.9315926418569 -393.121873561245</t>
  </si>
  <si>
    <t>-808.012629337376 63.001116435363 -482.044450041836</t>
  </si>
  <si>
    <t>-808.298384052068 55.9769472864675 -606.428513856018</t>
  </si>
  <si>
    <t>-773.424996080823 53.1350066465889 -681.799575805871</t>
  </si>
  <si>
    <t>-810.858357445774 86.6030433904832 -553.242086783158</t>
  </si>
  <si>
    <t>-815.097501024503 223.062512654385 -537.179261196635</t>
  </si>
  <si>
    <t>-718.319907515336 263.977815703653 -262.313360343618</t>
  </si>
  <si>
    <t>-477.84802504853 249.77715532631 -267.055332951126</t>
  </si>
  <si>
    <t>-805.48687610952 31.5329554651205 -550.144549585095</t>
  </si>
  <si>
    <t>-628.000790453719 27.5336082807214 -314.76059229542</t>
  </si>
  <si>
    <t>-791.523847590722 178.164255484881 -95.1936208647177</t>
  </si>
  <si>
    <t>-776.740605966801 180.203326666777 308.082917735693</t>
  </si>
  <si>
    <t>-855.805132596936 200.281745072315 748.486025506241</t>
  </si>
  <si>
    <t>-710.887458233482 219.746633096903 809.373319186125</t>
  </si>
  <si>
    <t>-683.110907407651 -5.23600048354456 306.348779577318</t>
  </si>
  <si>
    <t>-694.66722042057 -13.7158562000593 753.998694855219</t>
  </si>
  <si>
    <t>-593.418262849489 -110.162937443909 828.389108907119</t>
  </si>
  <si>
    <t>9763-20170724T105148.144301900.bin</t>
  </si>
  <si>
    <t>-769.193307820087 85.1275770948757 -92.6347502572386</t>
  </si>
  <si>
    <t>-790.189804773916 78.1862295473009 -206.33254464497</t>
  </si>
  <si>
    <t>-799.692443593161 72.8213148159539 -304.350842476475</t>
  </si>
  <si>
    <t>-805.458554036176 67.9559015063635 -393.127651712126</t>
  </si>
  <si>
    <t>-808.051698752482 63.0478063092132 -482.051311169666</t>
  </si>
  <si>
    <t>-808.348329656697 56.0635749964347 -606.437558268592</t>
  </si>
  <si>
    <t>-773.388401424344 53.1913885820959 -681.767287109905</t>
  </si>
  <si>
    <t>-810.912745898372 86.6716255933427 -553.240883109403</t>
  </si>
  <si>
    <t>-815.190512504328 223.124010131395 -537.135604296507</t>
  </si>
  <si>
    <t>-718.491635366992 263.957266191442 -262.229883957613</t>
  </si>
  <si>
    <t>-478.026606964231 249.686924943579 -267.105292727431</t>
  </si>
  <si>
    <t>-805.522884319706 31.6022462569845 -550.161721728852</t>
  </si>
  <si>
    <t>-628.100649527372 27.5745608321665 -314.738920271982</t>
  </si>
  <si>
    <t>-791.565188131115 178.152659943956 -95.2170014791557</t>
  </si>
  <si>
    <t>-776.981313891753 180.250002016362 308.066486074307</t>
  </si>
  <si>
    <t>-855.808017551932 200.237731999476 748.508124293418</t>
  </si>
  <si>
    <t>-710.873496420939 219.610665821746 809.384710904439</t>
  </si>
  <si>
    <t>-683.178912740224 -5.24261661938658 306.350645370356</t>
  </si>
  <si>
    <t>-694.699127300702 -13.7727952485868 754.002879759475</t>
  </si>
  <si>
    <t>-593.379028019803 -110.153826622174 828.381858923783</t>
  </si>
  <si>
    <t>9763-20170724T105148.210482800.bin</t>
  </si>
  <si>
    <t>-769.443336678144 85.0519237707774 -92.639500499866</t>
  </si>
  <si>
    <t>-790.511316762151 78.0601628291595 -206.320920637646</t>
  </si>
  <si>
    <t>-799.921872484376 72.6809868001783 -304.34721953981</t>
  </si>
  <si>
    <t>-805.54235181269 67.8116101190947 -393.133174892458</t>
  </si>
  <si>
    <t>-807.926733173084 62.9074061914409 -482.063002242163</t>
  </si>
  <si>
    <t>-807.86562383276 55.9358055232299 -606.450328622888</t>
  </si>
  <si>
    <t>-772.64880101816 52.7299120301946 -681.646854740354</t>
  </si>
  <si>
    <t>-810.600676467593 86.5368184474655 -553.258148960742</t>
  </si>
  <si>
    <t>-814.933952882431 222.988670522036 -537.151894948151</t>
  </si>
  <si>
    <t>-718.476670761578 263.567091399607 -262.123625627878</t>
  </si>
  <si>
    <t>-478.028344792041 249.145987293077 -267.364123962699</t>
  </si>
  <si>
    <t>-805.18439594548 31.4705835373272 -550.169113362817</t>
  </si>
  <si>
    <t>-627.971095080286 27.4769085311907 -314.587725962968</t>
  </si>
  <si>
    <t>-791.858344622393 178.136696198836 -95.239173795408</t>
  </si>
  <si>
    <t>-777.283478491691 180.32563989023 308.044225043442</t>
  </si>
  <si>
    <t>-855.820378461536 200.214420427098 748.551827616221</t>
  </si>
  <si>
    <t>-710.8745374405 219.528543595953 809.420008249187</t>
  </si>
  <si>
    <t>-683.256262947579 -5.28145185691733 306.34299447503</t>
  </si>
  <si>
    <t>-694.790081257225 -13.9339384927207 754.018613186432</t>
  </si>
  <si>
    <t>-593.313507561426 -110.165943151002 828.377072282785</t>
  </si>
  <si>
    <t>9763-20170724T105148.244573900.bin</t>
  </si>
  <si>
    <t>-769.658955025355 84.9467623951527 -92.6190136404541</t>
  </si>
  <si>
    <t>-790.747699876291 77.9449370603729 -206.296041439296</t>
  </si>
  <si>
    <t>-800.03600323783 72.5583179370933 -304.333639128086</t>
  </si>
  <si>
    <t>-805.489287044921 67.6799674925473 -393.129493977999</t>
  </si>
  <si>
    <t>-807.649692238791 62.7634323282261 -482.064280773271</t>
  </si>
  <si>
    <t>-807.216235403062 55.7695734575502 -606.449657150119</t>
  </si>
  <si>
    <t>-771.83218734096 52.0836733058468 -681.545618112456</t>
  </si>
  <si>
    <t>-810.127347261765 86.3784379233025 -553.271310563359</t>
  </si>
  <si>
    <t>-814.575263879382 222.834830944782 -537.212722041444</t>
  </si>
  <si>
    <t>-718.342092644772 263.4203821734 -262.106908175815</t>
  </si>
  <si>
    <t>-477.911169885067 248.766855237096 -267.505580285131</t>
  </si>
  <si>
    <t>-804.686747792922 31.3161295926541 -550.156340731233</t>
  </si>
  <si>
    <t>-627.776068319416 27.3953965540875 -314.493217512109</t>
  </si>
  <si>
    <t>-792.134269677307 178.111953180205 -95.2060803814339</t>
  </si>
  <si>
    <t>-777.28730894425 180.290099418937 308.067463481209</t>
  </si>
  <si>
    <t>-855.832873060248 200.220067036205 748.572836068733</t>
  </si>
  <si>
    <t>-710.911783234349 219.736096390317 809.435894963659</t>
  </si>
  <si>
    <t>-683.226274048541 -5.34802893166102 306.347787131828</t>
  </si>
  <si>
    <t>-694.810994358228 -13.9711916265869 754.020146464722</t>
  </si>
  <si>
    <t>-593.250051921995 -110.119567359978 828.371823314809</t>
  </si>
  <si>
    <t>9763-20170724T105148.306744500.bin</t>
  </si>
  <si>
    <t>-769.876781976442 84.8023818564643 -92.5781264669421</t>
  </si>
  <si>
    <t>-790.999887282596 77.7479435223763 -206.245521629075</t>
  </si>
  <si>
    <t>-800.021698364866 72.3014253534623 -304.304653240789</t>
  </si>
  <si>
    <t>-805.11483154832 67.3582876323376 -393.118353190995</t>
  </si>
  <si>
    <t>-806.795924123668 62.3643404923671 -482.059201517015</t>
  </si>
  <si>
    <t>-805.568143334647 55.2473281257992 -606.432306202552</t>
  </si>
  <si>
    <t>-770.169765162017 49.3981597662951 -681.384077512509</t>
  </si>
  <si>
    <t>-808.879312581279 85.9027155779538 -553.304161825497</t>
  </si>
  <si>
    <t>-813.668257114788 222.361536978695 -537.343923630093</t>
  </si>
  <si>
    <t>-717.747555560692 262.977349029337 -262.1336061778</t>
  </si>
  <si>
    <t>-477.332089635457 248.135147468872 -267.699041113721</t>
  </si>
  <si>
    <t>-803.337646027522 30.855589271735 -550.099381205718</t>
  </si>
  <si>
    <t>-627.082556082064 27.0943293836544 -314.16066272068</t>
  </si>
  <si>
    <t>-792.416212050531 177.934996458997 -95.1779800596847</t>
  </si>
  <si>
    <t>-777.322553616173 180.267264002021 308.08544148391</t>
  </si>
  <si>
    <t>-855.817110071138 200.188340544473 748.605369064699</t>
  </si>
  <si>
    <t>-710.884628438677 219.473778728877 809.514620374472</t>
  </si>
  <si>
    <t>-683.222132730403 -5.34411112470207 306.379924788711</t>
  </si>
  <si>
    <t>-694.770119106052 -13.9001537763991 754.021306149883</t>
  </si>
  <si>
    <t>-593.188018239354 -110.026237096927 828.372783822745</t>
  </si>
  <si>
    <t>9763-20170724T105148.343866700.bin</t>
  </si>
  <si>
    <t>-769.921677867015 84.7457112907657 -92.5627117614362</t>
  </si>
  <si>
    <t>-791.022196251094 77.686441621305 -206.233954933205</t>
  </si>
  <si>
    <t>-799.870882093708 72.2466266508659 -304.309196283793</t>
  </si>
  <si>
    <t>-804.744986955214 67.3114430235887 -393.135631049984</t>
  </si>
  <si>
    <t>-806.144546210208 62.3269803375742 -482.082027681841</t>
  </si>
  <si>
    <t>-804.457586283357 55.2234970200304 -606.450247977263</t>
  </si>
  <si>
    <t>-769.280298388707 47.8109360612495 -681.367857372828</t>
  </si>
  <si>
    <t>-808.009878487195 85.8684716134742 -553.331873320365</t>
  </si>
  <si>
    <t>-813.09439526647 222.313184803789 -537.349233294024</t>
  </si>
  <si>
    <t>-717.328965472975 262.818189095838 -262.068350627305</t>
  </si>
  <si>
    <t>-476.930934135732 247.773043501162 -267.839595448773</t>
  </si>
  <si>
    <t>-802.389972163966 30.8302306837702 -550.111960692249</t>
  </si>
  <si>
    <t>-626.553771353532 26.9773654079615 -314.047016755301</t>
  </si>
  <si>
    <t>-792.509386451118 177.828332998882 -95.1663168196283</t>
  </si>
  <si>
    <t>-777.375436473942 180.305728292293 308.094719753268</t>
  </si>
  <si>
    <t>-855.821979337276 200.159561471793 748.620872963383</t>
  </si>
  <si>
    <t>-710.892728771775 219.467319543948 809.531063016813</t>
  </si>
  <si>
    <t>-683.175344193643 -5.28270244228202 306.373980593127</t>
  </si>
  <si>
    <t>-694.689144333531 -13.751229987327 754.019942195634</t>
  </si>
  <si>
    <t>-593.353726590333 -110.126052972583 828.386281780738</t>
  </si>
  <si>
    <t>9763-20170724T105148.408579700.bin</t>
  </si>
  <si>
    <t>-770.139356335043 84.6563973606121 -92.4963553093271</t>
  </si>
  <si>
    <t>-791.228737995748 77.6839240200181 -206.174993762095</t>
  </si>
  <si>
    <t>-799.812074647431 72.3535876415881 -304.280018134555</t>
  </si>
  <si>
    <t>-804.342461107284 67.5302270387301 -393.130723251116</t>
  </si>
  <si>
    <t>-805.29397784319 62.670625208855 -482.08983685173</t>
  </si>
  <si>
    <t>-802.87148351857 55.7551930446793 -606.456704366194</t>
  </si>
  <si>
    <t>-768.565234591291 45.1325761907626 -681.391848271117</t>
  </si>
  <si>
    <t>-806.824670563494 86.3107528251212 -553.315052129431</t>
  </si>
  <si>
    <t>-812.189670768385 222.716354906541 -537.122623420355</t>
  </si>
  <si>
    <t>-716.701455596628 263.023568861837 -261.716407377676</t>
  </si>
  <si>
    <t>-476.352413235051 247.54995646054 -268.327938528611</t>
  </si>
  <si>
    <t>-801.050297185872 31.2857290809588 -550.142889942534</t>
  </si>
  <si>
    <t>-625.436745666476 27.0673347471272 -314.005528107937</t>
  </si>
  <si>
    <t>-792.677888930659 177.73051495336 -95.0825330146299</t>
  </si>
  <si>
    <t>-777.505031296776 180.298081804514 308.176531096639</t>
  </si>
  <si>
    <t>-855.855700829808 200.064696953578 748.680020646061</t>
  </si>
  <si>
    <t>-710.970464428046 219.87164702485 809.534381983602</t>
  </si>
  <si>
    <t>-683.288094923474 -5.40443022075101 306.351507458143</t>
  </si>
  <si>
    <t>-694.777824929588 -13.9284395062828 754.031085879957</t>
  </si>
  <si>
    <t>-593.321109827836 -110.185220011254 828.384599115243</t>
  </si>
  <si>
    <t>9763-20170724T105148.441668200.bin</t>
  </si>
  <si>
    <t>-770.142605424973 84.7303779365359 -92.4606603725367</t>
  </si>
  <si>
    <t>-791.265586990193 77.806902007103 -206.136144186123</t>
  </si>
  <si>
    <t>-799.799652654091 72.5017763966932 -304.246682369673</t>
  </si>
  <si>
    <t>-804.254452104653 67.6953578846501 -393.102152813801</t>
  </si>
  <si>
    <t>-805.099167942106 62.8471934113982 -482.062956071711</t>
  </si>
  <si>
    <t>-802.495043077636 55.9423211820763 -606.426653506181</t>
  </si>
  <si>
    <t>-768.796469475522 43.8686046907724 -681.41779021291</t>
  </si>
  <si>
    <t>-806.540417070224 86.4918235489372 -553.28859648012</t>
  </si>
  <si>
    <t>-811.915898395532 222.898488488099 -537.078233394523</t>
  </si>
  <si>
    <t>-716.597646420443 263.236080472333 -261.617581003998</t>
  </si>
  <si>
    <t>-476.28271508878 247.340088753442 -268.463804055073</t>
  </si>
  <si>
    <t>-800.741561020511 31.4696123347057 -550.112226829876</t>
  </si>
  <si>
    <t>-625.031029311998 27.2176288707988 -314.055263137011</t>
  </si>
  <si>
    <t>-792.575795730979 177.819098050126 -95.0239345328409</t>
  </si>
  <si>
    <t>-777.424453475252 180.263558734407 308.236626320828</t>
  </si>
  <si>
    <t>-855.846241850561 199.966476694511 748.726004389449</t>
  </si>
  <si>
    <t>-710.893626681424 219.295911465295 809.573532998667</t>
  </si>
  <si>
    <t>-683.175540373984 -5.33004452116029 306.330485959172</t>
  </si>
  <si>
    <t>-694.711897487798 -13.8243020837879 754.019924748749</t>
  </si>
  <si>
    <t>-593.602146899698 -110.427898090315 828.396239031457</t>
  </si>
  <si>
    <t>9763-20170724T105148.505852300.bin</t>
  </si>
  <si>
    <t>-770.100242340152 84.7643093356025 -92.3545332055204</t>
  </si>
  <si>
    <t>-791.353212348301 77.8997573856702 -206.009380368661</t>
  </si>
  <si>
    <t>-799.828071365768 72.523966702438 -304.121239738152</t>
  </si>
  <si>
    <t>-804.162211010837 67.6058995984783 -392.976368029179</t>
  </si>
  <si>
    <t>-804.820876139397 62.5962616214349 -481.929955942914</t>
  </si>
  <si>
    <t>-801.888978225119 55.412780031158 -606.270569988086</t>
  </si>
  <si>
    <t>-769.189588552477 41.0244819201303 -681.295646555221</t>
  </si>
  <si>
    <t>-806.019992840786 86.0871346122724 -553.210886507244</t>
  </si>
  <si>
    <t>-811.154188759804 222.525518906737 -537.207295805473</t>
  </si>
  <si>
    <t>-716.317378866157 263.337471354251 -261.650375857122</t>
  </si>
  <si>
    <t>-476.075789177669 246.39249977625 -268.55786486463</t>
  </si>
  <si>
    <t>-800.338287673952 31.0607487028226 -549.897877024861</t>
  </si>
  <si>
    <t>-624.421827385938 26.6817398684425 -314.225113603046</t>
  </si>
  <si>
    <t>-792.218005157515 177.965122159498 -94.880371709179</t>
  </si>
  <si>
    <t>-777.133257852204 180.1898154679 308.383971346679</t>
  </si>
  <si>
    <t>-855.877751711686 199.906950274707 748.814772673664</t>
  </si>
  <si>
    <t>-710.889781408491 219.098042130739 809.621633919088</t>
  </si>
  <si>
    <t>-682.800568207263 -5.46178586018505 306.324081761749</t>
  </si>
  <si>
    <t>-694.763066163391 -13.9700662996254 753.995542932063</t>
  </si>
  <si>
    <t>-593.29452554649 -110.198997966322 828.369220715511</t>
  </si>
  <si>
    <t>9763-20170724T105148.544956900.bin</t>
  </si>
  <si>
    <t>-770.051998920796 84.9085724385179 -92.3021323144438</t>
  </si>
  <si>
    <t>-791.35884138955 78.0544849388705 -205.947471815806</t>
  </si>
  <si>
    <t>-799.755042766032 72.5930463854861 -304.061332817549</t>
  </si>
  <si>
    <t>-803.969661975544 67.5580530640905 -392.915828123421</t>
  </si>
  <si>
    <t>-804.461191070442 62.390214988405 -481.861375316054</t>
  </si>
  <si>
    <t>-801.246561079335 54.9404917892471 -606.179344588999</t>
  </si>
  <si>
    <t>-768.855301092765 39.6709111269827 -681.163831970369</t>
  </si>
  <si>
    <t>-805.432355704405 85.7351257057355 -553.193625394679</t>
  </si>
  <si>
    <t>-810.402691497995 222.200181975644 -537.451770115946</t>
  </si>
  <si>
    <t>-715.879125706402 263.303138771082 -261.830529026577</t>
  </si>
  <si>
    <t>-475.673494079721 245.769822423691 -268.518967146537</t>
  </si>
  <si>
    <t>-799.889907972922 30.7023735574769 -549.752558071225</t>
  </si>
  <si>
    <t>-623.916558615046 26.2436941106232 -314.302085087233</t>
  </si>
  <si>
    <t>-792.052565619427 178.188697399229 -94.8272821616049</t>
  </si>
  <si>
    <t>-776.895438415863 180.212403037178 308.435467426015</t>
  </si>
  <si>
    <t>-855.882975427653 199.864907225697 748.841868699902</t>
  </si>
  <si>
    <t>-710.892412316842 219.083919686624 809.633849636927</t>
  </si>
  <si>
    <t>-682.593679058941 -5.36490683778402 306.340389916915</t>
  </si>
  <si>
    <t>-694.70211988057 -13.893481208813 753.977485237165</t>
  </si>
  <si>
    <t>-593.392152927605 -110.272045582171 828.373195409254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</si>
</sst>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Y2752"/>
  <sheetViews>
    <sheetView tabSelected="1" workbookViewId="0"/>
  </sheetViews>
  <sheetFormatPr defaultRowHeight="14.4" x14ac:dyDescent="0.3"/>
  <sheetData>
    <row r="1" spans="1:25" x14ac:dyDescent="0.3">
      <c r="A1">
        <v>0</v>
      </c>
      <c r="B1" t="s">
        <v>0</v>
      </c>
      <c r="C1">
        <f>-580.454165543911 -140.184188002848 -80.8223110512808</f>
        <v>-801.4606645980399</v>
      </c>
      <c r="D1">
        <f>-616.777894043598 -149.763862265067 -190.389824181881</f>
        <v>-956.93158049054614</v>
      </c>
      <c r="E1">
        <f>-629.005642718038 -149.956578484419 -288.252471886047</f>
        <v>-1067.214693088504</v>
      </c>
      <c r="F1">
        <f>-632.778299252783 -147.310719797229 -377.230010531854</f>
        <v>-1157.3190295818661</v>
      </c>
      <c r="G1">
        <f>-628.815808548245 -142.0712686874 -466.084314362117</f>
        <v>-1236.971391597762</v>
      </c>
      <c r="H1">
        <f>-615.121678303437 -132.271536886611 -589.523620514808</f>
        <v>-1336.9168357048561</v>
      </c>
      <c r="I1">
        <f>-582.716725568754 -141.991167317337 -665.421389419691</f>
        <v>-1390.129282305782</v>
      </c>
      <c r="J1">
        <f>-620.512783245801 -108.974634944654 -532.941770432107</f>
        <v>-1262.4291886225619</v>
      </c>
      <c r="K1" t="s">
        <v>1</v>
      </c>
      <c r="L1" t="s">
        <v>2</v>
      </c>
      <c r="M1">
        <f>-474.215437258842 -70.3919691963176 -250.535953037502</f>
        <v>-795.1433594926616</v>
      </c>
      <c r="N1">
        <f>-621.782923863101 -164.193152872786 -537.46649404768</f>
        <v>-1323.4425707835671</v>
      </c>
      <c r="O1">
        <f>-631.237491304451 -301.04172546847 -528.496844251331</f>
        <v>-1460.7760610242522</v>
      </c>
      <c r="P1">
        <f>-546.962188545387 -483.78920219383 -313.806007872447</f>
        <v>-1344.557398611664</v>
      </c>
      <c r="Q1">
        <f>-437.495605345355 -269.303537778402 -305.815996246777</f>
        <v>-1012.6151393705339</v>
      </c>
      <c r="R1">
        <f>-592.03496342927 -44.7299127011934 -85.8699939040297</f>
        <v>-722.63487003449302</v>
      </c>
      <c r="S1" t="s">
        <v>3</v>
      </c>
      <c r="T1" t="s">
        <v>4</v>
      </c>
      <c r="U1" t="s">
        <v>5</v>
      </c>
      <c r="V1">
        <f>-569.403397993551 -235.873970782772 -77.7866295621747</f>
        <v>-883.06399833849775</v>
      </c>
      <c r="W1" t="s">
        <v>6</v>
      </c>
      <c r="X1" t="s">
        <v>7</v>
      </c>
      <c r="Y1" t="s">
        <v>8</v>
      </c>
    </row>
    <row r="2" spans="1:25" x14ac:dyDescent="0.3">
      <c r="A2">
        <v>50</v>
      </c>
      <c r="B2" t="s">
        <v>9</v>
      </c>
      <c r="C2">
        <f>-579.917969620984 -140.059497524807 -80.6602083918149</f>
        <v>-800.6376755376059</v>
      </c>
      <c r="D2">
        <f>-616.320819153786 -149.713273870144 -190.19492399426</f>
        <v>-956.22901701819001</v>
      </c>
      <c r="E2">
        <f>-628.735590706483 -149.9868119989 -288.03391315048</f>
        <v>-1066.756315855863</v>
      </c>
      <c r="F2">
        <f>-632.725266784819 -147.419344525974 -377.00427633484</f>
        <v>-1157.1488876456331</v>
      </c>
      <c r="G2">
        <f>-629.026269472068 -142.262370524654 -465.874850365217</f>
        <v>-1237.163490361939</v>
      </c>
      <c r="H2">
        <f>-615.746620405488 -132.581213883977 -589.368743539154</f>
        <v>-1337.696577828619</v>
      </c>
      <c r="I2">
        <f>-583.360855727464 -142.384388611315 -665.26392464629</f>
        <v>-1391.009168985069</v>
      </c>
      <c r="J2">
        <f>-620.945041648983 -109.230150187511 -532.791160894661</f>
        <v>-1262.966352731155</v>
      </c>
      <c r="K2" t="s">
        <v>10</v>
      </c>
      <c r="L2" t="s">
        <v>11</v>
      </c>
      <c r="M2">
        <f>-472.349898879625 -68.5773400143439 -249.501334304193</f>
        <v>-790.42857319816198</v>
      </c>
      <c r="N2">
        <f>-622.235605387944 -164.452763140748 -537.259111936329</f>
        <v>-1323.947480465021</v>
      </c>
      <c r="O2">
        <f>-631.791084442842 -301.278856860086 -528.049697710934</f>
        <v>-1461.1196390138621</v>
      </c>
      <c r="P2">
        <f>-549.887495209981 -481.294252524051 -310.156565826401</f>
        <v>-1341.3383135604329</v>
      </c>
      <c r="Q2">
        <f>-438.360468120032 -267.778299470542 -305.304351210008</f>
        <v>-1011.4431188005819</v>
      </c>
      <c r="R2">
        <f>-591.53100854459 -44.5973555029173 -85.7575397065491</f>
        <v>-721.88590375405636</v>
      </c>
      <c r="S2" t="s">
        <v>12</v>
      </c>
      <c r="T2" t="s">
        <v>13</v>
      </c>
      <c r="U2" t="s">
        <v>14</v>
      </c>
      <c r="V2">
        <f>-568.821551155373 -235.8101336534 -77.6089362154328</f>
        <v>-882.24062102420567</v>
      </c>
      <c r="W2" t="s">
        <v>15</v>
      </c>
      <c r="X2" t="s">
        <v>16</v>
      </c>
      <c r="Y2" t="s">
        <v>17</v>
      </c>
    </row>
    <row r="3" spans="1:25" x14ac:dyDescent="0.3">
      <c r="A3">
        <v>100</v>
      </c>
      <c r="B3" t="s">
        <v>18</v>
      </c>
      <c r="C3">
        <f>-578.790361471897 -139.958693538304 -80.2585530572007</f>
        <v>-799.00760806740175</v>
      </c>
      <c r="D3">
        <f>-615.434702351244 -149.704047070757 -189.704643172606</f>
        <v>-954.84339259460705</v>
      </c>
      <c r="E3">
        <f>-628.242038019715 -150.139099419202 -287.492372428056</f>
        <v>-1065.8735098669731</v>
      </c>
      <c r="F3">
        <f>-632.662045613137 -147.745449975061 -376.447365277736</f>
        <v>-1156.8548608659339</v>
      </c>
      <c r="G3">
        <f>-629.466959555652 -142.786748392936 -465.348639936296</f>
        <v>-1237.602347884884</v>
      </c>
      <c r="H3">
        <f>-616.965997329694 -133.404233082168 -588.946708982838</f>
        <v>-1339.3169393947001</v>
      </c>
      <c r="I3">
        <f>-584.65327788331 -143.376446846432 -664.851094643235</f>
        <v>-1392.8808193729769</v>
      </c>
      <c r="J3">
        <f>-621.763567858655 -109.917777254853 -532.389859349334</f>
        <v>-1264.0712044628422</v>
      </c>
      <c r="K3" t="s">
        <v>19</v>
      </c>
      <c r="L3" t="s">
        <v>20</v>
      </c>
      <c r="M3">
        <f>-468.454736920115 -64.7834382123274 -245.745119936715</f>
        <v>-778.98329506915741</v>
      </c>
      <c r="N3">
        <f>-623.170659408477 -165.148164505844 -536.724769891072</f>
        <v>-1325.0435938053929</v>
      </c>
      <c r="O3">
        <f>-632.952543062239 -301.917358181377 -526.881188969757</f>
        <v>-1461.7510902133729</v>
      </c>
      <c r="P3">
        <f>-554.845108323809 -477.169532592626 -303.773371187633</f>
        <v>-1335.788012104068</v>
      </c>
      <c r="Q3">
        <f>-440.354337364507 -265.172485556559 -303.706395822631</f>
        <v>-1009.2332187436971</v>
      </c>
      <c r="R3">
        <f>-590.373464179378 -44.2228565931739 -85.4283068382284</f>
        <v>-720.02462761078027</v>
      </c>
      <c r="S3" t="s">
        <v>21</v>
      </c>
      <c r="T3" t="s">
        <v>22</v>
      </c>
      <c r="U3" t="s">
        <v>23</v>
      </c>
      <c r="V3">
        <f>-567.768468227896 -235.932998751917 -77.151993510944</f>
        <v>-880.85346049075702</v>
      </c>
      <c r="W3" t="s">
        <v>24</v>
      </c>
      <c r="X3" t="s">
        <v>25</v>
      </c>
      <c r="Y3" t="s">
        <v>26</v>
      </c>
    </row>
    <row r="4" spans="1:25" x14ac:dyDescent="0.3">
      <c r="A4">
        <v>150</v>
      </c>
      <c r="B4" t="s">
        <v>27</v>
      </c>
      <c r="C4">
        <f>-578.154580608776 -139.953977150421 -80.061324411775</f>
        <v>-798.16988217097196</v>
      </c>
      <c r="D4">
        <f>-614.986033909631 -149.727798982883 -189.442023149553</f>
        <v>-954.15585604206694</v>
      </c>
      <c r="E4">
        <f>-628.016145776976 -150.236229552278 -287.200016836729</f>
        <v>-1065.4523921659829</v>
      </c>
      <c r="F4">
        <f>-632.661480751441 -147.928544146396 -376.145648522952</f>
        <v>-1156.735673420789</v>
      </c>
      <c r="G4">
        <f>-629.714508674964 -143.076766294079 -465.061423444177</f>
        <v>-1237.85269841322</v>
      </c>
      <c r="H4">
        <f>-617.581802430627 -133.865811751293 -588.709147449508</f>
        <v>-1340.156761631428</v>
      </c>
      <c r="I4">
        <f>-585.33851083552 -143.965427577491 -664.62620195586</f>
        <v>-1393.930140368871</v>
      </c>
      <c r="J4">
        <f>-622.136961848561 -110.303392322009 -532.163844512011</f>
        <v>-1264.604198682581</v>
      </c>
      <c r="K4" t="s">
        <v>28</v>
      </c>
      <c r="L4" t="s">
        <v>29</v>
      </c>
      <c r="M4">
        <f>-467.408254058672 -63.4599208131906 -244.534515526363</f>
        <v>-775.40269039822556</v>
      </c>
      <c r="N4">
        <f>-623.704635632943 -165.534683966785 -536.432031254594</f>
        <v>-1325.6713508543221</v>
      </c>
      <c r="O4">
        <f>-633.705125425527 -302.265055253471 -526.323101919453</f>
        <v>-1462.293282598451</v>
      </c>
      <c r="P4">
        <f>-556.496234197268 -476.202534907555 -301.877486802976</f>
        <v>-1334.5762559077989</v>
      </c>
      <c r="Q4">
        <f>-441.752477541692 -264.344241954601 -302.788281755007</f>
        <v>-1008.8850012513</v>
      </c>
      <c r="R4">
        <f>-589.679002686714 -44.2388905863688 -85.253209602188</f>
        <v>-719.17110287527089</v>
      </c>
      <c r="S4" t="s">
        <v>30</v>
      </c>
      <c r="T4" t="s">
        <v>31</v>
      </c>
      <c r="U4" t="s">
        <v>32</v>
      </c>
      <c r="V4">
        <f>-567.175275290039 -235.870820701811 -76.8654261671754</f>
        <v>-879.91152215902548</v>
      </c>
      <c r="W4" t="s">
        <v>33</v>
      </c>
      <c r="X4" t="s">
        <v>34</v>
      </c>
      <c r="Y4" t="s">
        <v>35</v>
      </c>
    </row>
    <row r="5" spans="1:25" x14ac:dyDescent="0.3">
      <c r="A5">
        <v>200</v>
      </c>
      <c r="B5" t="s">
        <v>36</v>
      </c>
      <c r="C5">
        <f>-577.181964786794 -140.144208227433 -79.634075068843</f>
        <v>-796.96024808306993</v>
      </c>
      <c r="D5">
        <f>-614.239228302308 -149.90135509719 -188.939968691886</f>
        <v>-953.08055209138388</v>
      </c>
      <c r="E5">
        <f>-627.655419321891 -150.518761818638 -286.645034939026</f>
        <v>-1064.8192160795552</v>
      </c>
      <c r="F5">
        <f>-632.726884971701 -148.359305075768 -375.571180524854</f>
        <v>-1156.6573705723231</v>
      </c>
      <c r="G5">
        <f>-630.280102987415 -143.709355419197 -464.512934231374</f>
        <v>-1238.5023926379861</v>
      </c>
      <c r="H5">
        <f>-618.921606837261 -134.837094385869 -588.259003348333</f>
        <v>-1342.0177045714631</v>
      </c>
      <c r="I5">
        <f>-586.87540061863 -145.227060205006 -664.220241350602</f>
        <v>-1396.322702174238</v>
      </c>
      <c r="J5">
        <f>-622.898452344332 -111.12878420714 -531.730871865332</f>
        <v>-1265.7581084168041</v>
      </c>
      <c r="K5" t="s">
        <v>37</v>
      </c>
      <c r="L5" t="s">
        <v>38</v>
      </c>
      <c r="M5">
        <f>-466.153721110944 -62.3518594202772 -242.353359120146</f>
        <v>-770.85893965136722</v>
      </c>
      <c r="N5">
        <f>-624.941434901608 -166.353863005931 -535.878014738097</f>
        <v>-1327.1733126456361</v>
      </c>
      <c r="O5">
        <f>-635.609269831 -303.017180367221 -525.461133188084</f>
        <v>-1464.0875833863049</v>
      </c>
      <c r="P5">
        <f>-555.914174356245 -478.558688755844 -303.143612924928</f>
        <v>-1337.616476037017</v>
      </c>
      <c r="Q5">
        <f>-444.195301689016 -265.103465842878 -300.571632491485</f>
        <v>-1009.870400023379</v>
      </c>
      <c r="R5">
        <f>-588.391817179883 -44.323833545074 -84.9298142957707</f>
        <v>-717.64546502072767</v>
      </c>
      <c r="S5" t="s">
        <v>39</v>
      </c>
      <c r="T5" t="s">
        <v>40</v>
      </c>
      <c r="U5" t="s">
        <v>41</v>
      </c>
      <c r="V5">
        <f>-566.543276621608 -236.182435358474 -76.3187855938435</f>
        <v>-879.04449757392547</v>
      </c>
      <c r="W5" t="s">
        <v>42</v>
      </c>
      <c r="X5" t="s">
        <v>43</v>
      </c>
      <c r="Y5" t="s">
        <v>44</v>
      </c>
    </row>
    <row r="6" spans="1:25" x14ac:dyDescent="0.3">
      <c r="A6">
        <v>250</v>
      </c>
      <c r="B6" t="s">
        <v>45</v>
      </c>
      <c r="C6">
        <f>-576.76888795899 -140.289774216177 -79.471030530671</f>
        <v>-796.52969270583799</v>
      </c>
      <c r="D6">
        <f>-613.950190931739 -149.965368198056 -188.742019514615</f>
        <v>-952.65757864441002</v>
      </c>
      <c r="E6">
        <f>-627.53124796695 -150.548771441275 -286.424683128595</f>
        <v>-1064.5047025368199</v>
      </c>
      <c r="F6">
        <f>-632.774387688512 -148.372633615121 -375.340349972388</f>
        <v>-1156.4873712760209</v>
      </c>
      <c r="G6">
        <f>-630.521401533607 -143.72188536965 -464.287080858693</f>
        <v>-1238.5303677619499</v>
      </c>
      <c r="H6">
        <f>-619.45530909554 -134.866064814427 -588.060896200503</f>
        <v>-1342.38227011047</v>
      </c>
      <c r="I6">
        <f>-587.486653654406 -145.358726952422 -664.040742668561</f>
        <v>-1396.8861232753891</v>
      </c>
      <c r="J6">
        <f>-623.174623175314 -111.156036872547 -531.516025213968</f>
        <v>-1265.846685261829</v>
      </c>
      <c r="K6" t="s">
        <v>46</v>
      </c>
      <c r="L6" t="s">
        <v>47</v>
      </c>
      <c r="M6">
        <f>-465.318442217421 -62.0855223551507 -240.881698753308</f>
        <v>-768.28566332587968</v>
      </c>
      <c r="N6">
        <f>-625.475315353274 -166.370083610832 -535.672270839747</f>
        <v>-1327.5176698038531</v>
      </c>
      <c r="O6">
        <f>-636.56219709262 -303.003984287204 -525.322837533223</f>
        <v>-1464.889018913047</v>
      </c>
      <c r="P6">
        <f>-553.325211670191 -481.581132414641 -306.752419254339</f>
        <v>-1341.6587633391709</v>
      </c>
      <c r="Q6">
        <f>-445.0701090453 -266.44628551924 -299.77678476341</f>
        <v>-1011.2931793279499</v>
      </c>
      <c r="R6">
        <f>-587.712820933364 -44.4044831322856 -84.7948739374475</f>
        <v>-716.9121780030971</v>
      </c>
      <c r="S6" t="s">
        <v>48</v>
      </c>
      <c r="T6" t="s">
        <v>49</v>
      </c>
      <c r="U6" t="s">
        <v>50</v>
      </c>
      <c r="V6">
        <f>-566.369300533812 -236.3265839571 -76.1477263374885</f>
        <v>-878.84361082840053</v>
      </c>
      <c r="W6" t="s">
        <v>51</v>
      </c>
      <c r="X6" t="s">
        <v>52</v>
      </c>
      <c r="Y6" t="s">
        <v>53</v>
      </c>
    </row>
    <row r="7" spans="1:25" x14ac:dyDescent="0.3">
      <c r="A7">
        <v>300</v>
      </c>
      <c r="B7" t="s">
        <v>54</v>
      </c>
      <c r="C7">
        <f>-576.049434653915 -140.216485457516 -79.3344196720901</f>
        <v>-795.60033978352112</v>
      </c>
      <c r="D7">
        <f>-613.346006901256 -149.643380518829 -188.587842075195</f>
        <v>-951.57722949527999</v>
      </c>
      <c r="E7">
        <f>-627.104596335452 -149.913611914061 -286.247022526401</f>
        <v>-1063.265230775914</v>
      </c>
      <c r="F7">
        <f>-632.537755121506 -147.410747783881 -375.142644040156</f>
        <v>-1155.091146945543</v>
      </c>
      <c r="G7">
        <f>-630.502151507047 -142.392631657634 -464.074863751449</f>
        <v>-1236.9696469161299</v>
      </c>
      <c r="H7">
        <f>-619.765902526254 -132.981108476583 -587.836546457902</f>
        <v>-1340.583557460739</v>
      </c>
      <c r="I7">
        <f>-587.784231765945 -143.502184959349 -663.806990469706</f>
        <v>-1395.0934071950001</v>
      </c>
      <c r="J7">
        <f>-623.163076067812 -109.534000367438 -531.162114132394</f>
        <v>-1263.859190567644</v>
      </c>
      <c r="K7" t="s">
        <v>55</v>
      </c>
      <c r="L7" t="s">
        <v>56</v>
      </c>
      <c r="M7">
        <f>-463.324738338215 -60.5452503363535 -240.385512404927</f>
        <v>-764.2555010794955</v>
      </c>
      <c r="N7">
        <f>-625.817679302866 -164.711190753878 -535.588276182248</f>
        <v>-1326.1171462389921</v>
      </c>
      <c r="O7">
        <f>-637.143016356429 -301.393246652216 -526.080815577256</f>
        <v>-1464.617078585901</v>
      </c>
      <c r="P7">
        <f>-546.117799645825 -486.890161285442 -316.565701975353</f>
        <v>-1349.57366290662</v>
      </c>
      <c r="Q7">
        <f>-445.652594945733 -268.569803381952 -299.42455228868</f>
        <v>-1013.6469506163648</v>
      </c>
      <c r="R7">
        <f>-586.611757252605 -44.380039701897 -84.6169508123032</f>
        <v>-715.60874776680521</v>
      </c>
      <c r="S7" t="s">
        <v>57</v>
      </c>
      <c r="T7" t="s">
        <v>58</v>
      </c>
      <c r="U7" t="s">
        <v>59</v>
      </c>
      <c r="V7">
        <f>-566.062699391649 -235.935663818688 -76.0768358202216</f>
        <v>-878.07519903055857</v>
      </c>
      <c r="W7" t="s">
        <v>60</v>
      </c>
      <c r="X7" t="s">
        <v>61</v>
      </c>
      <c r="Y7" t="s">
        <v>62</v>
      </c>
    </row>
    <row r="8" spans="1:25" x14ac:dyDescent="0.3">
      <c r="A8">
        <v>350</v>
      </c>
      <c r="B8" t="s">
        <v>63</v>
      </c>
      <c r="C8">
        <f>-575.87373721376 -140.025233258041 -79.3295275855712</f>
        <v>-795.22849805737224</v>
      </c>
      <c r="D8">
        <f>-613.173484710291 -149.309137339731 -188.594088266528</f>
        <v>-951.07671031654991</v>
      </c>
      <c r="E8">
        <f>-626.951093366893 -149.349968325419 -286.250873439603</f>
        <v>-1062.5519351319151</v>
      </c>
      <c r="F8">
        <f>-632.406498239652 -146.595848302823 -375.13780049741</f>
        <v>-1154.1401470398851</v>
      </c>
      <c r="G8">
        <f>-630.396802295411 -141.282806567626 -464.053344657487</f>
        <v>-1235.732953520524</v>
      </c>
      <c r="H8">
        <f>-619.699973321239 -131.414280504944 -587.782898242419</f>
        <v>-1338.8971520686021</v>
      </c>
      <c r="I8">
        <f>-587.651688728162 -141.856517795324 -663.736212842546</f>
        <v>-1393.2444193660322</v>
      </c>
      <c r="J8">
        <f>-623.056684441284 -108.177880868381 -531.019209104215</f>
        <v>-1262.2537744138799</v>
      </c>
      <c r="K8" t="s">
        <v>64</v>
      </c>
      <c r="L8" t="s">
        <v>65</v>
      </c>
      <c r="M8">
        <f>-461.781026826607 -58.9587734719603 -239.629512583712</f>
        <v>-760.36931288227925</v>
      </c>
      <c r="N8">
        <f>-625.757551929107 -163.335943500706 -535.652051668416</f>
        <v>-1324.7455470982291</v>
      </c>
      <c r="O8">
        <f>-636.988152161566 -300.059045475287 -526.834168396618</f>
        <v>-1463.8813660334708</v>
      </c>
      <c r="P8">
        <f>-543.34349635642 -487.606458750626 -320.32048805159</f>
        <v>-1351.270443158636</v>
      </c>
      <c r="Q8">
        <f>-445.829873530515 -268.245179730557 -299.763624694863</f>
        <v>-1013.8386779559351</v>
      </c>
      <c r="R8">
        <f>-586.314871371012 -44.4530242574556 -84.5538226867777</f>
        <v>-715.32171831524533</v>
      </c>
      <c r="S8" t="s">
        <v>66</v>
      </c>
      <c r="T8" t="s">
        <v>67</v>
      </c>
      <c r="U8" t="s">
        <v>68</v>
      </c>
      <c r="V8">
        <f>-566.008061468744 -235.515318615958 -76.1488142359621</f>
        <v>-877.67219432066418</v>
      </c>
      <c r="W8" t="s">
        <v>69</v>
      </c>
      <c r="X8" t="s">
        <v>70</v>
      </c>
      <c r="Y8" t="s">
        <v>71</v>
      </c>
    </row>
    <row r="9" spans="1:25" x14ac:dyDescent="0.3">
      <c r="A9">
        <v>400</v>
      </c>
      <c r="B9" t="s">
        <v>72</v>
      </c>
      <c r="C9">
        <f>-576.031947257709 -140.248281754045 -79.430044535925</f>
        <v>-795.71027354767909</v>
      </c>
      <c r="D9">
        <f>-613.35898383327 -149.184748237869 -188.714290412537</f>
        <v>-951.25802248367609</v>
      </c>
      <c r="E9">
        <f>-627.184435068609 -148.774795739508 -286.363425285743</f>
        <v>-1062.3226560938601</v>
      </c>
      <c r="F9">
        <f>-632.689402990179 -145.554069684887 -375.231665341719</f>
        <v>-1153.475138016785</v>
      </c>
      <c r="G9">
        <f>-630.733931933527 -139.717994046847 -464.115564118163</f>
        <v>-1234.5674900985368</v>
      </c>
      <c r="H9">
        <f>-620.115910311906 -129.061671083768 -587.786576607905</f>
        <v>-1336.9641580035791</v>
      </c>
      <c r="I9">
        <f>-587.872440654632 -139.272083633824 -663.688714427781</f>
        <v>-1390.8332387162368</v>
      </c>
      <c r="J9">
        <f>-623.41824448929 -106.188349293871 -530.872483322895</f>
        <v>-1260.4790771060561</v>
      </c>
      <c r="K9" t="s">
        <v>73</v>
      </c>
      <c r="L9" t="s">
        <v>74</v>
      </c>
      <c r="M9">
        <f>-461.873757606884 -59.1348565888168 -239.869512790917</f>
        <v>-760.87812698661787</v>
      </c>
      <c r="N9">
        <f>-626.158408721406 -161.313640064539 -535.857611981904</f>
        <v>-1323.329660767849</v>
      </c>
      <c r="O9">
        <f>-637.299731376243 -298.105175512609 -528.114416978101</f>
        <v>-1463.5193238669531</v>
      </c>
      <c r="P9">
        <f>-539.045171486056 -487.159930550908 -325.147559197747</f>
        <v>-1351.3526612347109</v>
      </c>
      <c r="Q9">
        <f>-445.097123680013 -266.542223933212 -301.643970098984</f>
        <v>-1013.2833177122091</v>
      </c>
      <c r="R9">
        <f>-586.103293537322 -45.0930772738855 -84.4212713051837</f>
        <v>-715.61764211639115</v>
      </c>
      <c r="S9" t="s">
        <v>75</v>
      </c>
      <c r="T9" t="s">
        <v>76</v>
      </c>
      <c r="U9" t="s">
        <v>77</v>
      </c>
      <c r="V9">
        <f>-566.530452729526 -235.593524762505 -76.4997155851589</f>
        <v>-878.62369307718996</v>
      </c>
      <c r="W9" t="s">
        <v>78</v>
      </c>
      <c r="X9" t="s">
        <v>79</v>
      </c>
      <c r="Y9" t="s">
        <v>80</v>
      </c>
    </row>
    <row r="10" spans="1:25" x14ac:dyDescent="0.3">
      <c r="A10">
        <v>450</v>
      </c>
      <c r="B10" t="s">
        <v>81</v>
      </c>
      <c r="C10">
        <f>-576.115863707298 -140.171663496839 -79.5769440913141</f>
        <v>-795.86447129545104</v>
      </c>
      <c r="D10">
        <f>-613.415516166505 -148.906025375667 -188.886996185131</f>
        <v>-951.208537727303</v>
      </c>
      <c r="E10">
        <f>-627.221942039745 -148.257099216307 -286.537498117374</f>
        <v>-1062.016539373426</v>
      </c>
      <c r="F10">
        <f>-632.710298916779 -144.795175155046 -375.397667222091</f>
        <v>-1152.903141293916</v>
      </c>
      <c r="G10">
        <f>-630.73889062704 -138.693865419265 -464.263428515828</f>
        <v>-1233.6961845621329</v>
      </c>
      <c r="H10">
        <f>-620.098595411431 -127.643068839472 -587.897809525411</f>
        <v>-1335.6394737763139</v>
      </c>
      <c r="I10">
        <f>-587.720236893643 -137.769158336073 -663.753936947667</f>
        <v>-1389.2433321773829</v>
      </c>
      <c r="J10">
        <f>-623.406701596718 -104.951610550882 -530.91126431955</f>
        <v>-1259.26957646715</v>
      </c>
      <c r="K10" t="s">
        <v>82</v>
      </c>
      <c r="L10" t="s">
        <v>83</v>
      </c>
      <c r="M10">
        <f>-463.63387250879 -59.8403880948588 -240.934768622378</f>
        <v>-764.40902922602675</v>
      </c>
      <c r="N10">
        <f>-626.154863699712 -160.060303034165 -536.073559213251</f>
        <v>-1322.2887259471281</v>
      </c>
      <c r="O10">
        <f>-637.290714181087 -296.895003068724 -528.832399328168</f>
        <v>-1463.0181165779791</v>
      </c>
      <c r="P10">
        <f>-537.540093628328 -485.471160050967 -326.150404786811</f>
        <v>-1349.161658466106</v>
      </c>
      <c r="Q10">
        <f>-444.008416483086 -264.670969705893 -302.699522610932</f>
        <v>-1011.378908799911</v>
      </c>
      <c r="R10">
        <f>-586.066375829471 -45.2831756104149 -84.4110173460842</f>
        <v>-715.76056878597012</v>
      </c>
      <c r="S10" t="s">
        <v>84</v>
      </c>
      <c r="T10" t="s">
        <v>85</v>
      </c>
      <c r="U10" t="s">
        <v>86</v>
      </c>
      <c r="V10">
        <f>-566.705663375689 -235.056983239139 -76.7580791878033</f>
        <v>-878.52072580263132</v>
      </c>
      <c r="W10" t="s">
        <v>87</v>
      </c>
      <c r="X10" t="s">
        <v>88</v>
      </c>
      <c r="Y10" t="s">
        <v>89</v>
      </c>
    </row>
    <row r="11" spans="1:25" x14ac:dyDescent="0.3">
      <c r="A11">
        <v>500</v>
      </c>
      <c r="B11" t="s">
        <v>90</v>
      </c>
      <c r="C11">
        <f>-576.973605684306 -139.465706335018 -80.3071289689399</f>
        <v>-796.74644098826388</v>
      </c>
      <c r="D11">
        <f>-614.008346654492 -147.636633237312 -189.75070527635</f>
        <v>-951.39568516815405</v>
      </c>
      <c r="E11">
        <f>-627.696551993678 -146.43790986432 -287.412528651246</f>
        <v>-1061.5469905092441</v>
      </c>
      <c r="F11">
        <f>-633.127036202937 -142.449734284752 -376.254333656031</f>
        <v>-1151.83110414372</v>
      </c>
      <c r="G11">
        <f>-631.147476490676 -135.78931480597 -465.079658267516</f>
        <v>-1232.016449564162</v>
      </c>
      <c r="H11">
        <f>-620.549209961587 -123.92041102743 -588.642006253773</f>
        <v>-1333.1116272427901</v>
      </c>
      <c r="I11">
        <f>-587.891257834381 -133.766053805015 -664.415049867537</f>
        <v>-1386.072361506933</v>
      </c>
      <c r="J11">
        <f>-623.946876862525 -101.600650603739 -531.514112124364</f>
        <v>-1257.0616395906281</v>
      </c>
      <c r="K11" t="s">
        <v>91</v>
      </c>
      <c r="L11" t="s">
        <v>92</v>
      </c>
      <c r="M11">
        <f>-468.051048155375 -59.3825334178298 -243.828411501533</f>
        <v>-771.2619930747378</v>
      </c>
      <c r="N11">
        <f>-626.479026142342 -156.686096081957 -537.022597819195</f>
        <v>-1320.187720043494</v>
      </c>
      <c r="O11">
        <f>-637.430039901029 -293.581560345976 -530.602461159165</f>
        <v>-1461.6140614061701</v>
      </c>
      <c r="P11">
        <f>-537.823657031624 -479.449987835207 -325.364407822767</f>
        <v>-1342.638052689598</v>
      </c>
      <c r="Q11">
        <f>-443.078232970341 -258.822897466136 -305.418112881618</f>
        <v>-1007.319243318095</v>
      </c>
      <c r="R11">
        <f>-586.608308406318 -45.1553319909519 -84.5779237461933</f>
        <v>-716.34156414346319</v>
      </c>
      <c r="S11" t="s">
        <v>93</v>
      </c>
      <c r="T11" t="s">
        <v>94</v>
      </c>
      <c r="U11" t="s">
        <v>95</v>
      </c>
      <c r="V11">
        <f>-567.795456457583 -233.654166734669 -78.0204083118898</f>
        <v>-879.47003150414173</v>
      </c>
      <c r="W11" t="s">
        <v>96</v>
      </c>
      <c r="X11" t="s">
        <v>97</v>
      </c>
      <c r="Y11" t="s">
        <v>98</v>
      </c>
    </row>
    <row r="12" spans="1:25" x14ac:dyDescent="0.3">
      <c r="A12">
        <v>550</v>
      </c>
      <c r="B12" t="s">
        <v>99</v>
      </c>
      <c r="C12">
        <f>-577.692907785961 -139.03352083098 -80.8716840652299</f>
        <v>-797.59811268217095</v>
      </c>
      <c r="D12">
        <f>-614.249658581718 -146.791407321629 -190.505768515354</f>
        <v>-951.546834418701</v>
      </c>
      <c r="E12">
        <f>-627.702952128828 -145.322294871189 -288.196696280344</f>
        <v>-1061.2219432803608</v>
      </c>
      <c r="F12">
        <f>-633.000749559551 -141.120584992103 -377.036498961186</f>
        <v>-1151.1578335128399</v>
      </c>
      <c r="G12">
        <f>-630.971732225688 -134.272634168527 -465.84662591456</f>
        <v>-1231.090992308775</v>
      </c>
      <c r="H12">
        <f>-620.39250707805 -122.164954956199 -589.387379909151</f>
        <v>-1331.9448419434002</v>
      </c>
      <c r="I12">
        <f>-587.576006755225 -131.810548906594 -665.117576237989</f>
        <v>-1384.504131899808</v>
      </c>
      <c r="J12">
        <f>-623.879726477971 -99.9504479819386 -532.223852740489</f>
        <v>-1256.0540272003987</v>
      </c>
      <c r="K12" t="s">
        <v>100</v>
      </c>
      <c r="L12" t="s">
        <v>101</v>
      </c>
      <c r="M12">
        <f>-469.447377979223 -57.7808301181938 -246.736529643948</f>
        <v>-773.96473774136473</v>
      </c>
      <c r="N12">
        <f>-626.216016131197 -155.035506307161 -537.822519257961</f>
        <v>-1319.074041696319</v>
      </c>
      <c r="O12">
        <f>-637.110040033676 -291.942885306928 -531.659197359697</f>
        <v>-1460.7121227003011</v>
      </c>
      <c r="P12">
        <f>-539.305446140344 -475.738713521313 -323.705890172539</f>
        <v>-1338.750049834196</v>
      </c>
      <c r="Q12">
        <f>-443.081747446043 -255.535078319153 -306.320532197137</f>
        <v>-1004.937357962333</v>
      </c>
      <c r="R12">
        <f>-587.397963873662 -44.7757142716694 -84.6497682277294</f>
        <v>-716.82344637306073</v>
      </c>
      <c r="S12" t="s">
        <v>102</v>
      </c>
      <c r="T12" t="s">
        <v>103</v>
      </c>
      <c r="U12" t="s">
        <v>104</v>
      </c>
      <c r="V12">
        <f>-568.212981384792 -233.115794485511 -78.9268289118053</f>
        <v>-880.25560478210821</v>
      </c>
      <c r="W12" t="s">
        <v>105</v>
      </c>
      <c r="X12" t="s">
        <v>106</v>
      </c>
      <c r="Y12" t="s">
        <v>107</v>
      </c>
    </row>
    <row r="13" spans="1:25" x14ac:dyDescent="0.3">
      <c r="A13">
        <v>600</v>
      </c>
      <c r="B13" t="s">
        <v>108</v>
      </c>
      <c r="C13">
        <f>-581.072285119818 -139.38925084978 -82.40896238162</f>
        <v>-802.87049835121809</v>
      </c>
      <c r="D13">
        <f>-615.420620656961 -145.864900142253 -192.837624874053</f>
        <v>-954.12314567326689</v>
      </c>
      <c r="E13">
        <f>-627.656456262264 -143.711198969012 -290.675776393974</f>
        <v>-1062.0434316252499</v>
      </c>
      <c r="F13">
        <f>-632.162325033306 -139.047519766403 -379.536201542487</f>
        <v>-1150.7460463421962</v>
      </c>
      <c r="G13">
        <f>-629.66327089399 -131.87865477757 -468.308885484929</f>
        <v>-1229.850811156489</v>
      </c>
      <c r="H13">
        <f>-618.771307008444 -119.45600796546 -591.791160089279</f>
        <v>-1330.0184750631829</v>
      </c>
      <c r="I13">
        <f>-585.458549275143 -128.177848650949 -667.416707427029</f>
        <v>-1381.0531053531211</v>
      </c>
      <c r="J13">
        <f>-622.692905571095 -97.3741926052639 -534.604450275341</f>
        <v>-1254.6715484516999</v>
      </c>
      <c r="K13" t="s">
        <v>109</v>
      </c>
      <c r="L13" t="s">
        <v>110</v>
      </c>
      <c r="M13">
        <f>-468.674593771762 -53.1540035709111 -248.801692207372</f>
        <v>-770.63028955004506</v>
      </c>
      <c r="N13">
        <f>-624.435498147312 -152.471189193894 -540.30103345616</f>
        <v>-1317.2077207973662</v>
      </c>
      <c r="O13">
        <f>-634.923338420078 -289.406573639619 -533.986887287528</f>
        <v>-1458.3167993472252</v>
      </c>
      <c r="P13">
        <f>-544.417130535562 -468.285915648605 -318.575528731617</f>
        <v>-1331.278574915784</v>
      </c>
      <c r="Q13">
        <f>-444.342072344635 -249.373467237177 -307.937926235694</f>
        <v>-1001.653465817506</v>
      </c>
      <c r="R13">
        <f>-591.050118248373 -44.5049590824897 -85.0126000194831</f>
        <v>-720.56767735034578</v>
      </c>
      <c r="S13" t="s">
        <v>111</v>
      </c>
      <c r="T13" t="s">
        <v>112</v>
      </c>
      <c r="U13" t="s">
        <v>113</v>
      </c>
      <c r="V13">
        <f>-571.235193169764 -234.688474605589 -81.3964710080621</f>
        <v>-887.32013878341513</v>
      </c>
      <c r="W13" t="s">
        <v>114</v>
      </c>
      <c r="X13" t="s">
        <v>115</v>
      </c>
      <c r="Y13" t="s">
        <v>116</v>
      </c>
    </row>
    <row r="14" spans="1:25" x14ac:dyDescent="0.3">
      <c r="A14">
        <v>650</v>
      </c>
      <c r="B14" t="s">
        <v>117</v>
      </c>
      <c r="C14">
        <f>-582.444853894435 -141.045532381718 -83.5590572560544</f>
        <v>-807.04944353220742</v>
      </c>
      <c r="D14">
        <f>-615.440774386468 -146.615893516466 -194.448361726515</f>
        <v>-956.50502962944904</v>
      </c>
      <c r="E14">
        <f>-626.794795342682 -144.078401359187 -292.383631641579</f>
        <v>-1063.256828343448</v>
      </c>
      <c r="F14">
        <f>-630.641390017425 -139.212740113222 -381.264326876033</f>
        <v>-1151.11845700668</v>
      </c>
      <c r="G14">
        <f>-627.632207820157 -131.973879663685 -470.015491831914</f>
        <v>-1229.621579315756</v>
      </c>
      <c r="H14">
        <f>-616.191681322974 -119.580005248338 -593.451109618651</f>
        <v>-1329.222796189963</v>
      </c>
      <c r="I14">
        <f>-582.421366974965 -127.269894533205 -668.985637315848</f>
        <v>-1378.6768988240181</v>
      </c>
      <c r="J14">
        <f>-620.573467782328 -97.4772894068794 -536.305766345513</f>
        <v>-1254.3565235347205</v>
      </c>
      <c r="K14" t="s">
        <v>118</v>
      </c>
      <c r="L14" t="s">
        <v>119</v>
      </c>
      <c r="M14">
        <f>-467.771453594975 -52.4313119669569 -249.220735029341</f>
        <v>-769.42350059127284</v>
      </c>
      <c r="N14">
        <f>-621.878607365287 -152.590684307202 -541.960665023006</f>
        <v>-1316.4299566954951</v>
      </c>
      <c r="O14">
        <f>-632.091747550233 -289.500568371386 -535.186586977521</f>
        <v>-1456.7789028991401</v>
      </c>
      <c r="P14">
        <f>-546.664790587716 -464.890276277812 -314.887081618345</f>
        <v>-1326.4421484838731</v>
      </c>
      <c r="Q14">
        <f>-443.960749545643 -247.018513024646 -309.002073050787</f>
        <v>-999.98133562107603</v>
      </c>
      <c r="R14">
        <f>-592.969956371288 -45.2094560023754 -85.459500379418</f>
        <v>-723.63891275308151</v>
      </c>
      <c r="S14" t="s">
        <v>120</v>
      </c>
      <c r="T14" t="s">
        <v>121</v>
      </c>
      <c r="U14" t="s">
        <v>122</v>
      </c>
      <c r="V14">
        <f>-571.719524569496 -237.525433137845 -83.293107788153</f>
        <v>-892.53806549549392</v>
      </c>
      <c r="W14" t="s">
        <v>123</v>
      </c>
      <c r="X14" t="s">
        <v>124</v>
      </c>
      <c r="Y14" t="s">
        <v>125</v>
      </c>
    </row>
    <row r="15" spans="1:25" x14ac:dyDescent="0.3">
      <c r="A15">
        <v>700</v>
      </c>
      <c r="B15" t="s">
        <v>126</v>
      </c>
      <c r="C15">
        <f>-583.557677499137 -147.001500728631 -85.8188249231648</f>
        <v>-816.37800315093273</v>
      </c>
      <c r="D15">
        <f>-613.552407319151 -150.744045883878 -197.633530908304</f>
        <v>-961.92998411133306</v>
      </c>
      <c r="E15">
        <f>-622.560273275071 -147.758714607197 -295.799778747035</f>
        <v>-1066.1187666293031</v>
      </c>
      <c r="F15">
        <f>-624.430458924077 -142.919762831635 -384.745339322589</f>
        <v>-1152.095561078301</v>
      </c>
      <c r="G15">
        <f>-619.616193489527 -136.118864746331 -473.451752713359</f>
        <v>-1229.186810949217</v>
      </c>
      <c r="H15">
        <f>-605.852783991614 -124.748932705654 -596.748539969192</f>
        <v>-1327.3502566664602</v>
      </c>
      <c r="I15">
        <f>-570.789659554822 -129.172266246243 -671.955182115076</f>
        <v>-1371.917107916141</v>
      </c>
      <c r="J15">
        <f>-611.627905635826 -102.164575216586 -539.916317065741</f>
        <v>-1253.7087979181529</v>
      </c>
      <c r="K15" t="s">
        <v>127</v>
      </c>
      <c r="L15" t="s">
        <v>128</v>
      </c>
      <c r="M15">
        <f>-465.707605852743 -55.8654544677017 -250.984796954548</f>
        <v>-772.55785727499267</v>
      </c>
      <c r="N15">
        <f>-612.190697157248 -157.339947843192 -545.067086518488</f>
        <v>-1314.597731518928</v>
      </c>
      <c r="O15">
        <f>-621.494869215492 -294.206483290978 -536.173240650216</f>
        <v>-1451.8745931566859</v>
      </c>
      <c r="P15">
        <f>-547.526616540315 -460.528791524382 -304.966089600172</f>
        <v>-1313.021497664869</v>
      </c>
      <c r="Q15">
        <f>-438.815972379559 -245.59156652457 -310.870279039261</f>
        <v>-995.27781794339012</v>
      </c>
      <c r="R15">
        <f>-595.848803661992 -48.8488304958025 -86.3279056291113</f>
        <v>-731.02553978690582</v>
      </c>
      <c r="S15" t="s">
        <v>129</v>
      </c>
      <c r="T15" t="s">
        <v>130</v>
      </c>
      <c r="U15" t="s">
        <v>131</v>
      </c>
      <c r="V15">
        <f>-571.153242837072 -245.352620890646 -87.174198650054</f>
        <v>-903.68006237777195</v>
      </c>
      <c r="W15" t="s">
        <v>132</v>
      </c>
      <c r="X15" t="s">
        <v>133</v>
      </c>
      <c r="Y15" t="s">
        <v>134</v>
      </c>
    </row>
    <row r="16" spans="1:25" x14ac:dyDescent="0.3">
      <c r="A16">
        <v>750</v>
      </c>
      <c r="B16" t="s">
        <v>135</v>
      </c>
      <c r="C16">
        <f>-584.482880566922 -146.607072960787 -86.3534542426429</f>
        <v>-817.44340777035188</v>
      </c>
      <c r="D16">
        <f>-613.099581643545 -149.731094959634 -198.547677413882</f>
        <v>-961.37835401706093</v>
      </c>
      <c r="E16">
        <f>-620.851956034577 -146.663595898669 -296.818448094073</f>
        <v>-1064.334000027319</v>
      </c>
      <c r="F16">
        <f>-621.576628219806 -141.929679389478 -385.786443325151</f>
        <v>-1149.2927509344349</v>
      </c>
      <c r="G16">
        <f>-615.617298735299 -135.408765355108 -474.444171687994</f>
        <v>-1225.470235778401</v>
      </c>
      <c r="H16">
        <f>-600.263946243113 -124.60971930151 -597.604560959024</f>
        <v>-1322.478226503647</v>
      </c>
      <c r="I16">
        <f>-564.353448181053 -127.220029928252 -672.49543661451</f>
        <v>-1364.0689147238149</v>
      </c>
      <c r="J16">
        <f>-606.905773694644 -101.760168790588 -540.973340484987</f>
        <v>-1249.639282970219</v>
      </c>
      <c r="K16" t="s">
        <v>136</v>
      </c>
      <c r="L16" t="s">
        <v>137</v>
      </c>
      <c r="M16">
        <f>-465.014234312659 -54.7536057401469 -251.70682013766</f>
        <v>-771.4746601904659</v>
      </c>
      <c r="N16">
        <f>-607.134598673491 -156.963435829135 -545.842352535815</f>
        <v>-1309.940387038441</v>
      </c>
      <c r="O16">
        <f>-615.606225448282 -293.780769442065 -535.680868537918</f>
        <v>-1445.0678634282649</v>
      </c>
      <c r="P16">
        <f>-548.020569909019 -455.338907861162 -299.201911303079</f>
        <v>-1302.56138907326</v>
      </c>
      <c r="Q16">
        <f>-436.444191947311 -242.143528479547 -311.421833252698</f>
        <v>-990.00955367955601</v>
      </c>
      <c r="R16">
        <f>-597.474523121153 -49.5113094403773 -86.4754022887179</f>
        <v>-733.46123485024816</v>
      </c>
      <c r="S16" t="s">
        <v>138</v>
      </c>
      <c r="T16" t="s">
        <v>139</v>
      </c>
      <c r="U16" t="s">
        <v>140</v>
      </c>
      <c r="V16">
        <f>-571.992968289816 -242.893771286009 -87.9790834188818</f>
        <v>-902.86582299470683</v>
      </c>
      <c r="W16" t="s">
        <v>141</v>
      </c>
      <c r="X16" t="s">
        <v>142</v>
      </c>
      <c r="Y16" t="s">
        <v>143</v>
      </c>
    </row>
    <row r="17" spans="1:25" x14ac:dyDescent="0.3">
      <c r="A17">
        <v>800</v>
      </c>
      <c r="B17" t="s">
        <v>144</v>
      </c>
      <c r="C17">
        <f>-586.320462290063 -146.108250094652 -86.5947789104908</f>
        <v>-819.02349129520587</v>
      </c>
      <c r="D17">
        <f>-611.973990650203 -148.542765350301 -199.520403040518</f>
        <v>-960.03715904102194</v>
      </c>
      <c r="E17">
        <f>-617.432941756402 -145.343507977473 -297.940994678368</f>
        <v>-1060.7174444122429</v>
      </c>
      <c r="F17">
        <f>-616.211784864356 -140.673581696061 -386.906998410374</f>
        <v>-1143.7923649707909</v>
      </c>
      <c r="G17">
        <f>-608.448997286602 -134.385783623872 -475.44208034847</f>
        <v>-1218.2768612589439</v>
      </c>
      <c r="H17">
        <f>-590.735849544227 -124.08185838435 -598.327555769812</f>
        <v>-1313.145263698389</v>
      </c>
      <c r="I17">
        <f>-553.818563041974 -123.36613437893 -672.76971909423</f>
        <v>-1349.9544165151342</v>
      </c>
      <c r="J17">
        <f>-598.918329859603 -101.002080361007 -541.992183569887</f>
        <v>-1241.9125937904969</v>
      </c>
      <c r="K17" t="s">
        <v>145</v>
      </c>
      <c r="L17" t="s">
        <v>146</v>
      </c>
      <c r="M17">
        <f>-463.135077281043 -53.1254729796619 -251.271699409844</f>
        <v>-767.53224967054894</v>
      </c>
      <c r="N17">
        <f>-598.142728036565 -156.230210610265 -546.511181710592</f>
        <v>-1300.884120357422</v>
      </c>
      <c r="O17">
        <f>-604.296984044309 -293.0473297498 -534.663082802486</f>
        <v>-1432.0073965965948</v>
      </c>
      <c r="P17">
        <f>-549.841632878491 -443.960147243171 -287.982957554638</f>
        <v>-1281.7847376763</v>
      </c>
      <c r="Q17">
        <f>-432.555069988203 -234.845466861477 -311.769490423736</f>
        <v>-979.17002727341605</v>
      </c>
      <c r="R17">
        <f>-600.238139282561 -51.459203967413 -86.5956823120183</f>
        <v>-738.29302556199229</v>
      </c>
      <c r="S17" t="s">
        <v>147</v>
      </c>
      <c r="T17" t="s">
        <v>148</v>
      </c>
      <c r="U17" t="s">
        <v>149</v>
      </c>
      <c r="V17">
        <f>-572.773038209017 -239.971603138716 -88.9603529939882</f>
        <v>-901.7049943417212</v>
      </c>
      <c r="W17" t="s">
        <v>150</v>
      </c>
      <c r="X17" t="s">
        <v>151</v>
      </c>
      <c r="Y17" t="s">
        <v>152</v>
      </c>
    </row>
    <row r="18" spans="1:25" x14ac:dyDescent="0.3">
      <c r="A18">
        <v>850</v>
      </c>
      <c r="B18" t="s">
        <v>153</v>
      </c>
      <c r="C18">
        <f>-586.240719656702 -147.445311197475 -86.8227269492975</f>
        <v>-820.50875780347451</v>
      </c>
      <c r="D18">
        <f>-610.674257338225 -149.778037054003 -200.020722438052</f>
        <v>-960.4730168302799</v>
      </c>
      <c r="E18">
        <f>-615.333686965543 -146.575444835742 -298.482406133713</f>
        <v>-1060.391537934998</v>
      </c>
      <c r="F18">
        <f>-613.497786202474 -141.934255018372 -387.439254636377</f>
        <v>-1142.871295857223</v>
      </c>
      <c r="G18">
        <f>-605.232109964715 -135.698018105608 -475.93236961666</f>
        <v>-1216.862497686983</v>
      </c>
      <c r="H18">
        <f>-586.935107335834 -125.484329083064 -598.740009119288</f>
        <v>-1311.159445538186</v>
      </c>
      <c r="I18">
        <f>-549.910687562452 -123.405264429427 -673.103248179584</f>
        <v>-1346.4192001714632</v>
      </c>
      <c r="J18">
        <f>-595.708270459972 -102.365803381975 -542.509323333561</f>
        <v>-1240.583397175508</v>
      </c>
      <c r="K18" t="s">
        <v>154</v>
      </c>
      <c r="L18" t="s">
        <v>155</v>
      </c>
      <c r="M18">
        <f>-461.991913934517 -54.5979991101556 -252.467696146138</f>
        <v>-769.05760919081058</v>
      </c>
      <c r="N18">
        <f>-594.265108762225 -157.591898195459 -546.887485883345</f>
        <v>-1298.7444928410291</v>
      </c>
      <c r="O18">
        <f>-599.016543897334 -294.407487928346 -534.328231180032</f>
        <v>-1427.7522630057119</v>
      </c>
      <c r="P18">
        <f>-549.620469913808 -439.342069139983 -283.041091055264</f>
        <v>-1272.0036301090549</v>
      </c>
      <c r="Q18">
        <f>-430.218395340022 -231.972868386215 -311.184024984097</f>
        <v>-973.37528871033396</v>
      </c>
      <c r="R18">
        <f>-601.027893312306 -53.227874539496 -86.8519270685216</f>
        <v>-741.10769492032364</v>
      </c>
      <c r="S18" t="s">
        <v>156</v>
      </c>
      <c r="T18" t="s">
        <v>157</v>
      </c>
      <c r="U18" t="s">
        <v>158</v>
      </c>
      <c r="V18">
        <f>-572.110475951751 -241.398522737682 -89.2720838337212</f>
        <v>-902.78108252315428</v>
      </c>
      <c r="W18" t="s">
        <v>159</v>
      </c>
      <c r="X18" t="s">
        <v>160</v>
      </c>
      <c r="Y18" t="s">
        <v>161</v>
      </c>
    </row>
    <row r="19" spans="1:25" x14ac:dyDescent="0.3">
      <c r="A19">
        <v>900</v>
      </c>
      <c r="B19" t="s">
        <v>162</v>
      </c>
      <c r="C19">
        <f>-584.845388679223 -151.747741482497 -87.1885873604409</f>
        <v>-823.78171752216087</v>
      </c>
      <c r="D19">
        <f>-607.780673117127 -154.733794553887 -200.684331872439</f>
        <v>-963.19879954345299</v>
      </c>
      <c r="E19">
        <f>-611.761135090202 -151.885289086622 -299.186632204719</f>
        <v>-1062.833056381543</v>
      </c>
      <c r="F19">
        <f>-609.556669476835 -147.483494875592 -388.147216210805</f>
        <v>-1145.1873805632322</v>
      </c>
      <c r="G19">
        <f>-601.166967304704 -141.38792369215 -476.638543018411</f>
        <v>-1219.193434015265</v>
      </c>
      <c r="H19">
        <f>-582.949246185242 -131.258842027774 -599.464927739891</f>
        <v>-1313.673015952907</v>
      </c>
      <c r="I19">
        <f>-545.775431394193 -127.051582877098 -673.663582152814</f>
        <v>-1346.490596424105</v>
      </c>
      <c r="J19">
        <f>-592.437261630022 -108.122757636052 -543.357775452644</f>
        <v>-1243.9177947187181</v>
      </c>
      <c r="K19" t="s">
        <v>163</v>
      </c>
      <c r="L19" t="s">
        <v>164</v>
      </c>
      <c r="M19">
        <f>-459.57370419241 -58.178313512678 -255.523596329659</f>
        <v>-773.27561403474692</v>
      </c>
      <c r="N19">
        <f>-589.49456376088 -163.309521277956 -547.472357748708</f>
        <v>-1300.2764427875441</v>
      </c>
      <c r="O19">
        <f>-590.507851405352 -300.015162000187 -533.067683416232</f>
        <v>-1423.590696821771</v>
      </c>
      <c r="P19">
        <f>-546.997198819641 -434.222594137581 -274.830653438441</f>
        <v>-1256.0504463956629</v>
      </c>
      <c r="Q19">
        <f>-427.593048585601 -227.724547242942 -308.772492614296</f>
        <v>-964.09008844283903</v>
      </c>
      <c r="R19">
        <f>-602.256200946737 -57.6787456807403 -87.5525038613658</f>
        <v>-747.48745048884314</v>
      </c>
      <c r="S19" t="s">
        <v>165</v>
      </c>
      <c r="T19" t="s">
        <v>166</v>
      </c>
      <c r="U19" t="s">
        <v>167</v>
      </c>
      <c r="V19">
        <f>-568.182874920521 -246.450978530937 -89.3574583354067</f>
        <v>-903.99131178686469</v>
      </c>
      <c r="W19" t="s">
        <v>168</v>
      </c>
      <c r="X19" t="s">
        <v>169</v>
      </c>
      <c r="Y19" t="s">
        <v>170</v>
      </c>
    </row>
    <row r="20" spans="1:25" x14ac:dyDescent="0.3">
      <c r="A20">
        <v>950</v>
      </c>
      <c r="B20" t="s">
        <v>171</v>
      </c>
      <c r="C20">
        <f>-583.354413677432 -153.940562101589 -87.2027322315903</f>
        <v>-824.49770801061129</v>
      </c>
      <c r="D20">
        <f>-605.913877784288 -157.578988103802 -200.754635384208</f>
        <v>-964.247501272298</v>
      </c>
      <c r="E20">
        <f>-609.879171385492 -155.048917288972 -299.2663086821</f>
        <v>-1064.194397356564</v>
      </c>
      <c r="F20">
        <f>-607.78069559573 -150.839931226823 -388.238886522126</f>
        <v>-1146.859513344679</v>
      </c>
      <c r="G20">
        <f>-599.614761132317 -144.830016156201 -476.756957624122</f>
        <v>-1221.2017349126399</v>
      </c>
      <c r="H20">
        <f>-581.828924679895 -134.703747087992 -599.646867229169</f>
        <v>-1316.1795389970559</v>
      </c>
      <c r="I20">
        <f>-544.495766816721 -129.486723303208 -673.701265372025</f>
        <v>-1347.6837554919539</v>
      </c>
      <c r="J20">
        <f>-591.607892390699 -111.591224495036 -543.579922696118</f>
        <v>-1246.7790395818531</v>
      </c>
      <c r="K20" t="s">
        <v>172</v>
      </c>
      <c r="L20" t="s">
        <v>173</v>
      </c>
      <c r="M20">
        <f>-458.39866298956 -58.8559296311228 -256.953074224786</f>
        <v>-774.20766684546879</v>
      </c>
      <c r="N20">
        <f>-587.703239488334 -166.728333723221 -547.558154456314</f>
        <v>-1301.9897276678689</v>
      </c>
      <c r="O20">
        <f>-586.381626483515 -303.369367265697 -532.288763114588</f>
        <v>-1422.0397568638</v>
      </c>
      <c r="P20">
        <f>-545.531378110693 -432.747630521934 -271.16862892165</f>
        <v>-1249.447637554277</v>
      </c>
      <c r="Q20">
        <f>-425.286009667282 -227.295903444662 -308.337213982587</f>
        <v>-960.91912709453095</v>
      </c>
      <c r="R20">
        <f>-602.255560376674 -59.8811988279394 -87.8323751576861</f>
        <v>-749.96913436229954</v>
      </c>
      <c r="S20" t="s">
        <v>174</v>
      </c>
      <c r="T20" t="s">
        <v>175</v>
      </c>
      <c r="U20" t="s">
        <v>176</v>
      </c>
      <c r="V20">
        <f>-565.232180004778 -248.417512653229 -89.2544530749657</f>
        <v>-902.90414573297267</v>
      </c>
      <c r="W20" t="s">
        <v>177</v>
      </c>
      <c r="X20" t="s">
        <v>178</v>
      </c>
      <c r="Y20" t="s">
        <v>179</v>
      </c>
    </row>
    <row r="21" spans="1:25" x14ac:dyDescent="0.3">
      <c r="A21">
        <v>1000</v>
      </c>
      <c r="B21" t="s">
        <v>180</v>
      </c>
      <c r="C21">
        <f>-581.232022617076 -155.62569169616 -87.1138193092014</f>
        <v>-823.97153362243751</v>
      </c>
      <c r="D21">
        <f>-603.632452426556 -160.051934528427 -200.669274710675</f>
        <v>-964.35366166565802</v>
      </c>
      <c r="E21">
        <f>-607.790361575091 -157.925860451699 -299.182560084598</f>
        <v>-1064.8987821113878</v>
      </c>
      <c r="F21">
        <f>-605.993091078637 -153.972108520841 -388.173448229114</f>
        <v>-1148.138647828592</v>
      </c>
      <c r="G21">
        <f>-598.253131792299 -148.093639732698 -476.738548366138</f>
        <v>-1223.085319891135</v>
      </c>
      <c r="H21">
        <f>-581.188662399635 -138.01482273715 -599.734537583997</f>
        <v>-1318.9380227207821</v>
      </c>
      <c r="I21">
        <f>-543.626652752798 -131.778511854038 -673.594191923736</f>
        <v>-1348.9993565305722</v>
      </c>
      <c r="J21">
        <f>-591.189538012394 -114.919441224329 -543.699740369499</f>
        <v>-1249.808719606222</v>
      </c>
      <c r="K21" t="s">
        <v>181</v>
      </c>
      <c r="L21" t="s">
        <v>182</v>
      </c>
      <c r="M21">
        <f>-457.493375971223 -57.3264534468665 -258.333415465412</f>
        <v>-773.15324488350143</v>
      </c>
      <c r="N21">
        <f>-586.206264048515 -169.980588918228 -547.520315822134</f>
        <v>-1303.707168788877</v>
      </c>
      <c r="O21">
        <f>-582.23061059915 -306.475046453215 -531.442856539447</f>
        <v>-1420.1485135918119</v>
      </c>
      <c r="P21">
        <f>-544.697026286074 -431.294434240037 -267.619873376425</f>
        <v>-1243.611333902536</v>
      </c>
      <c r="Q21">
        <f>-423.700297577935 -226.828848389124 -307.675580469615</f>
        <v>-958.20472643667404</v>
      </c>
      <c r="R21">
        <f>-601.718008693661 -61.7950128457449 -88.0845995205765</f>
        <v>-751.59762105998232</v>
      </c>
      <c r="S21" t="s">
        <v>183</v>
      </c>
      <c r="T21" t="s">
        <v>184</v>
      </c>
      <c r="U21" t="s">
        <v>185</v>
      </c>
      <c r="V21">
        <f>-561.523808260526 -249.457456876057 -89.0990715731222</f>
        <v>-900.08033670970519</v>
      </c>
      <c r="W21" t="s">
        <v>186</v>
      </c>
      <c r="X21" t="s">
        <v>187</v>
      </c>
      <c r="Y21" t="s">
        <v>188</v>
      </c>
    </row>
    <row r="22" spans="1:25" x14ac:dyDescent="0.3">
      <c r="A22">
        <v>1050</v>
      </c>
      <c r="B22" t="s">
        <v>189</v>
      </c>
      <c r="C22">
        <f>-574.685267203112 -158.101741890283 -87.2558643778002</f>
        <v>-820.04287347119521</v>
      </c>
      <c r="D22">
        <f>-597.437115765214 -164.337926115399 -200.656377659375</f>
        <v>-962.43141953998804</v>
      </c>
      <c r="E22">
        <f>-602.512089275135 -163.368310836953 -299.144697174484</f>
        <v>-1065.025097286572</v>
      </c>
      <c r="F22">
        <f>-601.78222197381 -160.298308729575 -388.185698915255</f>
        <v>-1150.26622961864</v>
      </c>
      <c r="G22">
        <f>-595.343142885754 -155.112494376296 -476.898096718222</f>
        <v>-1227.353733980272</v>
      </c>
      <c r="H22">
        <f>-580.333768651412 -145.786038633479 -600.221035493975</f>
        <v>-1326.3408427788661</v>
      </c>
      <c r="I22">
        <f>-542.073853262944 -137.62290465838 -673.532533737188</f>
        <v>-1353.229291658512</v>
      </c>
      <c r="J22">
        <f>-590.565000465846 -122.467887972381 -544.320225884801</f>
        <v>-1257.353114323028</v>
      </c>
      <c r="K22" t="s">
        <v>190</v>
      </c>
      <c r="L22" t="s">
        <v>191</v>
      </c>
      <c r="M22">
        <f>-455.785261075687 -51.5248370581896 -261.793547364418</f>
        <v>-769.10364549829455</v>
      </c>
      <c r="N22">
        <f>-583.312149134371 -177.312341056542 -547.585044537583</f>
        <v>-1308.209534728496</v>
      </c>
      <c r="O22">
        <f>-573.687174087402 -313.264224062902 -529.453726400503</f>
        <v>-1416.4051245508069</v>
      </c>
      <c r="P22">
        <f>-543.877437546241 -430.024760939611 -260.99607579068</f>
        <v>-1234.898274276532</v>
      </c>
      <c r="Q22">
        <f>-419.830564885876 -228.432666036638 -305.982913630066</f>
        <v>-954.24614455258006</v>
      </c>
      <c r="R22">
        <f>-598.367145399563 -65.719878323599 -88.7796403664877</f>
        <v>-752.8666640896497</v>
      </c>
      <c r="S22" t="s">
        <v>192</v>
      </c>
      <c r="T22" t="s">
        <v>193</v>
      </c>
      <c r="U22" t="s">
        <v>194</v>
      </c>
      <c r="V22">
        <f>-551.421779129154 -249.641351220787 -88.4306584660895</f>
        <v>-889.49378881603047</v>
      </c>
      <c r="W22" t="s">
        <v>195</v>
      </c>
      <c r="X22" t="s">
        <v>196</v>
      </c>
      <c r="Y22" t="s">
        <v>197</v>
      </c>
    </row>
    <row r="23" spans="1:25" x14ac:dyDescent="0.3">
      <c r="A23">
        <v>1100</v>
      </c>
      <c r="B23" t="s">
        <v>198</v>
      </c>
      <c r="C23">
        <f>-568.037465959081 -161.890724982966 -87.8806557086565</f>
        <v>-817.80884665070346</v>
      </c>
      <c r="D23">
        <f>-591.083797190977 -169.67194197388 -201.12606959067</f>
        <v>-961.881808755527</v>
      </c>
      <c r="E23">
        <f>-597.135260839548 -169.892481934148 -299.563920644092</f>
        <v>-1066.5916634177879</v>
      </c>
      <c r="F23">
        <f>-597.574392175766 -167.841418753865 -388.635967604232</f>
        <v>-1154.0517785338629</v>
      </c>
      <c r="G23">
        <f>-592.588902368448 -163.589311388901 -477.491528921642</f>
        <v>-1233.669742678991</v>
      </c>
      <c r="H23">
        <f>-579.902254912064 -155.4635714891 -601.159851645405</f>
        <v>-1336.5256780465688</v>
      </c>
      <c r="I23">
        <f>-540.698469013747 -145.551914003965 -673.753571935547</f>
        <v>-1360.0039549532589</v>
      </c>
      <c r="J23">
        <f>-590.137348983168 -131.755299497345 -545.42396741727</f>
        <v>-1267.3166158977829</v>
      </c>
      <c r="K23" t="s">
        <v>199</v>
      </c>
      <c r="L23" t="s">
        <v>200</v>
      </c>
      <c r="M23">
        <f>-456.056706891515 -44.3592109999211 -265.797556588959</f>
        <v>-766.21347448039512</v>
      </c>
      <c r="N23">
        <f>-580.832455240016 -186.3233102193 -548.055044112485</f>
        <v>-1315.2108095718008</v>
      </c>
      <c r="O23">
        <f>-566.457226653733 -321.595977151934 -528.167155601735</f>
        <v>-1416.2203594074019</v>
      </c>
      <c r="P23">
        <f>-546.795590692063 -432.316744460019 -256.237790912454</f>
        <v>-1235.350126064536</v>
      </c>
      <c r="Q23">
        <f>-416.87275673011 -235.706099367299 -306.389122540566</f>
        <v>-958.96797863797497</v>
      </c>
      <c r="R23">
        <f>-594.885754617106 -70.1519852980957 -89.7123212305825</f>
        <v>-754.75006114578423</v>
      </c>
      <c r="S23" t="s">
        <v>201</v>
      </c>
      <c r="T23" t="s">
        <v>202</v>
      </c>
      <c r="U23" t="s">
        <v>203</v>
      </c>
      <c r="V23">
        <f>-541.49474621077 -254.24716347206 -88.4842063639949</f>
        <v>-884.22611604682493</v>
      </c>
      <c r="W23" t="s">
        <v>204</v>
      </c>
      <c r="X23" t="s">
        <v>205</v>
      </c>
      <c r="Y23" t="s">
        <v>206</v>
      </c>
    </row>
    <row r="24" spans="1:25" x14ac:dyDescent="0.3">
      <c r="A24">
        <v>1150</v>
      </c>
      <c r="B24" t="s">
        <v>207</v>
      </c>
      <c r="C24">
        <f>-564.702157840065 -164.124220945092 -87.9988173217943</f>
        <v>-816.82519610695124</v>
      </c>
      <c r="D24">
        <f>-587.780266290599 -172.621312867498 -201.186363499661</f>
        <v>-961.58794265775805</v>
      </c>
      <c r="E24">
        <f>-594.210745040398 -173.388699379642 -299.597254551201</f>
        <v>-1067.1966989712409</v>
      </c>
      <c r="F24">
        <f>-595.131795466884 -171.804002297941 -388.675287762368</f>
        <v>-1155.6110855271929</v>
      </c>
      <c r="G24">
        <f>-590.766775179239 -167.978869261576 -477.582805588147</f>
        <v>-1236.3284500289619</v>
      </c>
      <c r="H24">
        <f>-579.090088462448 -160.402452820461 -601.385332776662</f>
        <v>-1340.877874059571</v>
      </c>
      <c r="I24">
        <f>-539.802968876697 -149.847843368614 -673.843346024974</f>
        <v>-1363.494158270285</v>
      </c>
      <c r="J24">
        <f>-589.283653682235 -136.518354106933 -545.717137835407</f>
        <v>-1271.519145624575</v>
      </c>
      <c r="K24">
        <f>-616.454775749731 -3.99903328218306 -521.248059039323</f>
        <v>-1141.7018680712372</v>
      </c>
      <c r="L24" t="s">
        <v>208</v>
      </c>
      <c r="M24">
        <f>-456.707586580743 -40.5214095447816 -267.371452877008</f>
        <v>-764.60044900253251</v>
      </c>
      <c r="N24">
        <f>-579.173103589143 -190.954534559935 -548.094902328519</f>
        <v>-1318.222540477597</v>
      </c>
      <c r="O24">
        <f>-563.027776716721 -325.918586485057 -527.562983627057</f>
        <v>-1416.5093468288351</v>
      </c>
      <c r="P24">
        <f>-548.771404359713 -433.749294564965 -254.139171955014</f>
        <v>-1236.6598708796919</v>
      </c>
      <c r="Q24">
        <f>-415.126063977745 -240.267161762868 -306.621660101602</f>
        <v>-962.01488584221488</v>
      </c>
      <c r="R24">
        <f>-592.84827906219 -72.85674370422 -90.068513026945</f>
        <v>-755.77353579335499</v>
      </c>
      <c r="S24" t="s">
        <v>209</v>
      </c>
      <c r="T24" t="s">
        <v>210</v>
      </c>
      <c r="U24" t="s">
        <v>211</v>
      </c>
      <c r="V24">
        <f>-536.321129065157 -255.328863188392 -87.8927238131846</f>
        <v>-879.54271606673365</v>
      </c>
      <c r="W24" t="s">
        <v>212</v>
      </c>
      <c r="X24" t="s">
        <v>213</v>
      </c>
      <c r="Y24" t="s">
        <v>214</v>
      </c>
    </row>
    <row r="25" spans="1:25" x14ac:dyDescent="0.3">
      <c r="A25">
        <v>1200</v>
      </c>
      <c r="B25" t="s">
        <v>215</v>
      </c>
      <c r="C25">
        <f>-558.660947883938 -170.618579935731 -88.4542629148269</f>
        <v>-817.73379073449587</v>
      </c>
      <c r="D25">
        <f>-581.459740012914 -180.457970169313 -201.589782608571</f>
        <v>-963.50749279079798</v>
      </c>
      <c r="E25">
        <f>-588.157667140919 -182.087746404968 -299.972230413076</f>
        <v>-1070.217643958963</v>
      </c>
      <c r="F25">
        <f>-589.517806776804 -181.167691912669 -389.053883540116</f>
        <v>-1159.739382229589</v>
      </c>
      <c r="G25">
        <f>-585.787796901665 -177.877138039306 -478.01181126303</f>
        <v>-1241.6767462040011</v>
      </c>
      <c r="H25">
        <f>-575.198954305051 -170.904172484335 -601.947554636902</f>
        <v>-1348.0506814262881</v>
      </c>
      <c r="I25">
        <f>-535.90382250083 -159.271353561627 -674.235824201944</f>
        <v>-1369.4110002644011</v>
      </c>
      <c r="J25">
        <f>-585.521082823105 -146.8683781639 -546.368373751558</f>
        <v>-1278.7578347385629</v>
      </c>
      <c r="K25">
        <f>-617.296196779216 -15.2583994194958 -522.769300425587</f>
        <v>-1155.3238966242989</v>
      </c>
      <c r="L25" t="s">
        <v>216</v>
      </c>
      <c r="M25">
        <f>-458.374746564384 -32.9507849804365 -269.475149338578</f>
        <v>-760.8006808833984</v>
      </c>
      <c r="N25">
        <f>-574.196053954375 -201.076886436427 -548.450804068039</f>
        <v>-1323.7237444588409</v>
      </c>
      <c r="O25">
        <f>-555.490314094234 -335.619918494839 -527.24058094867</f>
        <v>-1418.3508135377429</v>
      </c>
      <c r="P25">
        <f>-552.905461928985 -438.221137845817 -251.455244738575</f>
        <v>-1242.5818445133771</v>
      </c>
      <c r="Q25">
        <f>-412.234284931104 -250.904314722685 -307.801646433162</f>
        <v>-970.94024608695099</v>
      </c>
      <c r="R25">
        <f>-589.186187779615 -79.021845936051 -90.9933645334133</f>
        <v>-759.20139824907938</v>
      </c>
      <c r="S25" t="s">
        <v>217</v>
      </c>
      <c r="T25" t="s">
        <v>218</v>
      </c>
      <c r="U25" t="s">
        <v>219</v>
      </c>
      <c r="V25">
        <f>-527.994621687706 -262.842123854202 -87.6585777436429</f>
        <v>-878.49532328555085</v>
      </c>
      <c r="W25" t="s">
        <v>220</v>
      </c>
      <c r="X25" t="s">
        <v>221</v>
      </c>
      <c r="Y25" t="s">
        <v>222</v>
      </c>
    </row>
    <row r="26" spans="1:25" x14ac:dyDescent="0.3">
      <c r="A26">
        <v>1250</v>
      </c>
      <c r="B26" t="s">
        <v>223</v>
      </c>
      <c r="C26">
        <f>-556.910068570774 -173.014663421561 -89.1602240450602</f>
        <v>-819.08495603739516</v>
      </c>
      <c r="D26">
        <f>-579.443745925987 -183.427996601418 -202.297349712822</f>
        <v>-965.16909224022686</v>
      </c>
      <c r="E26">
        <f>-586.102232146228 -185.343954873614 -300.677488236724</f>
        <v>-1072.123675256566</v>
      </c>
      <c r="F26">
        <f>-587.500438140603 -184.596839494084 -389.760187188045</f>
        <v>-1161.857464822732</v>
      </c>
      <c r="G26">
        <f>-583.881700490294 -181.386750333736 -478.725580208652</f>
        <v>-1243.994031032682</v>
      </c>
      <c r="H26">
        <f>-573.524320037813 -174.424846720858 -602.68155606608</f>
        <v>-1350.630722824751</v>
      </c>
      <c r="I26">
        <f>-534.196145139495 -162.321025214157 -674.874470306648</f>
        <v>-1371.3916406603012</v>
      </c>
      <c r="J26">
        <f>-583.975150145894 -150.432720385352 -547.107441757026</f>
        <v>-1281.5153122882721</v>
      </c>
      <c r="K26">
        <f>-617.442075425642 -19.198721655438 -523.742716577508</f>
        <v>-1160.3835136585881</v>
      </c>
      <c r="L26" t="s">
        <v>224</v>
      </c>
      <c r="M26">
        <f>-459.942692250746 -27.8575494393697 -270.128846667876</f>
        <v>-757.92908835799176</v>
      </c>
      <c r="N26">
        <f>-572.189085072367 -204.544149056991 -549.161800727347</f>
        <v>-1325.895034856705</v>
      </c>
      <c r="O26">
        <f>-552.737354599572 -338.976312670962 -527.890059036564</f>
        <v>-1419.603726307098</v>
      </c>
      <c r="P26">
        <f>-556.580400806871 -437.530455105617 -250.647383927189</f>
        <v>-1244.7582398396769</v>
      </c>
      <c r="Q26">
        <f>-411.553353028554 -254.188184495055 -308.98834448592</f>
        <v>-974.72988200952886</v>
      </c>
      <c r="R26">
        <f>-587.968574272895 -81.8586070467848 -91.9150906163422</f>
        <v>-761.74227193602201</v>
      </c>
      <c r="S26" t="s">
        <v>225</v>
      </c>
      <c r="T26" t="s">
        <v>226</v>
      </c>
      <c r="U26" t="s">
        <v>227</v>
      </c>
      <c r="V26">
        <f>-525.962724113929 -264.337653340993 -88.3399562541177</f>
        <v>-878.64033370903974</v>
      </c>
      <c r="W26" t="s">
        <v>228</v>
      </c>
      <c r="X26" t="s">
        <v>229</v>
      </c>
      <c r="Y26" t="s">
        <v>230</v>
      </c>
    </row>
    <row r="27" spans="1:25" x14ac:dyDescent="0.3">
      <c r="A27">
        <v>1300</v>
      </c>
      <c r="B27" t="s">
        <v>231</v>
      </c>
      <c r="C27">
        <f>-555.31495471849 -178.214010936127 -90.6222240053438</f>
        <v>-824.15118965996078</v>
      </c>
      <c r="D27">
        <f>-577.2758958675 -189.78811926869 -203.759150460448</f>
        <v>-970.82316559663809</v>
      </c>
      <c r="E27">
        <f>-583.7465837038 -192.272291522837 -302.139188456778</f>
        <v>-1078.1580636834151</v>
      </c>
      <c r="F27">
        <f>-585.096777149229 -191.853481446874 -391.224836196781</f>
        <v>-1168.175094792884</v>
      </c>
      <c r="G27">
        <f>-581.552493811627 -188.773582584447 -480.197767112968</f>
        <v>-1250.5238435090419</v>
      </c>
      <c r="H27">
        <f>-571.426950277731 -181.776590381646 -604.170812654164</f>
        <v>-1357.374353313541</v>
      </c>
      <c r="I27">
        <f>-532.021528931857 -169.013919456539 -676.208035350296</f>
        <v>-1377.243483738692</v>
      </c>
      <c r="J27">
        <f>-582.064639963492 -157.864158281365 -548.59799798873</f>
        <v>-1288.526796233587</v>
      </c>
      <c r="K27">
        <f>-617.935394702522 -27.1607585266038 -525.677097765343</f>
        <v>-1170.7732509944688</v>
      </c>
      <c r="L27">
        <f>-703.437121430191 -12.0498505185067 -244.514627127724</f>
        <v>-960.00159907642171</v>
      </c>
      <c r="M27">
        <f>-463.925447986609 -19.3215919486513 -269.657531418042</f>
        <v>-752.90457135330234</v>
      </c>
      <c r="N27">
        <f>-569.700776043855 -211.847086667183 -550.634875151814</f>
        <v>-1332.1827378628518</v>
      </c>
      <c r="O27">
        <f>-549.419734864402 -346.060971462061 -528.878048194336</f>
        <v>-1424.3587545207988</v>
      </c>
      <c r="P27">
        <f>-565.704544724021 -434.31955050096 -248.634466909438</f>
        <v>-1248.6585621344191</v>
      </c>
      <c r="Q27">
        <f>-412.065242558233 -259.203893943923 -310.118575133022</f>
        <v>-981.38771163517799</v>
      </c>
      <c r="R27">
        <f>-586.179851416929 -87.4204460578676 -94.0936761148648</f>
        <v>-767.69397358966137</v>
      </c>
      <c r="S27" t="s">
        <v>232</v>
      </c>
      <c r="T27" t="s">
        <v>233</v>
      </c>
      <c r="U27" t="s">
        <v>234</v>
      </c>
      <c r="V27">
        <f>-524.78205563588 -269.650676180177 -89.1183233590248</f>
        <v>-883.55105517508184</v>
      </c>
      <c r="W27" t="s">
        <v>235</v>
      </c>
      <c r="X27" t="s">
        <v>236</v>
      </c>
      <c r="Y27" t="s">
        <v>237</v>
      </c>
    </row>
    <row r="28" spans="1:25" x14ac:dyDescent="0.3">
      <c r="A28">
        <v>1350</v>
      </c>
      <c r="B28" t="s">
        <v>238</v>
      </c>
      <c r="C28">
        <f>-554.209517676414 -182.201208804611 -92.6093157436917</f>
        <v>-829.02004222471669</v>
      </c>
      <c r="D28">
        <f>-575.502227857602 -194.891179086652 -205.75432494679</f>
        <v>-976.14773189104392</v>
      </c>
      <c r="E28">
        <f>-581.757504870527 -197.928379394867 -304.132787817998</f>
        <v>-1083.8186720833919</v>
      </c>
      <c r="F28">
        <f>-583.063042726838 -197.824240538798 -393.219889348028</f>
        <v>-1174.107172613664</v>
      </c>
      <c r="G28">
        <f>-579.626995864483 -194.858764164063 -482.20115100938</f>
        <v>-1256.6869110379259</v>
      </c>
      <c r="H28">
        <f>-569.814477620303 -187.799016739776 -606.195824678619</f>
        <v>-1363.809319038698</v>
      </c>
      <c r="I28">
        <f>-530.521873851875 -174.58038922003 -678.212378851222</f>
        <v>-1383.3146419231271</v>
      </c>
      <c r="J28">
        <f>-580.488344593113 -163.955221561982 -550.600399143752</f>
        <v>-1295.0439652988471</v>
      </c>
      <c r="K28">
        <f>-618.086783896456 -33.6426326817725 -528.015841135607</f>
        <v>-1179.7452577138356</v>
      </c>
      <c r="L28">
        <f>-706.714459578038 -21.9302686621343 -247.660373650639</f>
        <v>-976.30510189081133</v>
      </c>
      <c r="M28">
        <f>-466.976444032995 -13.4145602454196 -270.110541670121</f>
        <v>-750.50154594853552</v>
      </c>
      <c r="N28">
        <f>-567.776475472363 -217.856139277653 -552.663290105275</f>
        <v>-1338.2959048552912</v>
      </c>
      <c r="O28">
        <f>-547.056615008107 -351.873490790199 -530.236026482393</f>
        <v>-1429.166132280699</v>
      </c>
      <c r="P28">
        <f>-574.154893448185 -429.372561017545 -247.657227487685</f>
        <v>-1251.1846819534151</v>
      </c>
      <c r="Q28">
        <f>-411.336046960697 -263.368132191895 -310.771573947311</f>
        <v>-985.47575309990293</v>
      </c>
      <c r="R28">
        <f>-583.679236402889 -91.9721811600957 -97.0287359414848</f>
        <v>-772.68015350446956</v>
      </c>
      <c r="S28" t="s">
        <v>239</v>
      </c>
      <c r="T28" t="s">
        <v>240</v>
      </c>
      <c r="U28" t="s">
        <v>241</v>
      </c>
      <c r="V28">
        <f>-525.437789829917 -271.781976039855 -90.1830254079321</f>
        <v>-887.40279127770418</v>
      </c>
      <c r="W28" t="s">
        <v>242</v>
      </c>
      <c r="X28" t="s">
        <v>243</v>
      </c>
      <c r="Y28" t="s">
        <v>244</v>
      </c>
    </row>
    <row r="29" spans="1:25" x14ac:dyDescent="0.3">
      <c r="A29">
        <v>1400</v>
      </c>
      <c r="B29" t="s">
        <v>245</v>
      </c>
      <c r="C29">
        <f>-553.73314170212 -183.32103644878 -93.5156547260328</f>
        <v>-830.56983287693276</v>
      </c>
      <c r="D29">
        <f>-574.681582458363 -196.473025373778 -206.672227694443</f>
        <v>-977.82683552658398</v>
      </c>
      <c r="E29">
        <f>-580.807219177605 -199.738789838022 -305.051473480935</f>
        <v>-1085.597482496562</v>
      </c>
      <c r="F29">
        <f>-582.065056687582 -199.764526807119 -394.139270484721</f>
        <v>-1175.968853979422</v>
      </c>
      <c r="G29">
        <f>-578.652189700616 -196.846496006763 -483.12296245431</f>
        <v>-1258.6216481616889</v>
      </c>
      <c r="H29">
        <f>-568.947569009998 -189.761379152844 -607.124748456607</f>
        <v>-1365.833696619449</v>
      </c>
      <c r="I29">
        <f>-529.832615196888 -176.37763037822 -679.207425341332</f>
        <v>-1385.4176709164401</v>
      </c>
      <c r="J29">
        <f>-579.63758940507 -165.943957872369 -551.521028128865</f>
        <v>-1297.1025754063039</v>
      </c>
      <c r="K29">
        <f>-617.964873934304 -35.8593699199507 -528.951132209061</f>
        <v>-1182.7753760633159</v>
      </c>
      <c r="L29">
        <f>-707.705820575498 -25.6504638679357 -248.89112572961</f>
        <v>-982.24741017304382</v>
      </c>
      <c r="M29">
        <f>-468.189104050548 -11.0584143151559 -270.564195223054</f>
        <v>-749.81171358875793</v>
      </c>
      <c r="N29">
        <f>-566.798485065275 -219.814376852831 -553.59424115452</f>
        <v>-1340.2071030726261</v>
      </c>
      <c r="O29">
        <f>-545.882498963431 -353.772314204438 -530.979546861848</f>
        <v>-1430.6343600297168</v>
      </c>
      <c r="P29">
        <f>-577.755710006801 -426.777552070716 -247.703008430381</f>
        <v>-1252.2362705078981</v>
      </c>
      <c r="Q29">
        <f>-410.461177456132 -265.268020536274 -310.775068213329</f>
        <v>-986.50426620573489</v>
      </c>
      <c r="R29">
        <f>-582.123700333543 -95.4552652857055 -98.3306903599456</f>
        <v>-775.9096559791941</v>
      </c>
      <c r="S29" t="s">
        <v>246</v>
      </c>
      <c r="T29" t="s">
        <v>247</v>
      </c>
      <c r="U29" t="s">
        <v>248</v>
      </c>
      <c r="V29">
        <f>-525.632933785865 -270.715999264273 -90.360392949799</f>
        <v>-886.70932599993705</v>
      </c>
      <c r="W29" t="s">
        <v>249</v>
      </c>
      <c r="X29" t="s">
        <v>250</v>
      </c>
      <c r="Y29" t="s">
        <v>251</v>
      </c>
    </row>
    <row r="30" spans="1:25" x14ac:dyDescent="0.3">
      <c r="A30">
        <v>1450</v>
      </c>
      <c r="B30" t="s">
        <v>252</v>
      </c>
      <c r="C30">
        <f>-553.720315222041 -184.580522096074 -94.2697591316245</f>
        <v>-832.57059644973947</v>
      </c>
      <c r="D30">
        <f>-574.352023241612 -198.002435428702 -207.452802685387</f>
        <v>-979.80726135570103</v>
      </c>
      <c r="E30">
        <f>-580.325824843549 -201.37431451978 -305.837818004128</f>
        <v>-1087.537957367457</v>
      </c>
      <c r="F30">
        <f>-581.496498133832 -201.440755828198 -394.926933972176</f>
        <v>-1177.864187934206</v>
      </c>
      <c r="G30">
        <f>-578.047352329269 -198.504588263355 -483.90854875612</f>
        <v>-1260.460489348744</v>
      </c>
      <c r="H30">
        <f>-568.345932549514 -191.329167018269 -607.905218751732</f>
        <v>-1367.5803183195151</v>
      </c>
      <c r="I30">
        <f>-529.503690632184 -177.818010580595 -680.111599643106</f>
        <v>-1387.4333008558851</v>
      </c>
      <c r="J30">
        <f>-579.09677798259 -167.566920831476 -552.289839962912</f>
        <v>-1298.9535387769779</v>
      </c>
      <c r="K30">
        <f>-618.037489627523 -37.6989102555494 -529.675017254362</f>
        <v>-1185.4114171374345</v>
      </c>
      <c r="L30">
        <f>-708.796161439868 -28.6367657003709 -249.903824417803</f>
        <v>-987.3367515580419</v>
      </c>
      <c r="M30">
        <f>-469.563132068927 -9.06118256631657 -270.764950668518</f>
        <v>-749.38926530376159</v>
      </c>
      <c r="N30">
        <f>-566.133439512371 -221.406544010515 -554.391115888468</f>
        <v>-1341.9310994113539</v>
      </c>
      <c r="O30">
        <f>-545.13559470931 -355.36111926132 -531.677953656159</f>
        <v>-1432.174667626789</v>
      </c>
      <c r="P30">
        <f>-580.831697663299 -424.886133114478 -247.98221839515</f>
        <v>-1253.700049172927</v>
      </c>
      <c r="Q30">
        <f>-409.924922282868 -267.14521960626 -310.907426139589</f>
        <v>-987.97756802871709</v>
      </c>
      <c r="R30">
        <f>-582.074259362086 -99.0010500843478 -99.3106663191676</f>
        <v>-780.3859757656013</v>
      </c>
      <c r="S30" t="s">
        <v>253</v>
      </c>
      <c r="T30" t="s">
        <v>254</v>
      </c>
      <c r="U30" t="s">
        <v>255</v>
      </c>
      <c r="V30">
        <f>-525.515257708567 -269.68912678649 -90.6983859460383</f>
        <v>-885.9027704410953</v>
      </c>
      <c r="W30" t="s">
        <v>256</v>
      </c>
      <c r="X30" t="s">
        <v>257</v>
      </c>
      <c r="Y30" t="s">
        <v>258</v>
      </c>
    </row>
    <row r="31" spans="1:25" x14ac:dyDescent="0.3">
      <c r="A31">
        <v>1500</v>
      </c>
      <c r="B31" t="s">
        <v>259</v>
      </c>
      <c r="C31">
        <f>-556.612272251262 -187.666820807323 -95.2232949785925</f>
        <v>-839.50238803717752</v>
      </c>
      <c r="D31">
        <f>-576.441198511419 -200.857990881799 -208.576865567617</f>
        <v>-985.87605496083495</v>
      </c>
      <c r="E31">
        <f>-581.876823376693 -204.037436892037 -306.999434665342</f>
        <v>-1092.9136949340721</v>
      </c>
      <c r="F31">
        <f>-582.62384134003 -203.933996123029 -396.093084020575</f>
        <v>-1182.6509214836342</v>
      </c>
      <c r="G31">
        <f>-578.816131202033 -200.828934691439 -485.054330112192</f>
        <v>-1264.6993960056641</v>
      </c>
      <c r="H31">
        <f>-568.683276141822 -193.416539803437 -609.002706039807</f>
        <v>-1371.102521985066</v>
      </c>
      <c r="I31">
        <f>-530.426126535709 -179.87194197085 -681.514460616137</f>
        <v>-1391.8125291226961</v>
      </c>
      <c r="J31">
        <f>-579.806694273538 -169.80380257938 -553.396805561436</f>
        <v>-1303.0073024143539</v>
      </c>
      <c r="K31">
        <f>-619.851466786228 -40.2029902927629 -530.94837691496</f>
        <v>-1191.0028339939508</v>
      </c>
      <c r="L31">
        <f>-712.146679396394 -32.8676994368916 -251.629441902836</f>
        <v>-996.6438207361216</v>
      </c>
      <c r="M31">
        <f>-473.428962745652 -6.60054704620461 -270.987816167656</f>
        <v>-751.01732595951262</v>
      </c>
      <c r="N31">
        <f>-566.477844133091 -223.553037141821 -555.521490456578</f>
        <v>-1345.55237173149</v>
      </c>
      <c r="O31">
        <f>-545.126138971751 -357.398287285049 -532.731725980483</f>
        <v>-1435.256152237283</v>
      </c>
      <c r="P31">
        <f>-585.733211977977 -424.029856299589 -249.002102078693</f>
        <v>-1258.765170356259</v>
      </c>
      <c r="Q31">
        <f>-410.38098251168 -271.032263741558 -311.405305473721</f>
        <v>-992.81855172695896</v>
      </c>
      <c r="R31">
        <f>-587.162964155002 -104.112736983405 -100.517981561893</f>
        <v>-791.79368270029988</v>
      </c>
      <c r="S31" t="s">
        <v>260</v>
      </c>
      <c r="T31" t="s">
        <v>261</v>
      </c>
      <c r="U31" t="s">
        <v>262</v>
      </c>
      <c r="V31">
        <f>-526.187497885553 -271.550468999767 -91.6397727400733</f>
        <v>-889.37773962539336</v>
      </c>
      <c r="W31" t="s">
        <v>263</v>
      </c>
      <c r="X31" t="s">
        <v>264</v>
      </c>
      <c r="Y31" t="s">
        <v>265</v>
      </c>
    </row>
    <row r="32" spans="1:25" x14ac:dyDescent="0.3">
      <c r="A32">
        <v>1550</v>
      </c>
      <c r="B32" t="s">
        <v>266</v>
      </c>
      <c r="C32">
        <f>-558.569340174665 -188.637040936186 -95.6242259349389</f>
        <v>-842.83060704578986</v>
      </c>
      <c r="D32">
        <f>-578.046712243358 -201.594500880905 -209.065673701975</f>
        <v>-988.70688682623802</v>
      </c>
      <c r="E32">
        <f>-583.139968766604 -204.659223960571 -307.510215326726</f>
        <v>-1095.3094080539011</v>
      </c>
      <c r="F32">
        <f>-583.560328164677 -204.493419088081 -396.605927264406</f>
        <v>-1184.6596745171641</v>
      </c>
      <c r="G32">
        <f>-579.410272879879 -201.367195493086 -485.551061968201</f>
        <v>-1266.328530341166</v>
      </c>
      <c r="H32">
        <f>-568.782626312808 -193.970732596759 -609.458913058113</f>
        <v>-1372.21227196768</v>
      </c>
      <c r="I32">
        <f>-530.779887125781 -180.537066574318 -682.124991827173</f>
        <v>-1393.4419455272719</v>
      </c>
      <c r="J32">
        <f>-580.267046654692 -170.385065521631 -553.914878838105</f>
        <v>-1304.5669910144279</v>
      </c>
      <c r="K32">
        <f>-620.946562960527 -40.9346670734426 -531.743974553621</f>
        <v>-1193.6252045875906</v>
      </c>
      <c r="L32">
        <f>-713.889479459756 -34.1052494032785 -252.627089129269</f>
        <v>-1000.6218179923035</v>
      </c>
      <c r="M32">
        <f>-475.376013310646 -5.45220082494393 -271.099075333237</f>
        <v>-751.92728946882698</v>
      </c>
      <c r="N32">
        <f>-566.651713679989 -224.065997886475 -555.951541735465</f>
        <v>-1346.6692533019291</v>
      </c>
      <c r="O32">
        <f>-544.943044372314 -357.842272745419 -533.116920810847</f>
        <v>-1435.90223792858</v>
      </c>
      <c r="P32">
        <f>-587.005831286567 -424.837694858608 -249.685050269752</f>
        <v>-1261.5285764149271</v>
      </c>
      <c r="Q32">
        <f>-411.007403458157 -272.451011290851 -311.763464867808</f>
        <v>-995.22187961681595</v>
      </c>
      <c r="R32">
        <f>-590.326447914871 -104.446185962709 -100.946428599912</f>
        <v>-795.719062477492</v>
      </c>
      <c r="S32" t="s">
        <v>267</v>
      </c>
      <c r="T32" t="s">
        <v>268</v>
      </c>
      <c r="U32" t="s">
        <v>269</v>
      </c>
      <c r="V32">
        <f>-526.901247051153 -272.823885457381 -92.2016768801963</f>
        <v>-891.92680938873025</v>
      </c>
      <c r="W32" t="s">
        <v>270</v>
      </c>
      <c r="X32" t="s">
        <v>271</v>
      </c>
      <c r="Y32" t="s">
        <v>272</v>
      </c>
    </row>
    <row r="33" spans="1:25" x14ac:dyDescent="0.3">
      <c r="A33">
        <v>1600</v>
      </c>
      <c r="B33" t="s">
        <v>273</v>
      </c>
      <c r="C33">
        <f>-561.31233872488 -191.921114499826 -96.3821600609967</f>
        <v>-849.61561328570269</v>
      </c>
      <c r="D33">
        <f>-579.970244880343 -204.296196290985 -210.026149909439</f>
        <v>-994.29259108076701</v>
      </c>
      <c r="E33">
        <f>-584.13893228496 -207.144448014115 -308.520745293337</f>
        <v>-1099.804125592412</v>
      </c>
      <c r="F33">
        <f>-583.628124387631 -206.926490408116 -397.61569042045</f>
        <v>-1188.170305216197</v>
      </c>
      <c r="G33">
        <f>-578.453326891658 -203.894451108128 -486.510516636423</f>
        <v>-1268.8582946362089</v>
      </c>
      <c r="H33">
        <f>-566.295467444193 -196.792975404019 -610.294804059287</f>
        <v>-1373.3832469074991</v>
      </c>
      <c r="I33">
        <f>-528.572611109613 -183.66981211313 -683.163204694465</f>
        <v>-1395.405627917208</v>
      </c>
      <c r="J33">
        <f>-578.895210741678 -173.186706106842 -555.001869982192</f>
        <v>-1307.0837868307121</v>
      </c>
      <c r="K33">
        <f>-621.443263536137 -44.1520517062602 -533.771461506836</f>
        <v>-1199.3667767492332</v>
      </c>
      <c r="L33">
        <f>-715.685587187458 -37.5759728937876 -255.08462514276</f>
        <v>-1008.3461852240057</v>
      </c>
      <c r="M33">
        <f>-477.467822365221 -5.44492833833738 -271.538954199812</f>
        <v>-754.45170490337046</v>
      </c>
      <c r="N33">
        <f>-564.395948433907 -226.649181531564 -556.645041442083</f>
        <v>-1347.6901714075539</v>
      </c>
      <c r="O33">
        <f>-541.054736364928 -360.040679479604 -533.31164882157</f>
        <v>-1434.4070646661021</v>
      </c>
      <c r="P33">
        <f>-585.963454934963 -428.656990240308 -250.705507334465</f>
        <v>-1265.325952509736</v>
      </c>
      <c r="Q33">
        <f>-410.158497943547 -275.80977075638 -312.197169651577</f>
        <v>-998.16543835150401</v>
      </c>
      <c r="R33">
        <f>-594.417939631015 -108.67412300122 -101.327648713242</f>
        <v>-804.41971134547691</v>
      </c>
      <c r="S33" t="s">
        <v>274</v>
      </c>
      <c r="T33" t="s">
        <v>275</v>
      </c>
      <c r="U33" t="s">
        <v>276</v>
      </c>
      <c r="V33">
        <f>-527.702004076694 -275.505131902831 -93.2293756165324</f>
        <v>-896.43651159605736</v>
      </c>
      <c r="W33" t="s">
        <v>277</v>
      </c>
      <c r="X33" t="s">
        <v>278</v>
      </c>
      <c r="Y33" t="s">
        <v>279</v>
      </c>
    </row>
    <row r="34" spans="1:25" x14ac:dyDescent="0.3">
      <c r="A34">
        <v>1650</v>
      </c>
      <c r="B34" t="s">
        <v>280</v>
      </c>
      <c r="C34">
        <f>-562.282667752951 -194.920124720161 -96.6533758603872</f>
        <v>-853.85616833349923</v>
      </c>
      <c r="D34">
        <f>-580.361153427499 -207.283043227752 -210.392256264901</f>
        <v>-998.03645292015187</v>
      </c>
      <c r="E34">
        <f>-583.923218192381 -210.126631952773 -308.910728186349</f>
        <v>-1102.960578331503</v>
      </c>
      <c r="F34">
        <f>-582.809328868358 -209.932542355665 -398.000383578536</f>
        <v>-1190.7422548025588</v>
      </c>
      <c r="G34">
        <f>-576.974723874945 -206.958091599987 -486.85613520501</f>
        <v>-1270.788950679942</v>
      </c>
      <c r="H34">
        <f>-563.833084165123 -199.982306992585 -610.547227351515</f>
        <v>-1374.362618509223</v>
      </c>
      <c r="I34">
        <f>-526.078256487775 -186.962186687307 -683.417406348159</f>
        <v>-1396.4578495232408</v>
      </c>
      <c r="J34">
        <f>-577.148693057365 -176.395709874754 -555.413781188901</f>
        <v>-1308.9581841210202</v>
      </c>
      <c r="K34">
        <f>-620.925573721343 -47.6961122720516 -534.763076268786</f>
        <v>-1203.3847622621806</v>
      </c>
      <c r="L34">
        <f>-716.084871715097 -40.9860162472421 -256.391287984715</f>
        <v>-1013.4621759470542</v>
      </c>
      <c r="M34">
        <f>-477.996401102893 -7.18845928397582 -271.304545845897</f>
        <v>-756.48940623276576</v>
      </c>
      <c r="N34">
        <f>-562.083570629865 -229.708243617685 -556.820017562018</f>
        <v>-1348.6118318095682</v>
      </c>
      <c r="O34">
        <f>-537.578427149119 -362.862019155764 -533.206630862863</f>
        <v>-1433.6470771677459</v>
      </c>
      <c r="P34">
        <f>-584.499051115346 -431.732701890295 -250.989488847138</f>
        <v>-1267.221241852779</v>
      </c>
      <c r="Q34">
        <f>-408.957283294648 -278.443673897736 -312.132446819956</f>
        <v>-999.53340401234004</v>
      </c>
      <c r="R34">
        <f>-596.403978058978 -112.685085665147 -101.399565866179</f>
        <v>-810.48862959030407</v>
      </c>
      <c r="S34" t="s">
        <v>281</v>
      </c>
      <c r="T34" t="s">
        <v>282</v>
      </c>
      <c r="U34" t="s">
        <v>283</v>
      </c>
      <c r="V34">
        <f>-527.560623100614 -277.598410568266 -93.6290533160974</f>
        <v>-898.78808698497733</v>
      </c>
      <c r="W34" t="s">
        <v>284</v>
      </c>
      <c r="X34" t="s">
        <v>285</v>
      </c>
      <c r="Y34" t="s">
        <v>286</v>
      </c>
    </row>
    <row r="35" spans="1:25" x14ac:dyDescent="0.3">
      <c r="A35">
        <v>1700</v>
      </c>
      <c r="B35" t="s">
        <v>287</v>
      </c>
      <c r="C35">
        <f>-567.977038168855 -197.238059966282 -96.7785310161235</f>
        <v>-861.99362915126039</v>
      </c>
      <c r="D35">
        <f>-584.515285952345 -209.485969827243 -210.764030468538</f>
        <v>-1004.7652862481261</v>
      </c>
      <c r="E35">
        <f>-586.711148504744 -212.272587743112 -309.324056434066</f>
        <v>-1108.3077926819219</v>
      </c>
      <c r="F35">
        <f>-584.320714419288 -212.099023688541 -398.388539674474</f>
        <v>-1194.8082777823031</v>
      </c>
      <c r="G35">
        <f>-577.165470844287 -209.228389250849 -487.151182585218</f>
        <v>-1273.5450426803541</v>
      </c>
      <c r="H35">
        <f>-562.125460609683 -202.50628017847 -610.639726233522</f>
        <v>-1375.2714670216751</v>
      </c>
      <c r="I35">
        <f>-524.157328701366 -189.49040580421 -683.399961043747</f>
        <v>-1397.0476955493232</v>
      </c>
      <c r="J35">
        <f>-576.865254343566 -178.976071021456 -555.845874313061</f>
        <v>-1311.6871996780828</v>
      </c>
      <c r="K35">
        <f>-623.158813039603 -51.0546983355266 -536.390561208187</f>
        <v>-1210.6040725833168</v>
      </c>
      <c r="L35">
        <f>-720.39577559244 -43.8764351994596 -258.749337075108</f>
        <v>-1023.0215478670076</v>
      </c>
      <c r="M35">
        <f>-482.497654564081 -7.11481117940298 -268.946865593145</f>
        <v>-758.55933133662893</v>
      </c>
      <c r="N35">
        <f>-560.622258749594 -231.9525950194 -556.751289475717</f>
        <v>-1349.3261432447111</v>
      </c>
      <c r="O35">
        <f>-533.472280966884 -364.577972040223 -532.648563518074</f>
        <v>-1430.698816525181</v>
      </c>
      <c r="P35">
        <f>-584.56021848553 -433.12427820597 -251.076905210719</f>
        <v>-1268.7614019022189</v>
      </c>
      <c r="Q35">
        <f>-410.782412045463 -277.340112328149 -310.938679275042</f>
        <v>-999.06120364865399</v>
      </c>
      <c r="R35">
        <f>-607.319915483192 -114.885507113207 -101.334994258816</f>
        <v>-823.54041685521497</v>
      </c>
      <c r="S35" t="s">
        <v>288</v>
      </c>
      <c r="T35" t="s">
        <v>289</v>
      </c>
      <c r="U35" t="s">
        <v>290</v>
      </c>
      <c r="V35">
        <f>-529.484707119906 -278.840463938646 -94.191950040913</f>
        <v>-902.51712109946504</v>
      </c>
      <c r="W35" t="s">
        <v>291</v>
      </c>
      <c r="X35" t="s">
        <v>292</v>
      </c>
      <c r="Y35" t="s">
        <v>293</v>
      </c>
    </row>
    <row r="36" spans="1:25" x14ac:dyDescent="0.3">
      <c r="A36">
        <v>1750</v>
      </c>
      <c r="B36" t="s">
        <v>294</v>
      </c>
      <c r="C36">
        <f>-571.024637420011 -197.283281014556 -96.6474776137452</f>
        <v>-864.9553960483122</v>
      </c>
      <c r="D36">
        <f>-586.93014535302 -209.33802246736 -210.743496326367</f>
        <v>-1007.011664146747</v>
      </c>
      <c r="E36">
        <f>-588.536605282574 -212.092519588027 -309.315860214674</f>
        <v>-1109.944985085275</v>
      </c>
      <c r="F36">
        <f>-585.591068110025 -211.960762029016 -398.363775733045</f>
        <v>-1195.915605872086</v>
      </c>
      <c r="G36">
        <f>-577.860242562236 -209.204144114891 -487.081679481387</f>
        <v>-1274.146066158514</v>
      </c>
      <c r="H36">
        <f>-561.994848611288 -202.722231910384 -610.479816232193</f>
        <v>-1375.1968967538651</v>
      </c>
      <c r="I36">
        <f>-523.865447972327 -189.661308169634 -683.14745264395</f>
        <v>-1396.6742087859111</v>
      </c>
      <c r="J36">
        <f>-577.348254762873 -179.162320989843 -555.86745807606</f>
        <v>-1312.3780338287761</v>
      </c>
      <c r="K36">
        <f>-624.756723047075 -51.5192170262435 -536.96129417514</f>
        <v>-1213.2372342484584</v>
      </c>
      <c r="L36">
        <f>-723.083041983259 -44.2485559640677 -259.706396770407</f>
        <v>-1027.0379947177337</v>
      </c>
      <c r="M36">
        <f>-485.276698588496 -6.31762049996701 -267.467924376001</f>
        <v>-759.06224346446402</v>
      </c>
      <c r="N36">
        <f>-560.604584247364 -231.986825546885 -556.489481562639</f>
        <v>-1349.0808913568881</v>
      </c>
      <c r="O36">
        <f>-532.246646755641 -364.257825365189 -531.976992872604</f>
        <v>-1428.481464993434</v>
      </c>
      <c r="P36">
        <f>-584.544666783411 -432.937281058163 -250.659999915766</f>
        <v>-1268.1419477573402</v>
      </c>
      <c r="Q36">
        <f>-412.312465986133 -275.175566380887 -309.805315214936</f>
        <v>-997.29334758195591</v>
      </c>
      <c r="R36">
        <f>-611.198090911395 -116.026497971736 -101.094225324736</f>
        <v>-828.31881420786704</v>
      </c>
      <c r="S36" t="s">
        <v>295</v>
      </c>
      <c r="T36" t="s">
        <v>296</v>
      </c>
      <c r="U36" t="s">
        <v>297</v>
      </c>
      <c r="V36">
        <f>-531.206135450171 -278.347375371853 -94.2558765695343</f>
        <v>-903.80938739155829</v>
      </c>
      <c r="W36" t="s">
        <v>298</v>
      </c>
      <c r="X36" t="s">
        <v>299</v>
      </c>
      <c r="Y36" t="s">
        <v>300</v>
      </c>
    </row>
    <row r="37" spans="1:25" x14ac:dyDescent="0.3">
      <c r="A37">
        <v>1800</v>
      </c>
      <c r="B37" t="s">
        <v>301</v>
      </c>
      <c r="C37">
        <f>-576.933168484738 -190.236004523554 -96.4483582557723</f>
        <v>-863.61753126406427</v>
      </c>
      <c r="D37">
        <f>-592.106257791349 -202.158366926382 -210.657994880242</f>
        <v>-1004.9226195979729</v>
      </c>
      <c r="E37">
        <f>-592.937515870893 -205.023695193116 -309.236779980082</f>
        <v>-1107.1979910440909</v>
      </c>
      <c r="F37">
        <f>-589.235224618736 -205.092860615067 -398.256627838493</f>
        <v>-1192.5847130722959</v>
      </c>
      <c r="G37">
        <f>-580.697146641169 -202.635827553557 -486.909287743919</f>
        <v>-1270.2422619386448</v>
      </c>
      <c r="H37">
        <f>-563.655143024228 -196.678158135887 -610.176782542818</f>
        <v>-1370.5100837029331</v>
      </c>
      <c r="I37">
        <f>-525.153255684131 -183.620342442341 -682.6484289074</f>
        <v>-1391.4220270338719</v>
      </c>
      <c r="J37">
        <f>-579.837269288725 -172.986457838011 -555.861486742587</f>
        <v>-1308.685213869323</v>
      </c>
      <c r="K37">
        <f>-628.784631724192 -45.7894015624283 -538.102698152777</f>
        <v>-1212.6767314393974</v>
      </c>
      <c r="L37">
        <f>-729.128918095081 -39.7303761403509 -261.542619882878</f>
        <v>-1030.4019141183098</v>
      </c>
      <c r="M37" t="s">
        <v>302</v>
      </c>
      <c r="N37">
        <f>-562.471559617064 -225.613137378757 -556.004245166756</f>
        <v>-1344.088942162577</v>
      </c>
      <c r="O37">
        <f>-532.657133200407 -357.415162242076 -530.575793984919</f>
        <v>-1420.6480894274018</v>
      </c>
      <c r="P37">
        <f>-585.126098181341 -426.818833266553 -249.468514106842</f>
        <v>-1261.413445554736</v>
      </c>
      <c r="Q37">
        <f>-416.234300653918 -265.065726634048 -307.454595905443</f>
        <v>-988.75462319340909</v>
      </c>
      <c r="R37">
        <f>-618.743112225988 -104.178293235266 -100.945655152234</f>
        <v>-823.86706061348809</v>
      </c>
      <c r="S37" t="s">
        <v>303</v>
      </c>
      <c r="T37" t="s">
        <v>304</v>
      </c>
      <c r="U37" t="s">
        <v>305</v>
      </c>
      <c r="V37">
        <f>-535.505742738428 -275.788916383865 -94.1888049659701</f>
        <v>-905.48346408826319</v>
      </c>
      <c r="W37" t="s">
        <v>306</v>
      </c>
      <c r="X37" t="s">
        <v>307</v>
      </c>
      <c r="Y37" t="s">
        <v>308</v>
      </c>
    </row>
    <row r="38" spans="1:25" x14ac:dyDescent="0.3">
      <c r="A38">
        <v>1850</v>
      </c>
      <c r="B38" t="s">
        <v>309</v>
      </c>
      <c r="C38">
        <f>-578.75960436873 -187.25093068299 -96.4186788693432</f>
        <v>-862.42921392106325</v>
      </c>
      <c r="D38">
        <f>-593.846685774498 -199.35795468525 -210.62033722458</f>
        <v>-1003.824977684328</v>
      </c>
      <c r="E38">
        <f>-594.534105707003 -202.351675337195 -309.196371160446</f>
        <v>-1106.082152204644</v>
      </c>
      <c r="F38">
        <f>-590.672863658412 -202.527437990646 -398.209274206285</f>
        <v>-1191.4095758553431</v>
      </c>
      <c r="G38">
        <f>-581.9472133463 -200.16748527151 -486.846325061037</f>
        <v>-1268.9610236788471</v>
      </c>
      <c r="H38">
        <f>-564.613743214075 -194.335583306799 -610.079270386417</f>
        <v>-1369.0285969072911</v>
      </c>
      <c r="I38">
        <f>-525.993809026795 -181.317894782508 -682.495170689176</f>
        <v>-1389.8068744984789</v>
      </c>
      <c r="J38">
        <f>-581.000231848102 -170.613648724549 -555.838455671101</f>
        <v>-1307.4523362437519</v>
      </c>
      <c r="K38">
        <f>-630.382743380965 -43.5241036248233 -538.559603349386</f>
        <v>-1212.4664503551744</v>
      </c>
      <c r="L38">
        <f>-731.371957154724 -38.2775242666046 -262.217524165486</f>
        <v>-1031.8670055868147</v>
      </c>
      <c r="M38" t="s">
        <v>310</v>
      </c>
      <c r="N38">
        <f>-563.482568907634 -223.190177620723 -555.862512319226</f>
        <v>-1342.535258847583</v>
      </c>
      <c r="O38">
        <f>-533.352707157145 -354.86197637552 -530.090027178711</f>
        <v>-1418.3047107113762</v>
      </c>
      <c r="P38">
        <f>-585.753906477528 -424.544283641517 -249.039037111335</f>
        <v>-1259.33722723038</v>
      </c>
      <c r="Q38">
        <f>-418.41001107683 -261.054450801359 -306.640776155871</f>
        <v>-986.10523803405999</v>
      </c>
      <c r="R38">
        <f>-620.977715799451 -100.716134913272 -101.104634663952</f>
        <v>-822.79848537667488</v>
      </c>
      <c r="S38" t="s">
        <v>311</v>
      </c>
      <c r="T38" t="s">
        <v>312</v>
      </c>
      <c r="U38" t="s">
        <v>313</v>
      </c>
      <c r="V38">
        <f>-536.657988011418 -274.063697449008 -94.1995171942789</f>
        <v>-904.92120265470487</v>
      </c>
      <c r="W38" t="s">
        <v>314</v>
      </c>
      <c r="X38" t="s">
        <v>315</v>
      </c>
      <c r="Y38" t="s">
        <v>316</v>
      </c>
    </row>
    <row r="39" spans="1:25" x14ac:dyDescent="0.3">
      <c r="A39">
        <v>1900</v>
      </c>
      <c r="B39" t="s">
        <v>317</v>
      </c>
      <c r="C39">
        <f>-579.154448802138 -185.466306373637 -96.6270774975739</f>
        <v>-861.24783267334885</v>
      </c>
      <c r="D39">
        <f>-594.414311720307 -197.965306797072 -210.763646059606</f>
        <v>-1003.143264576985</v>
      </c>
      <c r="E39">
        <f>-595.167347375993 -201.270628317851 -309.329047267668</f>
        <v>-1105.7670229615119</v>
      </c>
      <c r="F39">
        <f>-591.33026298723 -201.720974627 -398.342100405052</f>
        <v>-1191.3933380192821</v>
      </c>
      <c r="G39">
        <f>-582.593720552254 -199.628358886691 -486.984857144439</f>
        <v>-1269.206936583384</v>
      </c>
      <c r="H39">
        <f>-565.208045168074 -194.163658168372 -610.227279095686</f>
        <v>-1369.5989824321318</v>
      </c>
      <c r="I39">
        <f>-526.481132642035 -181.382739667707 -682.628186205267</f>
        <v>-1390.4920585150089</v>
      </c>
      <c r="J39">
        <f>-581.67820689441 -170.30062927435 -556.073855862559</f>
        <v>-1308.0526920313189</v>
      </c>
      <c r="K39">
        <f>-631.368174378606 -43.2038593441537 -539.273283458564</f>
        <v>-1213.8453171813237</v>
      </c>
      <c r="L39">
        <f>-732.223734485997 -38.3520742280157 -262.87540930443</f>
        <v>-1033.4512180184427</v>
      </c>
      <c r="M39" t="s">
        <v>318</v>
      </c>
      <c r="N39">
        <f>-564.03899030793 -222.836271180808 -555.914876872172</f>
        <v>-1342.7901383609101</v>
      </c>
      <c r="O39">
        <f>-533.696751998402 -354.269905748276 -529.521017869006</f>
        <v>-1417.4876756156841</v>
      </c>
      <c r="P39">
        <f>-586.627564726807 -423.660433319983 -248.497131847239</f>
        <v>-1258.7851298940291</v>
      </c>
      <c r="Q39">
        <f>-421.807752911167 -257.292370313762 -305.126946613361</f>
        <v>-984.22706983828994</v>
      </c>
      <c r="R39">
        <f>-621.273175798536 -99.4898104165297 -101.443018489671</f>
        <v>-822.20600470473676</v>
      </c>
      <c r="S39" t="s">
        <v>319</v>
      </c>
      <c r="T39" t="s">
        <v>320</v>
      </c>
      <c r="U39" t="s">
        <v>321</v>
      </c>
      <c r="V39">
        <f>-536.552157653374 -272.215171121886 -94.1859072037983</f>
        <v>-902.95323597905826</v>
      </c>
      <c r="W39" t="s">
        <v>322</v>
      </c>
      <c r="X39" t="s">
        <v>323</v>
      </c>
      <c r="Y39" t="s">
        <v>324</v>
      </c>
    </row>
    <row r="40" spans="1:25" x14ac:dyDescent="0.3">
      <c r="A40">
        <v>1950</v>
      </c>
      <c r="B40" t="s">
        <v>325</v>
      </c>
      <c r="C40">
        <f>-578.74468142391 -184.936476488267 -96.9506194128485</f>
        <v>-860.6317773250255</v>
      </c>
      <c r="D40">
        <f>-594.201149464905 -197.601882883066 -211.04228940527</f>
        <v>-1002.845321753241</v>
      </c>
      <c r="E40">
        <f>-595.11478352337 -201.130759848219 -309.598698504943</f>
        <v>-1105.8442418765319</v>
      </c>
      <c r="F40">
        <f>-591.419530731102 -201.816250151829 -398.616205774611</f>
        <v>-1191.8519866575421</v>
      </c>
      <c r="G40">
        <f>-582.821804550114 -199.992025755162 -487.27847173817</f>
        <v>-1270.0923020434461</v>
      </c>
      <c r="H40">
        <f>-565.62633787609 -194.937538909816 -610.565079316798</f>
        <v>-1371.128956102704</v>
      </c>
      <c r="I40">
        <f>-526.857083721113 -182.425057455374 -682.990236285392</f>
        <v>-1392.2723774618789</v>
      </c>
      <c r="J40">
        <f>-581.998796089884 -170.889652938247 -556.463690254203</f>
        <v>-1309.3521392823341</v>
      </c>
      <c r="K40">
        <f>-631.640617979857 -43.750629128677 -539.83590786033</f>
        <v>-1215.2271549688639</v>
      </c>
      <c r="L40">
        <f>-731.748986783091 -39.1803642494226 -263.161713669333</f>
        <v>-1034.0910647018466</v>
      </c>
      <c r="M40" t="s">
        <v>326</v>
      </c>
      <c r="N40">
        <f>-564.387493911866 -223.434079801407 -556.161546898301</f>
        <v>-1343.9831206115741</v>
      </c>
      <c r="O40">
        <f>-534.134630956047 -354.827972200735 -529.457149847516</f>
        <v>-1418.4197530042979</v>
      </c>
      <c r="P40">
        <f>-587.514411206828 -424.092605035034 -248.487115706119</f>
        <v>-1260.0941319479809</v>
      </c>
      <c r="Q40">
        <f>-423.608101023164 -256.63742332118 -304.56148984915</f>
        <v>-984.80701419349396</v>
      </c>
      <c r="R40">
        <f>-621.608092117239 -98.0179586902614 -101.872766098058</f>
        <v>-821.49881690555844</v>
      </c>
      <c r="S40" t="s">
        <v>327</v>
      </c>
      <c r="T40" t="s">
        <v>328</v>
      </c>
      <c r="U40" t="s">
        <v>329</v>
      </c>
      <c r="V40">
        <f>-535.730628090703 -272.514448605118 -94.2868473943992</f>
        <v>-902.53192409022017</v>
      </c>
      <c r="W40" t="s">
        <v>330</v>
      </c>
      <c r="X40" t="s">
        <v>331</v>
      </c>
      <c r="Y40" t="s">
        <v>332</v>
      </c>
    </row>
    <row r="41" spans="1:25" x14ac:dyDescent="0.3">
      <c r="A41">
        <v>2000</v>
      </c>
      <c r="B41" t="s">
        <v>333</v>
      </c>
      <c r="C41">
        <f>-576.164090855251 -186.384251049609 -97.362767073445</f>
        <v>-859.91110897830492</v>
      </c>
      <c r="D41">
        <f>-592.300426359841 -199.427957335713 -211.317530600183</f>
        <v>-1003.045914295737</v>
      </c>
      <c r="E41">
        <f>-593.842194446195 -203.435966626847 -309.847869693996</f>
        <v>-1107.1260307670379</v>
      </c>
      <c r="F41">
        <f>-590.732827844318 -204.615614881352 -398.882568893174</f>
        <v>-1194.2310116188439</v>
      </c>
      <c r="G41">
        <f>-582.737821952389 -203.346342570859 -487.610903985385</f>
        <v>-1273.6950685086331</v>
      </c>
      <c r="H41">
        <f>-566.401024911606 -199.130462249002 -611.045701846702</f>
        <v>-1376.5771890073099</v>
      </c>
      <c r="I41">
        <f>-527.851605348939 -187.293437845766 -683.701435568872</f>
        <v>-1398.8464787635769</v>
      </c>
      <c r="J41">
        <f>-582.317573906741 -174.688294667201 -556.985019130464</f>
        <v>-1313.9908877044061</v>
      </c>
      <c r="K41">
        <f>-631.533600911222 -47.3810257436562 -540.676421407648</f>
        <v>-1219.5910480625262</v>
      </c>
      <c r="L41">
        <f>-730.151135833228 -42.6782354893267 -263.469620148948</f>
        <v>-1036.2989914715026</v>
      </c>
      <c r="M41">
        <f>-492.618740575632 -2.39206906682762 -260.973335317534</f>
        <v>-755.98414495999361</v>
      </c>
      <c r="N41">
        <f>-564.862507184317 -227.283160642285 -556.47128738679</f>
        <v>-1348.616955213392</v>
      </c>
      <c r="O41">
        <f>-535.059338398428 -358.71534503448 -529.292673674415</f>
        <v>-1423.067357107323</v>
      </c>
      <c r="P41">
        <f>-589.279976945402 -427.566888584733 -248.38214912773</f>
        <v>-1265.229014657865</v>
      </c>
      <c r="Q41">
        <f>-426.500593434445 -258.625993228594 -303.270457226133</f>
        <v>-988.39704388917198</v>
      </c>
      <c r="R41">
        <f>-619.91298609817 -98.3476902316074 -102.316699166253</f>
        <v>-820.57737549603041</v>
      </c>
      <c r="S41" t="s">
        <v>334</v>
      </c>
      <c r="T41" t="s">
        <v>335</v>
      </c>
      <c r="U41" t="s">
        <v>336</v>
      </c>
      <c r="V41">
        <f>-532.692201132587 -275.424171372237 -94.5447821559848</f>
        <v>-902.66115466080885</v>
      </c>
      <c r="W41" t="s">
        <v>337</v>
      </c>
      <c r="X41" t="s">
        <v>338</v>
      </c>
      <c r="Y41" t="s">
        <v>339</v>
      </c>
    </row>
    <row r="42" spans="1:25" x14ac:dyDescent="0.3">
      <c r="A42">
        <v>2050</v>
      </c>
      <c r="B42" t="s">
        <v>340</v>
      </c>
      <c r="C42">
        <f>-574.928800505756 -186.91901244425 -97.3845070660883</f>
        <v>-859.23232001609438</v>
      </c>
      <c r="D42">
        <f>-591.578500320445 -200.156863640444 -211.242978717035</f>
        <v>-1002.9783426779238</v>
      </c>
      <c r="E42">
        <f>-593.542651912026 -204.397734295067 -309.7560507343</f>
        <v>-1107.6964369413931</v>
      </c>
      <c r="F42">
        <f>-590.809377012024 -205.810225423414 -398.79965927164</f>
        <v>-1195.419261707078</v>
      </c>
      <c r="G42">
        <f>-583.183909617198 -204.796193492338 -487.563832313147</f>
        <v>-1275.543935422683</v>
      </c>
      <c r="H42">
        <f>-567.357208051339 -200.95861764678 -611.077379810408</f>
        <v>-1379.393205508527</v>
      </c>
      <c r="I42">
        <f>-529.033076473224 -189.451829816159 -683.905094230816</f>
        <v>-1402.390000520199</v>
      </c>
      <c r="J42">
        <f>-582.991331027342 -176.331072282516 -557.018384399744</f>
        <v>-1316.340787709602</v>
      </c>
      <c r="K42">
        <f>-631.936733911302 -48.8844004213881 -540.844460703487</f>
        <v>-1221.6655950361771</v>
      </c>
      <c r="L42">
        <f>-729.785191885444 -43.4192894358466 -263.379156107996</f>
        <v>-1036.5836374292867</v>
      </c>
      <c r="M42">
        <f>-492.05617473208 -4.34816002676803 -260.342031884602</f>
        <v>-756.74636664345007</v>
      </c>
      <c r="N42">
        <f>-565.652006889747 -228.963579926694 -556.431878863758</f>
        <v>-1351.0474656801989</v>
      </c>
      <c r="O42">
        <f>-536.125579684934 -360.401349978884 -529.082057445114</f>
        <v>-1425.6089871089321</v>
      </c>
      <c r="P42">
        <f>-590.721240691184 -428.819085130741 -248.138107070882</f>
        <v>-1267.678432892807</v>
      </c>
      <c r="Q42">
        <f>-428.303624865408 -259.441134565806 -302.74990252728</f>
        <v>-990.49466195849402</v>
      </c>
      <c r="R42">
        <f>-619.209637495332 -98.2122306729991 -102.393821784159</f>
        <v>-819.81568995249017</v>
      </c>
      <c r="S42" t="s">
        <v>341</v>
      </c>
      <c r="T42" t="s">
        <v>342</v>
      </c>
      <c r="U42" t="s">
        <v>343</v>
      </c>
      <c r="V42">
        <f>-531.090993745543 -276.082853943285 -94.6682854205259</f>
        <v>-901.84213310935377</v>
      </c>
      <c r="W42" t="s">
        <v>344</v>
      </c>
      <c r="X42" t="s">
        <v>345</v>
      </c>
      <c r="Y42" t="s">
        <v>346</v>
      </c>
    </row>
    <row r="43" spans="1:25" x14ac:dyDescent="0.3">
      <c r="A43">
        <v>2100</v>
      </c>
      <c r="B43" t="s">
        <v>347</v>
      </c>
      <c r="C43">
        <f>-571.05862467378 -187.354483639476 -97.4375116337364</f>
        <v>-855.85061994699242</v>
      </c>
      <c r="D43">
        <f>-588.936580782713 -201.094140040864 -211.050090002869</f>
        <v>-1001.0808108264459</v>
      </c>
      <c r="E43">
        <f>-591.855850306363 -205.869165936023 -309.515037387075</f>
        <v>-1107.240053629461</v>
      </c>
      <c r="F43">
        <f>-589.94813610674 -207.798591575001 -398.570450259806</f>
        <v>-1196.317177941547</v>
      </c>
      <c r="G43">
        <f>-583.108592904933 -207.335535009882 -487.403184955269</f>
        <v>-1277.8473128700839</v>
      </c>
      <c r="H43">
        <f>-568.33839345873 -204.301731723653 -611.069856655858</f>
        <v>-1383.709981838241</v>
      </c>
      <c r="I43">
        <f>-530.516152237733 -193.376823702652 -684.248744564757</f>
        <v>-1408.1417205051421</v>
      </c>
      <c r="J43">
        <f>-583.328035561078 -179.262913781455 -557.017274308027</f>
        <v>-1319.6082236505599</v>
      </c>
      <c r="K43">
        <f>-631.24200439279 -51.4246222051199 -540.965681544191</f>
        <v>-1223.632308142101</v>
      </c>
      <c r="L43">
        <f>-727.280288143656 -43.8626615625103 -262.917774139633</f>
        <v>-1034.0607238457992</v>
      </c>
      <c r="M43">
        <f>-489.195061104861 -7.06972757917447 -259.374047859539</f>
        <v>-755.63883654357448</v>
      </c>
      <c r="N43">
        <f>-566.348030107325 -232.010460903028 -556.283327085995</f>
        <v>-1354.6418180963478</v>
      </c>
      <c r="O43">
        <f>-537.463605981085 -363.518684843864 -528.52729206905</f>
        <v>-1429.5095828939989</v>
      </c>
      <c r="P43">
        <f>-591.621168368204 -430.45537700095 -247.142048860394</f>
        <v>-1269.218594229548</v>
      </c>
      <c r="Q43">
        <f>-429.186734475487 -261.299165271375 -302.388637214561</f>
        <v>-992.87453696142302</v>
      </c>
      <c r="R43">
        <f>-614.831797469041 -98.6249370045498 -102.512527427724</f>
        <v>-815.96926190131478</v>
      </c>
      <c r="S43" t="s">
        <v>348</v>
      </c>
      <c r="T43" t="s">
        <v>349</v>
      </c>
      <c r="U43" t="s">
        <v>350</v>
      </c>
      <c r="V43">
        <f>-527.310587377904 -276.346302321818 -94.760289926904</f>
        <v>-898.41717962662585</v>
      </c>
      <c r="W43" t="s">
        <v>351</v>
      </c>
      <c r="X43" t="s">
        <v>352</v>
      </c>
      <c r="Y43" t="s">
        <v>353</v>
      </c>
    </row>
    <row r="44" spans="1:25" x14ac:dyDescent="0.3">
      <c r="A44">
        <v>2150</v>
      </c>
      <c r="B44" t="s">
        <v>354</v>
      </c>
      <c r="C44">
        <f>-569.007602055891 -187.086555202115 -97.6441936624686</f>
        <v>-853.73835092047455</v>
      </c>
      <c r="D44">
        <f>-587.554112287895 -201.119075125775 -211.113793891254</f>
        <v>-999.78698130492398</v>
      </c>
      <c r="E44">
        <f>-590.996016846763 -206.156053694781 -309.548708297677</f>
        <v>-1106.7007788392211</v>
      </c>
      <c r="F44">
        <f>-589.540098115637 -208.322214211417 -398.607235689883</f>
        <v>-1196.4695480169369</v>
      </c>
      <c r="G44">
        <f>-583.130530951752 -208.096340238923 -487.472915515946</f>
        <v>-1278.6997867066209</v>
      </c>
      <c r="H44">
        <f>-568.937342859407 -205.393641756481 -611.214829451889</f>
        <v>-1385.545814067777</v>
      </c>
      <c r="I44">
        <f>-531.388457794472 -194.722634337727 -684.571746663041</f>
        <v>-1410.6828387952401</v>
      </c>
      <c r="J44">
        <f>-583.550106889348 -180.170183044862 -557.144979835523</f>
        <v>-1320.865269769733</v>
      </c>
      <c r="K44">
        <f>-630.787334159422 -52.0815203991958 -541.119969499958</f>
        <v>-1223.9888240585758</v>
      </c>
      <c r="L44">
        <f>-725.689068293602 -43.477990692445 -262.712134704283</f>
        <v>-1031.8791936903299</v>
      </c>
      <c r="M44">
        <f>-487.454031750766 -7.67330592900771 -259.117628513084</f>
        <v>-754.24496619285765</v>
      </c>
      <c r="N44">
        <f>-566.816007164749 -232.995850001864 -556.379395639537</f>
        <v>-1356.19125280615</v>
      </c>
      <c r="O44">
        <f>-538.394769691706 -364.555277365201 -528.365595404296</f>
        <v>-1431.315642461203</v>
      </c>
      <c r="P44">
        <f>-591.519072874489 -430.743522144295 -246.606605305271</f>
        <v>-1268.8692003240549</v>
      </c>
      <c r="Q44">
        <f>-428.93091550853 -261.963300285202 -302.546185545803</f>
        <v>-993.4404013395349</v>
      </c>
      <c r="R44">
        <f>-612.418053454657 -98.4029643313042 -102.659957978193</f>
        <v>-813.48097576415421</v>
      </c>
      <c r="S44" t="s">
        <v>355</v>
      </c>
      <c r="T44" t="s">
        <v>356</v>
      </c>
      <c r="U44" t="s">
        <v>357</v>
      </c>
      <c r="V44">
        <f>-525.68792341303 -275.868401685156 -94.8036093006932</f>
        <v>-896.35993439887932</v>
      </c>
      <c r="W44" t="s">
        <v>358</v>
      </c>
      <c r="X44" t="s">
        <v>359</v>
      </c>
      <c r="Y44" t="s">
        <v>360</v>
      </c>
    </row>
    <row r="45" spans="1:25" x14ac:dyDescent="0.3">
      <c r="A45">
        <v>2200</v>
      </c>
      <c r="B45" t="s">
        <v>361</v>
      </c>
      <c r="C45">
        <f>-566.5054547851 -186.505222645646 -98.0889011969207</f>
        <v>-851.09957862766669</v>
      </c>
      <c r="D45">
        <f>-586.436597333914 -200.953335197077 -211.271128095594</f>
        <v>-998.66106062658503</v>
      </c>
      <c r="E45">
        <f>-590.893921347664 -206.383762541115 -309.644339638152</f>
        <v>-1106.9220235269308</v>
      </c>
      <c r="F45">
        <f>-590.287776627113 -208.909712182743 -398.70336636268</f>
        <v>-1197.900855172536</v>
      </c>
      <c r="G45">
        <f>-584.6579424627 -209.049181910653 -487.621951603383</f>
        <v>-1281.329075976736</v>
      </c>
      <c r="H45">
        <f>-571.480761816395 -206.859894726255 -611.486395115195</f>
        <v>-1389.827051657845</v>
      </c>
      <c r="I45">
        <f>-534.491448620307 -196.613073802181 -685.187278515823</f>
        <v>-1416.2918009383111</v>
      </c>
      <c r="J45">
        <f>-585.392959311369 -181.331566439786 -557.374792330808</f>
        <v>-1324.099318081963</v>
      </c>
      <c r="K45">
        <f>-631.275298276279 -52.7363414474944 -541.374058920613</f>
        <v>-1225.3856986443866</v>
      </c>
      <c r="L45">
        <f>-724.000943404066 -42.18504962068 -262.301009679546</f>
        <v>-1028.4870027042921</v>
      </c>
      <c r="M45">
        <f>-485.525346252939 -8.04784574072551 -258.435826943516</f>
        <v>-752.0090189371806</v>
      </c>
      <c r="N45">
        <f>-569.165946955969 -234.314865427556 -556.584830932471</f>
        <v>-1360.0656433159961</v>
      </c>
      <c r="O45">
        <f>-541.68546554657 -365.983854161756 -528.222822127222</f>
        <v>-1435.892141835548</v>
      </c>
      <c r="P45">
        <f>-593.191738642394 -430.501307147646 -245.776754685344</f>
        <v>-1269.4698004753839</v>
      </c>
      <c r="Q45">
        <f>-429.995486811875 -262.649671120129 -302.730239855873</f>
        <v>-995.37539778787709</v>
      </c>
      <c r="R45">
        <f>-609.806719626798 -96.5878053954571 -103.045865686532</f>
        <v>-809.44039070878705</v>
      </c>
      <c r="S45" t="s">
        <v>362</v>
      </c>
      <c r="T45" t="s">
        <v>363</v>
      </c>
      <c r="U45" t="s">
        <v>364</v>
      </c>
      <c r="V45">
        <f>-523.528264150153 -276.362638986364 -94.9182627232279</f>
        <v>-894.80916585974489</v>
      </c>
      <c r="W45" t="s">
        <v>365</v>
      </c>
      <c r="X45" t="s">
        <v>366</v>
      </c>
      <c r="Y45" t="s">
        <v>367</v>
      </c>
    </row>
    <row r="46" spans="1:25" x14ac:dyDescent="0.3">
      <c r="A46">
        <v>2250</v>
      </c>
      <c r="B46" t="s">
        <v>368</v>
      </c>
      <c r="C46">
        <f>-565.643299892517 -186.400983974192 -98.1984847621005</f>
        <v>-850.24276862880959</v>
      </c>
      <c r="D46">
        <f>-586.188432327074 -201.074655227265 -211.241894095152</f>
        <v>-998.50498164949101</v>
      </c>
      <c r="E46">
        <f>-591.051594783712 -206.680241955826 -309.586018848334</f>
        <v>-1107.3178555878719</v>
      </c>
      <c r="F46">
        <f>-590.763120768567 -209.354492977127 -398.642298760414</f>
        <v>-1198.7599125061079</v>
      </c>
      <c r="G46">
        <f>-585.400112072719 -209.633542470808 -487.577109942246</f>
        <v>-1282.610764485773</v>
      </c>
      <c r="H46">
        <f>-572.541929301993 -207.63058706743 -611.47815164343</f>
        <v>-1391.6506680128532</v>
      </c>
      <c r="I46">
        <f>-535.803460839923 -197.577714328711 -685.331090674283</f>
        <v>-1418.7122658429171</v>
      </c>
      <c r="J46">
        <f>-586.203872809276 -181.98710296438 -557.357211583278</f>
        <v>-1325.548187356934</v>
      </c>
      <c r="K46">
        <f>-631.464344552002 -53.1605997683314 -541.376400716331</f>
        <v>-1226.0013450366644</v>
      </c>
      <c r="L46">
        <f>-723.442140713214 -41.9465219223687 -262.081629757192</f>
        <v>-1027.4702923927748</v>
      </c>
      <c r="M46">
        <f>-484.863964053043 -8.56191021623704 -257.983565599194</f>
        <v>-751.40943986847401</v>
      </c>
      <c r="N46">
        <f>-570.196508958118 -235.036813590209 -556.553677526397</f>
        <v>-1361.7870000747239</v>
      </c>
      <c r="O46">
        <f>-543.16699660608 -366.778845900762 -528.109493756158</f>
        <v>-1438.0553362630001</v>
      </c>
      <c r="P46">
        <f>-594.360048197763 -430.756276717574 -245.483633828749</f>
        <v>-1270.5999587440858</v>
      </c>
      <c r="Q46">
        <f>-430.833976735121 -263.316124719265 -302.701776698231</f>
        <v>-996.85187815261702</v>
      </c>
      <c r="R46">
        <f>-608.748264078019 -96.1829797133983 -103.208988808751</f>
        <v>-808.14023260016825</v>
      </c>
      <c r="S46" t="s">
        <v>369</v>
      </c>
      <c r="T46" t="s">
        <v>370</v>
      </c>
      <c r="U46" t="s">
        <v>371</v>
      </c>
      <c r="V46">
        <f>-522.681983075878 -276.794966809495 -94.9568287915861</f>
        <v>-894.43377867695904</v>
      </c>
      <c r="W46" t="s">
        <v>372</v>
      </c>
      <c r="X46" t="s">
        <v>373</v>
      </c>
      <c r="Y46" t="s">
        <v>374</v>
      </c>
    </row>
    <row r="47" spans="1:25" x14ac:dyDescent="0.3">
      <c r="A47">
        <v>2300</v>
      </c>
      <c r="B47" t="s">
        <v>375</v>
      </c>
      <c r="C47">
        <f>-563.952536651393 -185.756264033209 -98.268354921423</f>
        <v>-847.97715560602501</v>
      </c>
      <c r="D47">
        <f>-585.387019712459 -200.802086872023 -211.097433854982</f>
        <v>-997.28654043946403</v>
      </c>
      <c r="E47">
        <f>-590.784206121919 -206.679761963633 -309.397929035976</f>
        <v>-1106.861897121528</v>
      </c>
      <c r="F47">
        <f>-590.884259232436 -209.577684096497 -398.447512838606</f>
        <v>-1198.909456167539</v>
      </c>
      <c r="G47">
        <f>-585.813005186316 -210.061801684484 -487.398523782738</f>
        <v>-1283.2733306535381</v>
      </c>
      <c r="H47">
        <f>-573.260839648052 -208.326965058219 -611.335109372738</f>
        <v>-1392.9229140790089</v>
      </c>
      <c r="I47">
        <f>-536.865886402949 -198.627578936503 -685.40493591483</f>
        <v>-1420.8984012542819</v>
      </c>
      <c r="J47">
        <f>-586.60590940047 -182.511536622916 -557.216976729615</f>
        <v>-1326.334422753001</v>
      </c>
      <c r="K47">
        <f>-630.758046200072 -53.2932458693947 -541.277982631048</f>
        <v>-1225.3292747005148</v>
      </c>
      <c r="L47">
        <f>-721.927401783102 -41.4195702648965 -261.74556871214</f>
        <v>-1025.0925407601385</v>
      </c>
      <c r="M47">
        <f>-483.199722138502 -9.24646236306535 -256.754078494355</f>
        <v>-749.20026299592234</v>
      </c>
      <c r="N47">
        <f>-570.963092281598 -235.669401637299 -556.376682515927</f>
        <v>-1363.009176434824</v>
      </c>
      <c r="O47">
        <f>-544.639529904213 -367.536779800468 -527.823398482478</f>
        <v>-1439.9997081871588</v>
      </c>
      <c r="P47">
        <f>-595.785102532244 -430.930808347497 -245.057658746876</f>
        <v>-1271.773569626617</v>
      </c>
      <c r="Q47">
        <f>-431.526289659777 -264.323340970136 -302.606568356451</f>
        <v>-998.45619898636403</v>
      </c>
      <c r="R47">
        <f>-606.584887844585 -95.361534414596 -103.301703482928</f>
        <v>-805.24812574210898</v>
      </c>
      <c r="S47" t="s">
        <v>376</v>
      </c>
      <c r="T47" t="s">
        <v>377</v>
      </c>
      <c r="U47" t="s">
        <v>378</v>
      </c>
      <c r="V47">
        <f>-521.43222257995 -276.252360102401 -94.9475836515406</f>
        <v>-892.63216633389163</v>
      </c>
      <c r="W47" t="s">
        <v>379</v>
      </c>
      <c r="X47" t="s">
        <v>380</v>
      </c>
      <c r="Y47" t="s">
        <v>381</v>
      </c>
    </row>
    <row r="48" spans="1:25" x14ac:dyDescent="0.3">
      <c r="A48">
        <v>2350</v>
      </c>
      <c r="B48" t="s">
        <v>382</v>
      </c>
      <c r="C48">
        <f>-562.944915236448 -185.460510242227 -98.2614225264736</f>
        <v>-846.66684800514849</v>
      </c>
      <c r="D48">
        <f>-584.679357732213 -200.590631026673 -211.021881082821</f>
        <v>-996.29186984170701</v>
      </c>
      <c r="E48">
        <f>-590.294922647415 -206.557434206933 -309.304627988713</f>
        <v>-1106.1569848430611</v>
      </c>
      <c r="F48">
        <f>-590.57725346419 -209.539685021338 -398.351159878129</f>
        <v>-1198.468098363657</v>
      </c>
      <c r="G48">
        <f>-585.672724470946 -210.111987365515 -487.310931069811</f>
        <v>-1283.0956429062721</v>
      </c>
      <c r="H48">
        <f>-573.337143876224 -208.504428022954 -611.270930068863</f>
        <v>-1393.112501968041</v>
      </c>
      <c r="I48">
        <f>-537.051276076705 -198.988073140219 -685.41812569101</f>
        <v>-1421.4574749079338</v>
      </c>
      <c r="J48">
        <f>-586.496893980514 -182.606682548564 -557.146620755235</f>
        <v>-1326.2501972843129</v>
      </c>
      <c r="K48">
        <f>-630.171817855854 -53.2334208432744 -541.232605545255</f>
        <v>-1224.6378442443834</v>
      </c>
      <c r="L48">
        <f>-721.163125649455 -41.2590457224169 -261.646436782753</f>
        <v>-1024.0686081546248</v>
      </c>
      <c r="M48">
        <f>-482.384960176343 -9.58316249679183 -255.942763736491</f>
        <v>-747.91088640962585</v>
      </c>
      <c r="N48">
        <f>-571.033803261217 -235.816949728354 -556.297911934917</f>
        <v>-1363.148664924488</v>
      </c>
      <c r="O48">
        <f>-545.022453817147 -367.745798372481 -527.720121842636</f>
        <v>-1440.4883740322639</v>
      </c>
      <c r="P48">
        <f>-595.927175718951 -431.038768455686 -244.888168777398</f>
        <v>-1271.8541129520352</v>
      </c>
      <c r="Q48">
        <f>-431.404734614804 -264.694185978623 -302.444271132268</f>
        <v>-998.54319172569501</v>
      </c>
      <c r="R48">
        <f>-605.060189290345 -95.3522547791354 -103.30737284352</f>
        <v>-803.71981691300039</v>
      </c>
      <c r="S48" t="s">
        <v>383</v>
      </c>
      <c r="T48" t="s">
        <v>384</v>
      </c>
      <c r="U48" t="s">
        <v>385</v>
      </c>
      <c r="V48">
        <f>-520.942464833983 -275.728157247461 -94.9299043885205</f>
        <v>-891.60052646996451</v>
      </c>
      <c r="W48" t="s">
        <v>386</v>
      </c>
      <c r="X48" t="s">
        <v>387</v>
      </c>
      <c r="Y48" t="s">
        <v>388</v>
      </c>
    </row>
    <row r="49" spans="1:25" x14ac:dyDescent="0.3">
      <c r="A49">
        <v>2400</v>
      </c>
      <c r="B49" t="s">
        <v>389</v>
      </c>
      <c r="C49">
        <f>-560.906001762271 -184.768178980669 -98.1206621512196</f>
        <v>-843.79484289415961</v>
      </c>
      <c r="D49">
        <f>-583.083145994822 -199.812338042646 -210.806354094175</f>
        <v>-993.70183813164294</v>
      </c>
      <c r="E49">
        <f>-589.092335453556 -205.788515289569 -309.065343448165</f>
        <v>-1103.94619419129</v>
      </c>
      <c r="F49">
        <f>-589.740991123213 -208.800889686644 -398.108847235473</f>
        <v>-1196.65072804533</v>
      </c>
      <c r="G49">
        <f>-585.214325217863 -209.422673004774 -487.088295557547</f>
        <v>-1281.7252937801841</v>
      </c>
      <c r="H49">
        <f>-573.41928222104 -207.899889456593 -611.101989956585</f>
        <v>-1392.4211616342182</v>
      </c>
      <c r="I49">
        <f>-537.371696667175 -198.617843570876 -685.394952362506</f>
        <v>-1421.384492600557</v>
      </c>
      <c r="J49">
        <f>-586.200731482604 -181.923914961243 -556.924632068721</f>
        <v>-1325.049278512568</v>
      </c>
      <c r="K49">
        <f>-629.154510043078 -52.3121555943665 -541.012558602468</f>
        <v>-1222.4792242399124</v>
      </c>
      <c r="L49">
        <f>-719.769413336519 -40.3318125333556 -261.304433494125</f>
        <v>-1021.4056593639996</v>
      </c>
      <c r="M49">
        <f>-480.955136703737 -9.2363908435168 -254.114835862146</f>
        <v>-744.30636340939986</v>
      </c>
      <c r="N49">
        <f>-571.018536191447 -235.215982796975 -556.134976203345</f>
        <v>-1362.3694951917669</v>
      </c>
      <c r="O49">
        <f>-545.60650736639 -367.263531961277 -527.564869360018</f>
        <v>-1440.434908687685</v>
      </c>
      <c r="P49">
        <f>-595.901387513053 -430.703518626421 -244.656679367391</f>
        <v>-1271.261585506865</v>
      </c>
      <c r="Q49">
        <f>-431.495605509081 -264.186477964404 -302.047237797362</f>
        <v>-997.72932127084687</v>
      </c>
      <c r="R49">
        <f>-601.966004279428 -94.8442169218758 -103.297404187148</f>
        <v>-800.10762538845188</v>
      </c>
      <c r="S49" t="s">
        <v>390</v>
      </c>
      <c r="T49" t="s">
        <v>391</v>
      </c>
      <c r="U49" t="s">
        <v>392</v>
      </c>
      <c r="V49">
        <f>-520.023046021472 -274.773440089515 -94.8574142406087</f>
        <v>-889.65390035159578</v>
      </c>
      <c r="W49" t="s">
        <v>393</v>
      </c>
      <c r="X49" t="s">
        <v>394</v>
      </c>
      <c r="Y49" t="s">
        <v>395</v>
      </c>
    </row>
    <row r="50" spans="1:25" x14ac:dyDescent="0.3">
      <c r="A50">
        <v>2450</v>
      </c>
      <c r="B50" t="s">
        <v>396</v>
      </c>
      <c r="C50">
        <f>-560.067648812146 -184.413542002764 -98.0512776050181</f>
        <v>-842.53246841992802</v>
      </c>
      <c r="D50">
        <f>-582.427994719912 -199.37794930773 -210.71131651249</f>
        <v>-992.51726054013193</v>
      </c>
      <c r="E50">
        <f>-588.597316370629 -205.328234708057 -308.962043636466</f>
        <v>-1102.8875947151519</v>
      </c>
      <c r="F50">
        <f>-589.394802602927 -208.329194312612 -398.00477973457</f>
        <v>-1195.728776650109</v>
      </c>
      <c r="G50">
        <f>-585.021046628358 -208.950436548415 -486.991971597546</f>
        <v>-1280.963454774319</v>
      </c>
      <c r="H50">
        <f>-573.445301139964 -207.436023363274 -611.026389250059</f>
        <v>-1391.907713753297</v>
      </c>
      <c r="I50">
        <f>-537.495535935188 -198.23005255722 -685.37614443862</f>
        <v>-1421.101732931028</v>
      </c>
      <c r="J50">
        <f>-586.073108835895 -181.440011081825 -556.822511138903</f>
        <v>-1324.335631056623</v>
      </c>
      <c r="K50">
        <f>-628.676591475545 -51.7063588017813 -540.858087374759</f>
        <v>-1221.2410376520852</v>
      </c>
      <c r="L50">
        <f>-719.034545367505 -39.67422092332 -261.069302359134</f>
        <v>-1019.778068649959</v>
      </c>
      <c r="M50">
        <f>-480.259482418496 -8.48651042788515 -253.027640806615</f>
        <v>-741.77363365299618</v>
      </c>
      <c r="N50">
        <f>-571.005352201484 -234.76487058175 -556.06739831941</f>
        <v>-1361.8376211026439</v>
      </c>
      <c r="O50">
        <f>-545.811581613725 -366.846232664939 -527.519995739675</f>
        <v>-1440.1778100183392</v>
      </c>
      <c r="P50">
        <f>-595.84965227404 -430.255761971694 -244.559576990994</f>
        <v>-1270.6649912367279</v>
      </c>
      <c r="Q50">
        <f>-431.63759491009 -263.501521957178 -301.815734935742</f>
        <v>-996.95485180301011</v>
      </c>
      <c r="R50">
        <f>-600.807148631169 -94.4089191640121 -103.265074324098</f>
        <v>-798.48114211927907</v>
      </c>
      <c r="S50" t="s">
        <v>397</v>
      </c>
      <c r="T50" t="s">
        <v>398</v>
      </c>
      <c r="U50" t="s">
        <v>399</v>
      </c>
      <c r="V50">
        <f>-519.577476213678 -274.51738666903 -94.8265743039728</f>
        <v>-888.92143718668081</v>
      </c>
      <c r="W50" t="s">
        <v>400</v>
      </c>
      <c r="X50" t="s">
        <v>401</v>
      </c>
      <c r="Y50" t="s">
        <v>402</v>
      </c>
    </row>
    <row r="51" spans="1:25" x14ac:dyDescent="0.3">
      <c r="A51">
        <v>2500</v>
      </c>
      <c r="B51" t="s">
        <v>403</v>
      </c>
      <c r="C51">
        <f>-558.759394428118 -183.596114693431 -98.0021572625204</f>
        <v>-840.35766638406938</v>
      </c>
      <c r="D51">
        <f>-581.392900279096 -198.514424151328 -210.613884486055</f>
        <v>-990.52120891647905</v>
      </c>
      <c r="E51">
        <f>-587.871681039629 -204.441443369987 -308.845935820303</f>
        <v>-1101.1590602299191</v>
      </c>
      <c r="F51">
        <f>-588.979979395303 -207.422515876409 -397.885994273128</f>
        <v>-1194.2884895448399</v>
      </c>
      <c r="G51">
        <f>-584.947512036022 -208.025388026926 -486.889444243066</f>
        <v>-1279.8623443060139</v>
      </c>
      <c r="H51">
        <f>-573.879689279781 -206.484792522325 -610.969798462142</f>
        <v>-1391.3342802642478</v>
      </c>
      <c r="I51">
        <f>-538.120414555868 -197.395816702587 -685.425869073885</f>
        <v>-1420.94210033234</v>
      </c>
      <c r="J51">
        <f>-586.1811510121 -180.47074783618 -556.699690138346</f>
        <v>-1323.3515889866262</v>
      </c>
      <c r="K51">
        <f>-628.118931312672 -50.5502544262979 -540.566988108682</f>
        <v>-1219.236173847652</v>
      </c>
      <c r="L51">
        <f>-717.79992052767 -38.2934924256083 -260.570065677201</f>
        <v>-1016.6634786304793</v>
      </c>
      <c r="M51">
        <f>-479.103942860512 -6.86680179730706 -251.216683269826</f>
        <v>-737.1874279276451</v>
      </c>
      <c r="N51">
        <f>-571.319052927005 -233.854840232983 -556.036744549626</f>
        <v>-1361.2106377096138</v>
      </c>
      <c r="O51">
        <f>-546.510322454565 -366.033304343505 -527.570040354375</f>
        <v>-1440.113667152445</v>
      </c>
      <c r="P51">
        <f>-595.88804574302 -429.356400361889 -244.474259764626</f>
        <v>-1269.7187058695349</v>
      </c>
      <c r="Q51">
        <f>-432.152614691755 -261.949958438656 -301.190377256393</f>
        <v>-995.29295038680402</v>
      </c>
      <c r="R51">
        <f>-599.21516078395 -93.4547156521985 -103.252482852008</f>
        <v>-795.92235928815649</v>
      </c>
      <c r="S51" t="s">
        <v>404</v>
      </c>
      <c r="T51" t="s">
        <v>405</v>
      </c>
      <c r="U51" t="s">
        <v>406</v>
      </c>
      <c r="V51">
        <f>-518.561873100837 -273.856663239047 -94.8361613931095</f>
        <v>-887.25469773299346</v>
      </c>
      <c r="W51" t="s">
        <v>407</v>
      </c>
      <c r="X51" t="s">
        <v>408</v>
      </c>
      <c r="Y51" t="s">
        <v>409</v>
      </c>
    </row>
    <row r="52" spans="1:25" x14ac:dyDescent="0.3">
      <c r="A52">
        <v>2550</v>
      </c>
      <c r="B52" t="s">
        <v>410</v>
      </c>
      <c r="C52">
        <f>-558.144794594373 -183.186460229892 -98.0201935465174</f>
        <v>-839.35144837078235</v>
      </c>
      <c r="D52">
        <f>-580.878410825443 -198.093206948087 -210.613187929955</f>
        <v>-989.5848057034849</v>
      </c>
      <c r="E52">
        <f>-587.493730552863 -204.006159766664 -308.837146211252</f>
        <v>-1100.337036530779</v>
      </c>
      <c r="F52">
        <f>-588.745870628823 -206.97163529824 -397.875735944422</f>
        <v>-1193.5932418714851</v>
      </c>
      <c r="G52">
        <f>-584.876949535084 -207.555461796024 -486.886642989273</f>
        <v>-1279.3190543203809</v>
      </c>
      <c r="H52">
        <f>-574.058022371918 -205.984327428054 -610.988613540702</f>
        <v>-1391.0309633406741</v>
      </c>
      <c r="I52">
        <f>-538.390678937804 -196.917737837961 -685.491508347779</f>
        <v>-1420.799925123544</v>
      </c>
      <c r="J52">
        <f>-586.212424336307 -179.972925109984 -556.683992648295</f>
        <v>-1322.869342094586</v>
      </c>
      <c r="K52">
        <f>-627.876086160673 -49.9827630530438 -540.432446828993</f>
        <v>-1218.2912960427097</v>
      </c>
      <c r="L52">
        <f>-717.176631138701 -37.5983630741521 -260.319489610854</f>
        <v>-1015.0944838237072</v>
      </c>
      <c r="M52">
        <f>-478.532223651533 -5.94784339273861 -250.423253050655</f>
        <v>-734.90332009492658</v>
      </c>
      <c r="N52">
        <f>-571.425311151166 -233.378368925304 -556.07093228899</f>
        <v>-1360.8746123654601</v>
      </c>
      <c r="O52">
        <f>-546.751632258883 -365.598004973039 -527.66142725569</f>
        <v>-1440.011064487612</v>
      </c>
      <c r="P52">
        <f>-595.754495320915 -428.981685118064 -244.514098560317</f>
        <v>-1269.2502789992959</v>
      </c>
      <c r="Q52">
        <f>-432.361262187958 -261.113660671824 -300.851009825859</f>
        <v>-994.32593268564108</v>
      </c>
      <c r="R52">
        <f>-598.463081792262 -93.0101258823174 -103.274098766874</f>
        <v>-794.74730644145336</v>
      </c>
      <c r="S52" t="s">
        <v>411</v>
      </c>
      <c r="T52" t="s">
        <v>412</v>
      </c>
      <c r="U52" t="s">
        <v>413</v>
      </c>
      <c r="V52">
        <f>-518.06818667255 -273.5138259071 -94.8647137845944</f>
        <v>-886.44672636424445</v>
      </c>
      <c r="W52" t="s">
        <v>414</v>
      </c>
      <c r="X52" t="s">
        <v>415</v>
      </c>
      <c r="Y52" t="s">
        <v>416</v>
      </c>
    </row>
    <row r="53" spans="1:25" x14ac:dyDescent="0.3">
      <c r="A53">
        <v>2600</v>
      </c>
      <c r="B53" t="s">
        <v>417</v>
      </c>
      <c r="C53">
        <f>-556.90659567999 -182.774363198784 -98.0805449011784</f>
        <v>-837.76150377995236</v>
      </c>
      <c r="D53">
        <f>-579.788947330439 -197.614762890525 -210.652306600127</f>
        <v>-988.05601682109091</v>
      </c>
      <c r="E53">
        <f>-586.629911180493 -203.490927385804 -308.862924980184</f>
        <v>-1098.983763546481</v>
      </c>
      <c r="F53">
        <f>-588.126413332914 -206.427723387414 -397.89868565464</f>
        <v>-1192.452822374968</v>
      </c>
      <c r="G53">
        <f>-584.541672740043 -206.987017518698 -486.921643320187</f>
        <v>-1278.4503335789282</v>
      </c>
      <c r="H53">
        <f>-574.161072576664 -205.384170681723 -611.060632259842</f>
        <v>-1390.6058755182289</v>
      </c>
      <c r="I53">
        <f>-538.637253962584 -196.303673342007 -685.630205269521</f>
        <v>-1420.571132574112</v>
      </c>
      <c r="J53">
        <f>-586.075255905243 -179.373192323245 -556.702449004814</f>
        <v>-1322.150897233302</v>
      </c>
      <c r="K53">
        <f>-627.372265748342 -49.2837448433247 -540.243891162981</f>
        <v>-1216.8999017546475</v>
      </c>
      <c r="L53">
        <f>-715.87529543425 -36.8052351364427 -259.882036765665</f>
        <v>-1012.5625673363577</v>
      </c>
      <c r="M53">
        <f>-477.27454868873 -5.00145811465109 -249.436490189282</f>
        <v>-731.71249699266309</v>
      </c>
      <c r="N53">
        <f>-571.382904794015 -232.805560127212 -556.163860453753</f>
        <v>-1360.35232537498</v>
      </c>
      <c r="O53">
        <f>-546.814797416633 -365.084046624317 -527.956204703883</f>
        <v>-1439.8550487448331</v>
      </c>
      <c r="P53">
        <f>-595.372332066755 -428.580313215571 -244.757421114212</f>
        <v>-1268.710066396538</v>
      </c>
      <c r="Q53">
        <f>-432.300032381482 -260.228779186459 -300.578584127482</f>
        <v>-993.10739569542307</v>
      </c>
      <c r="R53">
        <f>-596.775056998768 -92.6046358256722 -103.27120001474</f>
        <v>-792.65089283918019</v>
      </c>
      <c r="S53" t="s">
        <v>418</v>
      </c>
      <c r="T53" t="s">
        <v>419</v>
      </c>
      <c r="U53" t="s">
        <v>420</v>
      </c>
      <c r="V53">
        <f>-517.223515495009 -273.120328705789 -94.9148922197446</f>
        <v>-885.25873642054262</v>
      </c>
      <c r="W53" t="s">
        <v>421</v>
      </c>
      <c r="X53" t="s">
        <v>422</v>
      </c>
      <c r="Y53" t="s">
        <v>423</v>
      </c>
    </row>
    <row r="54" spans="1:25" x14ac:dyDescent="0.3">
      <c r="A54">
        <v>2650</v>
      </c>
      <c r="B54" t="s">
        <v>424</v>
      </c>
      <c r="C54">
        <f>-556.23593855077 -182.59757566079 -98.0874632104562</f>
        <v>-836.92097742201622</v>
      </c>
      <c r="D54">
        <f>-579.169588052085 -197.408458203089 -210.652593771323</f>
        <v>-987.2306400264971</v>
      </c>
      <c r="E54">
        <f>-586.109635582158 -203.2623609972 -308.857605393676</f>
        <v>-1098.2296019730341</v>
      </c>
      <c r="F54">
        <f>-587.718405610296 -206.178393406883 -397.892149296146</f>
        <v>-1191.7889483133251</v>
      </c>
      <c r="G54">
        <f>-584.268499544773 -206.715822026687 -486.92045942477</f>
        <v>-1277.9047809962299</v>
      </c>
      <c r="H54">
        <f>-574.099509022201 -205.080536721127 -611.076671419485</f>
        <v>-1390.2567171628129</v>
      </c>
      <c r="I54">
        <f>-538.623922969735 -195.969584846026 -685.665340236346</f>
        <v>-1420.2588480521069</v>
      </c>
      <c r="J54">
        <f>-585.900580626785 -179.078278320465 -556.68972750686</f>
        <v>-1321.66858645411</v>
      </c>
      <c r="K54">
        <f>-627.082853040518 -48.9682956912573 -540.137813075291</f>
        <v>-1216.1889618070663</v>
      </c>
      <c r="L54">
        <f>-715.369412943611 -36.5544718550054 -259.704969413944</f>
        <v>-1011.6288542125604</v>
      </c>
      <c r="M54">
        <f>-476.75732095352 -4.86029557577285 -249.187866955443</f>
        <v>-730.80548348473587</v>
      </c>
      <c r="N54">
        <f>-571.24820093006 -232.522048657792 -556.193449111688</f>
        <v>-1359.9636986995399</v>
      </c>
      <c r="O54">
        <f>-546.718813679201 -364.830156457558 -528.091481045419</f>
        <v>-1439.6404511821779</v>
      </c>
      <c r="P54">
        <f>-594.943302860935 -428.491449219085 -244.872815476465</f>
        <v>-1268.3075675564851</v>
      </c>
      <c r="Q54">
        <f>-431.884944660699 -260.077794760242 -300.547901721077</f>
        <v>-992.51064114201802</v>
      </c>
      <c r="R54">
        <f>-595.920942723491 -92.4725082039899 -103.250449611559</f>
        <v>-791.64390053903992</v>
      </c>
      <c r="S54" t="s">
        <v>425</v>
      </c>
      <c r="T54" t="s">
        <v>426</v>
      </c>
      <c r="U54" t="s">
        <v>427</v>
      </c>
      <c r="V54">
        <f>-516.74262708315 -272.842858211961 -94.921791592035</f>
        <v>-884.50727688714596</v>
      </c>
      <c r="W54" t="s">
        <v>428</v>
      </c>
      <c r="X54" t="s">
        <v>429</v>
      </c>
      <c r="Y54" t="s">
        <v>430</v>
      </c>
    </row>
    <row r="55" spans="1:25" x14ac:dyDescent="0.3">
      <c r="A55">
        <v>2700</v>
      </c>
      <c r="B55" t="s">
        <v>431</v>
      </c>
      <c r="C55">
        <f>-555.003264334231 -182.243935934159 -98.0371477623237</f>
        <v>-835.28434803071366</v>
      </c>
      <c r="D55">
        <f>-578.013721535179 -196.981272013001 -210.596258294508</f>
        <v>-985.59125184268805</v>
      </c>
      <c r="E55">
        <f>-585.103041903623 -202.759620943604 -308.79508822364</f>
        <v>-1096.6577510708669</v>
      </c>
      <c r="F55">
        <f>-586.881096324132 -205.599590442722 -397.828872664484</f>
        <v>-1190.3095594313379</v>
      </c>
      <c r="G55">
        <f>-583.634258607618 -206.0522883131 -486.865351111218</f>
        <v>-1276.5518980319359</v>
      </c>
      <c r="H55">
        <f>-573.783943707771 -204.288201109925 -611.045339229388</f>
        <v>-1389.117484047084</v>
      </c>
      <c r="I55">
        <f>-538.380949612864 -195.073734267952 -685.655991140631</f>
        <v>-1419.1106750214472</v>
      </c>
      <c r="J55">
        <f>-585.417792757394 -178.334962627179 -556.599141056966</f>
        <v>-1320.3518964415389</v>
      </c>
      <c r="K55">
        <f>-626.446130598507 -48.2016093779866 -539.851943640664</f>
        <v>-1214.4996836171576</v>
      </c>
      <c r="L55">
        <f>-714.488388999607 -36.0668477048939 -259.330165536416</f>
        <v>-1009.8854022409168</v>
      </c>
      <c r="M55">
        <f>-475.754036747145 -5.22288640527881 -249.060613015355</f>
        <v>-730.03753616777885</v>
      </c>
      <c r="N55">
        <f>-570.819367327297 -231.794081574492 -556.200546860518</f>
        <v>-1358.8139957623071</v>
      </c>
      <c r="O55">
        <f>-546.391240984925 -364.170754470118 -528.333941363707</f>
        <v>-1438.8959368187502</v>
      </c>
      <c r="P55">
        <f>-594.172125212211 -428.07751971937 -245.095216086217</f>
        <v>-1267.3448610177979</v>
      </c>
      <c r="Q55">
        <f>-431.074368304561 -259.708561925584 -300.789770317086</f>
        <v>-991.57270054723097</v>
      </c>
      <c r="R55">
        <f>-594.496147897537 -92.2107986584635 -103.181510876263</f>
        <v>-789.88845743226352</v>
      </c>
      <c r="S55" t="s">
        <v>432</v>
      </c>
      <c r="T55" t="s">
        <v>433</v>
      </c>
      <c r="U55" t="s">
        <v>434</v>
      </c>
      <c r="V55">
        <f>-515.768643021448 -272.442608274984 -94.9197780596758</f>
        <v>-883.13102935610777</v>
      </c>
      <c r="W55" t="s">
        <v>435</v>
      </c>
      <c r="X55" t="s">
        <v>436</v>
      </c>
      <c r="Y55" t="s">
        <v>437</v>
      </c>
    </row>
    <row r="56" spans="1:25" x14ac:dyDescent="0.3">
      <c r="A56">
        <v>2750</v>
      </c>
      <c r="B56" t="s">
        <v>438</v>
      </c>
      <c r="C56">
        <f>-554.475248892682 -182.175104484464 -98.0017469218849</f>
        <v>-834.65210029903085</v>
      </c>
      <c r="D56">
        <f>-577.520084998938 -196.875664836673 -210.558660138549</f>
        <v>-984.95440997415994</v>
      </c>
      <c r="E56">
        <f>-584.652910340014 -202.609861957481 -308.756925558012</f>
        <v>-1096.019697855507</v>
      </c>
      <c r="F56">
        <f>-586.475830524795 -205.404223247754 -397.791233124098</f>
        <v>-1189.671286896647</v>
      </c>
      <c r="G56">
        <f>-583.279312909637 -205.805285117912 -486.829779614766</f>
        <v>-1275.914377642315</v>
      </c>
      <c r="H56">
        <f>-573.505146282678 -203.962499133813 -611.014648467686</f>
        <v>-1388.4822938841771</v>
      </c>
      <c r="I56">
        <f>-538.129900149066 -194.690429645015 -685.631357337387</f>
        <v>-1418.4516871314681</v>
      </c>
      <c r="J56">
        <f>-585.094748048194 -178.04076242402 -556.544058058547</f>
        <v>-1319.6795685307611</v>
      </c>
      <c r="K56">
        <f>-626.052280963009 -47.9001736067285 -539.691747595924</f>
        <v>-1213.6442021656615</v>
      </c>
      <c r="L56">
        <f>-714.03445887984 -35.9540508020038 -259.142783167629</f>
        <v>-1009.1312928494729</v>
      </c>
      <c r="M56">
        <f>-475.211160751007 -5.69506399941224 -249.209296971462</f>
        <v>-730.11552172188124</v>
      </c>
      <c r="N56">
        <f>-570.517806359714 -231.506208013376 -556.190010110734</f>
        <v>-1358.214024483824</v>
      </c>
      <c r="O56">
        <f>-546.126438010746 -363.913249586419 -528.426821172234</f>
        <v>-1438.4665087693991</v>
      </c>
      <c r="P56">
        <f>-593.812731316019 -428.015015027298 -245.216208591592</f>
        <v>-1267.0439549349089</v>
      </c>
      <c r="Q56">
        <f>-430.753920738962 -259.610799791465 -300.917837884918</f>
        <v>-991.28255841534497</v>
      </c>
      <c r="R56">
        <f>-593.876028103523 -92.0840550835228 -103.140601116844</f>
        <v>-789.10068430388981</v>
      </c>
      <c r="S56" t="s">
        <v>439</v>
      </c>
      <c r="T56" t="s">
        <v>440</v>
      </c>
      <c r="U56" t="s">
        <v>441</v>
      </c>
      <c r="V56">
        <f>-515.334679309322 -272.426013870708 -94.9222124592197</f>
        <v>-882.68290563924984</v>
      </c>
      <c r="W56" t="s">
        <v>442</v>
      </c>
      <c r="X56" t="s">
        <v>443</v>
      </c>
      <c r="Y56" t="s">
        <v>444</v>
      </c>
    </row>
    <row r="57" spans="1:25" x14ac:dyDescent="0.3">
      <c r="A57">
        <v>2800</v>
      </c>
      <c r="B57" t="s">
        <v>445</v>
      </c>
      <c r="C57">
        <f>-553.48711598428 -182.116353713446 -97.9684933451759</f>
        <v>-833.57196304290187</v>
      </c>
      <c r="D57">
        <f>-576.574167592726 -196.743844014506 -210.526265063922</f>
        <v>-983.84427667115392</v>
      </c>
      <c r="E57">
        <f>-583.732726332523 -202.374560856437 -308.728601099756</f>
        <v>-1094.835888288716</v>
      </c>
      <c r="F57">
        <f>-585.574151322182 -205.058652183233 -397.76593144448</f>
        <v>-1188.398734949895</v>
      </c>
      <c r="G57">
        <f>-582.390647314079 -205.333490840157 -486.805394058386</f>
        <v>-1274.5295322126221</v>
      </c>
      <c r="H57">
        <f>-572.628563997211 -203.298096929601 -610.988311435881</f>
        <v>-1386.9149723626929</v>
      </c>
      <c r="I57">
        <f>-537.240478779931 -193.873564576019 -685.57974523065</f>
        <v>-1416.6937885866</v>
      </c>
      <c r="J57">
        <f>-584.183373085139 -177.452882773097 -556.473816554517</f>
        <v>-1318.1100724127532</v>
      </c>
      <c r="K57">
        <f>-624.956800179622 -47.2865198149398 -539.385427903096</f>
        <v>-1211.6287478976578</v>
      </c>
      <c r="L57">
        <f>-712.786158281475 -35.8089617648373 -258.769151917817</f>
        <v>-1007.3642719641292</v>
      </c>
      <c r="M57">
        <f>-473.789547543039 -6.64558951677554 -249.767499640211</f>
        <v>-730.20263670002555</v>
      </c>
      <c r="N57">
        <f>-569.665385519991 -230.934784831885 -556.209187096253</f>
        <v>-1356.809357448129</v>
      </c>
      <c r="O57">
        <f>-545.378820141668 -363.405626614202 -528.646531649874</f>
        <v>-1437.4309784057441</v>
      </c>
      <c r="P57">
        <f>-593.010952646708 -427.663423995849 -245.462226345622</f>
        <v>-1266.136602988179</v>
      </c>
      <c r="Q57">
        <f>-429.962181096746 -259.256341542932 -301.185200910679</f>
        <v>-990.40372355035697</v>
      </c>
      <c r="R57">
        <f>-592.660510523035 -92.1018836160758 -103.071393135915</f>
        <v>-787.83378727502577</v>
      </c>
      <c r="S57" t="s">
        <v>446</v>
      </c>
      <c r="T57" t="s">
        <v>447</v>
      </c>
      <c r="U57" t="s">
        <v>448</v>
      </c>
      <c r="V57">
        <f>-514.580128476166 -272.298579921023 -94.9398987982926</f>
        <v>-881.8186071954816</v>
      </c>
      <c r="W57" t="s">
        <v>449</v>
      </c>
      <c r="X57" t="s">
        <v>450</v>
      </c>
      <c r="Y57" t="s">
        <v>451</v>
      </c>
    </row>
    <row r="58" spans="1:25" x14ac:dyDescent="0.3">
      <c r="A58">
        <v>2850</v>
      </c>
      <c r="B58" t="s">
        <v>452</v>
      </c>
      <c r="C58">
        <f>-553.070509871802 -182.117550001078 -97.9584629787427</f>
        <v>-833.14652285162265</v>
      </c>
      <c r="D58">
        <f>-576.155914236401 -196.688836764413 -210.523773366596</f>
        <v>-983.36852436741015</v>
      </c>
      <c r="E58">
        <f>-583.288558404649 -202.244765638473 -308.732383914747</f>
        <v>-1094.2657079578692</v>
      </c>
      <c r="F58">
        <f>-585.096255370675 -204.850711394407 -397.772678324908</f>
        <v>-1187.7196450899899</v>
      </c>
      <c r="G58">
        <f>-581.868954385086 -205.036637221759 -486.81083244465</f>
        <v>-1273.7164240514951</v>
      </c>
      <c r="H58">
        <f>-572.035140978266 -202.866593159873 -610.985736885694</f>
        <v>-1385.8874710238329</v>
      </c>
      <c r="I58">
        <f>-536.584502168546 -193.309712802081 -685.530782553515</f>
        <v>-1415.4249975241419</v>
      </c>
      <c r="J58">
        <f>-583.609485684133 -177.077094137791 -556.449039360803</f>
        <v>-1317.1356191827269</v>
      </c>
      <c r="K58">
        <f>-624.258902640899 -46.8864513556125 -539.258057235284</f>
        <v>-1210.4034112317954</v>
      </c>
      <c r="L58">
        <f>-711.93282568951 -35.6366949582937 -258.583981888126</f>
        <v>-1006.1535025359296</v>
      </c>
      <c r="M58">
        <f>-472.873040414956 -6.85346696641409 -250.051030358256</f>
        <v>-729.77753773962604</v>
      </c>
      <c r="N58">
        <f>-569.115596327865 -230.565868783213 -556.235937974711</f>
        <v>-1355.9174030857889</v>
      </c>
      <c r="O58">
        <f>-544.916612123158 -363.073769206828 -528.759609418222</f>
        <v>-1436.7499907482079</v>
      </c>
      <c r="P58">
        <f>-592.566472965611 -427.485796251168 -245.613316417666</f>
        <v>-1265.6655856344451</v>
      </c>
      <c r="Q58">
        <f>-429.529633123029 -259.06766852846 -301.33748769144</f>
        <v>-989.93478934292898</v>
      </c>
      <c r="R58">
        <f>-592.142301320648 -92.1531052172666 -103.023677475521</f>
        <v>-787.3190840134356</v>
      </c>
      <c r="S58" t="s">
        <v>453</v>
      </c>
      <c r="T58" t="s">
        <v>454</v>
      </c>
      <c r="U58" t="s">
        <v>455</v>
      </c>
      <c r="V58">
        <f>-514.258688098626 -272.245139379983 -94.9462651750905</f>
        <v>-881.45009265369947</v>
      </c>
      <c r="W58" t="s">
        <v>456</v>
      </c>
      <c r="X58" t="s">
        <v>457</v>
      </c>
      <c r="Y58" t="s">
        <v>458</v>
      </c>
    </row>
    <row r="59" spans="1:25" x14ac:dyDescent="0.3">
      <c r="A59">
        <v>2900</v>
      </c>
      <c r="B59" t="s">
        <v>459</v>
      </c>
      <c r="C59">
        <f>-552.326730974778 -182.281446102032 -97.9125186677348</f>
        <v>-832.52069574454481</v>
      </c>
      <c r="D59">
        <f>-575.347408632729 -196.744383408206 -210.505094968628</f>
        <v>-982.59688700956292</v>
      </c>
      <c r="E59">
        <f>-582.37371135654 -202.172966535642 -308.728471916528</f>
        <v>-1093.27514980871</v>
      </c>
      <c r="F59">
        <f>-584.064998712622 -204.649510577385 -397.774771136888</f>
        <v>-1186.489280426895</v>
      </c>
      <c r="G59">
        <f>-580.700737906188 -204.693311299256 -486.807984994634</f>
        <v>-1272.2020342000781</v>
      </c>
      <c r="H59">
        <f>-570.654580487056 -202.311072216274 -610.962011773117</f>
        <v>-1383.927664476447</v>
      </c>
      <c r="I59">
        <f>-534.879679377499 -192.337722329636 -685.29714379484</f>
        <v>-1412.5145455019751</v>
      </c>
      <c r="J59">
        <f>-582.287107867114 -176.60529998341 -556.398145006609</f>
        <v>-1315.2905528571328</v>
      </c>
      <c r="K59">
        <f>-622.639467103235 -46.3447911001883 -538.998711408196</f>
        <v>-1207.9829696116194</v>
      </c>
      <c r="L59">
        <f>-709.673240382906 -35.0742751594348 -258.126119007459</f>
        <v>-1002.8736345497998</v>
      </c>
      <c r="M59">
        <f>-470.519502323179 -6.77991001998271 -250.65360134066</f>
        <v>-727.95301368382172</v>
      </c>
      <c r="N59">
        <f>-567.863697888262 -230.113324649425 -556.257741098224</f>
        <v>-1354.2347636359109</v>
      </c>
      <c r="O59">
        <f>-543.880936632095 -362.69327199147 -528.966122031938</f>
        <v>-1435.5403306555031</v>
      </c>
      <c r="P59">
        <f>-591.581188023969 -427.407948391877 -245.897550726042</f>
        <v>-1264.8866871418882</v>
      </c>
      <c r="Q59">
        <f>-428.450277471057 -259.092611448618 -301.656954800756</f>
        <v>-989.19984372043109</v>
      </c>
      <c r="R59">
        <f>-591.118554806905 -92.3714188629508 -102.930289594652</f>
        <v>-786.42026326450775</v>
      </c>
      <c r="S59" t="s">
        <v>460</v>
      </c>
      <c r="T59" t="s">
        <v>461</v>
      </c>
      <c r="U59" t="s">
        <v>462</v>
      </c>
      <c r="V59">
        <f>-513.769607268647 -272.37482539815 -94.9344087255471</f>
        <v>-881.07884139234409</v>
      </c>
      <c r="W59" t="s">
        <v>463</v>
      </c>
      <c r="X59" t="s">
        <v>464</v>
      </c>
      <c r="Y59" t="s">
        <v>465</v>
      </c>
    </row>
    <row r="60" spans="1:25" x14ac:dyDescent="0.3">
      <c r="A60">
        <v>2950</v>
      </c>
      <c r="B60" t="s">
        <v>466</v>
      </c>
      <c r="C60">
        <f>-551.916201645039 -182.288257141464 -97.8792910182417</f>
        <v>-832.08374980474468</v>
      </c>
      <c r="D60">
        <f>-574.89964590965 -196.691420192063 -210.487212227066</f>
        <v>-982.07827832877899</v>
      </c>
      <c r="E60">
        <f>-581.890840383568 -202.063788287808 -308.715998443892</f>
        <v>-1092.670627115268</v>
      </c>
      <c r="F60">
        <f>-583.549435152895 -204.487217930745 -397.764370120494</f>
        <v>-1185.801023204134</v>
      </c>
      <c r="G60">
        <f>-580.151346234466 -204.476210234857 -486.796438575999</f>
        <v>-1271.423995045322</v>
      </c>
      <c r="H60">
        <f>-570.056619549278 -202.016222674075 -610.945019091206</f>
        <v>-1383.017861314559</v>
      </c>
      <c r="I60">
        <f>-534.012013473354 -191.755701723132 -685.110503847465</f>
        <v>-1410.878219043951</v>
      </c>
      <c r="J60">
        <f>-581.680047359074 -176.336621197791 -556.367024929368</f>
        <v>-1314.3836934862329</v>
      </c>
      <c r="K60">
        <f>-621.859181792982 -46.0363089193211 -538.883590960347</f>
        <v>-1206.7790816726501</v>
      </c>
      <c r="L60">
        <f>-708.443878334638 -34.6731237076308 -257.876226227019</f>
        <v>-1000.9932282692878</v>
      </c>
      <c r="M60">
        <f>-469.263284303384 -6.479245265283 -250.903747529909</f>
        <v>-726.64627709857598</v>
      </c>
      <c r="N60">
        <f>-567.317819840797 -229.86114788255 -556.259757201831</f>
        <v>-1353.4387249251781</v>
      </c>
      <c r="O60">
        <f>-543.477673628532 -362.482192081909 -529.02788501084</f>
        <v>-1434.9877507212809</v>
      </c>
      <c r="P60">
        <f>-591.099535803078 -427.437136218002 -246.001027838288</f>
        <v>-1264.5376998593679</v>
      </c>
      <c r="Q60">
        <f>-427.861420167419 -259.238976876053 -301.79992660682</f>
        <v>-988.90032365029197</v>
      </c>
      <c r="R60">
        <f>-590.615719339032 -92.3828975268766 -102.890337820188</f>
        <v>-785.88895468609667</v>
      </c>
      <c r="S60" t="s">
        <v>467</v>
      </c>
      <c r="T60" t="s">
        <v>468</v>
      </c>
      <c r="U60" t="s">
        <v>469</v>
      </c>
      <c r="V60">
        <f>-513.447251681481 -272.349880790463 -94.9294816725979</f>
        <v>-880.72661414454194</v>
      </c>
      <c r="W60" t="s">
        <v>470</v>
      </c>
      <c r="X60" t="s">
        <v>471</v>
      </c>
      <c r="Y60" t="s">
        <v>472</v>
      </c>
    </row>
    <row r="61" spans="1:25" x14ac:dyDescent="0.3">
      <c r="A61">
        <v>3000</v>
      </c>
      <c r="B61" t="s">
        <v>473</v>
      </c>
      <c r="C61">
        <f>-551.036273175286 -182.310833344733 -97.8205999726665</f>
        <v>-831.16770649268551</v>
      </c>
      <c r="D61">
        <f>-573.995847380773 -196.615870196259 -210.445862661446</f>
        <v>-981.05758023847795</v>
      </c>
      <c r="E61">
        <f>-580.947712893562 -201.901823080439 -308.682164693933</f>
        <v>-1091.5317006679338</v>
      </c>
      <c r="F61">
        <f>-582.563583207888 -204.245555955489 -397.733486118256</f>
        <v>-1184.542625281633</v>
      </c>
      <c r="G61">
        <f>-579.115254721802 -204.154976132376 -486.763510085562</f>
        <v>-1270.03374093974</v>
      </c>
      <c r="H61">
        <f>-568.942707099024 -201.584006985078 -610.903468329426</f>
        <v>-1381.430182413528</v>
      </c>
      <c r="I61">
        <f>-532.25399319747 -190.767411664356 -684.673124415701</f>
        <v>-1407.694529277527</v>
      </c>
      <c r="J61">
        <f>-580.522823851923 -175.932429352593 -556.302966838081</f>
        <v>-1312.758220042597</v>
      </c>
      <c r="K61">
        <f>-620.366815821779 -45.5391890352187 -538.716218243631</f>
        <v>-1204.6222231006286</v>
      </c>
      <c r="L61">
        <f>-706.100790850594 -33.7268406243493 -257.466695511172</f>
        <v>-997.29432698611527</v>
      </c>
      <c r="M61">
        <f>-466.900442762553 -5.45933173968024 -251.548684329866</f>
        <v>-723.9084588320992</v>
      </c>
      <c r="N61">
        <f>-566.315524725482 -229.498330802378 -556.248166797691</f>
        <v>-1352.062022325551</v>
      </c>
      <c r="O61">
        <f>-542.866590926173 -362.199995647946 -529.100356372815</f>
        <v>-1434.1669429469339</v>
      </c>
      <c r="P61">
        <f>-590.410586196218 -427.470948368054 -246.133017248054</f>
        <v>-1264.0145518123259</v>
      </c>
      <c r="Q61">
        <f>-426.591279950415 -259.834473300888 -301.919818587667</f>
        <v>-988.34557183897005</v>
      </c>
      <c r="R61">
        <f>-589.453218801861 -92.3937486530151 -102.823540695023</f>
        <v>-784.67050814989909</v>
      </c>
      <c r="S61" t="s">
        <v>474</v>
      </c>
      <c r="T61" t="s">
        <v>475</v>
      </c>
      <c r="U61" t="s">
        <v>476</v>
      </c>
      <c r="V61">
        <f>-512.809411971688 -272.380157898759 -94.9187744165822</f>
        <v>-880.10834428702924</v>
      </c>
      <c r="W61" t="s">
        <v>477</v>
      </c>
      <c r="X61" t="s">
        <v>478</v>
      </c>
      <c r="Y61" t="s">
        <v>479</v>
      </c>
    </row>
    <row r="62" spans="1:25" x14ac:dyDescent="0.3">
      <c r="A62">
        <v>3050</v>
      </c>
      <c r="B62" t="s">
        <v>480</v>
      </c>
      <c r="C62">
        <f>-550.560586791888 -182.317352909376 -97.8194072999295</f>
        <v>-830.69734700119352</v>
      </c>
      <c r="D62">
        <f>-573.535800113806 -196.59113875243 -210.445436240494</f>
        <v>-980.57237510672996</v>
      </c>
      <c r="E62">
        <f>-580.470082290966 -201.841881988188 -308.684922759763</f>
        <v>-1090.9968870389171</v>
      </c>
      <c r="F62">
        <f>-582.05769917799 -204.149834492672 -397.737738363211</f>
        <v>-1183.9452720338741</v>
      </c>
      <c r="G62">
        <f>-578.56865034398 -204.020217080706 -486.765984034721</f>
        <v>-1269.354851459407</v>
      </c>
      <c r="H62">
        <f>-568.325864064433 -201.391923070333 -610.899044075821</f>
        <v>-1380.616831210587</v>
      </c>
      <c r="I62">
        <f>-531.378680324948 -190.341436373843 -684.504812689318</f>
        <v>-1406.2249293881091</v>
      </c>
      <c r="J62">
        <f>-579.902676932418 -175.756403073883 -556.290324252747</f>
        <v>-1311.9494042590482</v>
      </c>
      <c r="K62">
        <f>-619.585450418082 -45.3257509640464 -538.660516785748</f>
        <v>-1203.5717181678765</v>
      </c>
      <c r="L62">
        <f>-705.11532965663 -33.2591472147831 -257.359576585865</f>
        <v>-995.73405345727815</v>
      </c>
      <c r="M62">
        <f>-465.905748252831 -4.97707518299489 -251.902133440327</f>
        <v>-722.78495687615293</v>
      </c>
      <c r="N62">
        <f>-565.763632337961 -229.340501505951 -556.258108682343</f>
        <v>-1351.3622425262552</v>
      </c>
      <c r="O62">
        <f>-542.538284422046 -362.093690045195 -529.13592725441</f>
        <v>-1433.767901721651</v>
      </c>
      <c r="P62">
        <f>-590.351863959751 -427.28572732009 -246.195794136203</f>
        <v>-1263.8333854160439</v>
      </c>
      <c r="Q62">
        <f>-426.001682849091 -260.172043129979 -301.989360530252</f>
        <v>-988.16308650932206</v>
      </c>
      <c r="R62">
        <f>-588.899824625518 -92.3641996267922 -102.80260723778</f>
        <v>-784.06663149009023</v>
      </c>
      <c r="S62" t="s">
        <v>481</v>
      </c>
      <c r="T62" t="s">
        <v>482</v>
      </c>
      <c r="U62" t="s">
        <v>483</v>
      </c>
      <c r="V62">
        <f>-512.448255706297 -272.432239836317 -94.899943930694</f>
        <v>-879.78043947330798</v>
      </c>
      <c r="W62" t="s">
        <v>484</v>
      </c>
      <c r="X62" t="s">
        <v>485</v>
      </c>
      <c r="Y62" t="s">
        <v>486</v>
      </c>
    </row>
    <row r="63" spans="1:25" x14ac:dyDescent="0.3">
      <c r="A63">
        <v>3100</v>
      </c>
      <c r="B63" t="s">
        <v>487</v>
      </c>
      <c r="C63">
        <f>-549.68526710258 -182.662001408233 -97.8044975281066</f>
        <v>-830.15176603891962</v>
      </c>
      <c r="D63">
        <f>-572.628417240469 -196.819811621946 -210.451644509679</f>
        <v>-979.89987337209402</v>
      </c>
      <c r="E63">
        <f>-579.474087790532 -201.97263260868 -308.702604713872</f>
        <v>-1090.1493251130842</v>
      </c>
      <c r="F63">
        <f>-580.957590413545 -204.191988386126 -397.759388452076</f>
        <v>-1182.9089672517471</v>
      </c>
      <c r="G63">
        <f>-577.341006269809 -203.974523238543 -486.782505689341</f>
        <v>-1268.098035197693</v>
      </c>
      <c r="H63">
        <f>-566.895986088294 -201.224859535268 -610.896027345965</f>
        <v>-1379.016872969527</v>
      </c>
      <c r="I63">
        <f>-529.587915654524 -189.879290244213 -684.274559549251</f>
        <v>-1403.7417654479877</v>
      </c>
      <c r="J63">
        <f>-578.4981008138 -175.62598446021 -556.27538779367</f>
        <v>-1310.39947306768</v>
      </c>
      <c r="K63">
        <f>-617.942131236544 -45.1215308322089 -538.615893201341</f>
        <v>-1201.6795552700939</v>
      </c>
      <c r="L63">
        <f>-703.526231437076 -32.8404479970402 -257.340653446452</f>
        <v>-993.70733288056817</v>
      </c>
      <c r="M63">
        <f>-464.261420598713 -4.86701320180327 -252.795308323141</f>
        <v>-721.92374212365735</v>
      </c>
      <c r="N63">
        <f>-564.486666132993 -229.243573395707 -556.284202298627</f>
        <v>-1350.0144418273271</v>
      </c>
      <c r="O63">
        <f>-541.715036412594 -362.083460653208 -529.23153203474</f>
        <v>-1433.0300291005419</v>
      </c>
      <c r="P63">
        <f>-590.233842757112 -427.095031703685 -246.370006679652</f>
        <v>-1263.698881140449</v>
      </c>
      <c r="Q63">
        <f>-424.703162508845 -261.172740472834 -302.22913127597</f>
        <v>-988.10503425764909</v>
      </c>
      <c r="R63">
        <f>-587.676096616121 -92.7270995665715 -102.741573379825</f>
        <v>-783.14476956251747</v>
      </c>
      <c r="S63" t="s">
        <v>488</v>
      </c>
      <c r="T63" t="s">
        <v>489</v>
      </c>
      <c r="U63" t="s">
        <v>490</v>
      </c>
      <c r="V63">
        <f>-511.935651408832 -272.840182862369 -94.8790009623096</f>
        <v>-879.65483523351054</v>
      </c>
      <c r="W63" t="s">
        <v>491</v>
      </c>
      <c r="X63" t="s">
        <v>492</v>
      </c>
      <c r="Y63" t="s">
        <v>493</v>
      </c>
    </row>
    <row r="64" spans="1:25" x14ac:dyDescent="0.3">
      <c r="A64">
        <v>3150</v>
      </c>
      <c r="B64" t="s">
        <v>494</v>
      </c>
      <c r="C64">
        <f>-549.303871063763 -182.769088713383 -97.7883303589789</f>
        <v>-829.86129013612492</v>
      </c>
      <c r="D64">
        <f>-572.213628360283 -196.847632847135 -210.452263518948</f>
        <v>-979.51352472636609</v>
      </c>
      <c r="E64">
        <f>-579.004737385808 -201.945733897266 -308.709764963783</f>
        <v>-1089.660236246857</v>
      </c>
      <c r="F64">
        <f>-580.429940747193 -204.119705314873 -397.768716305837</f>
        <v>-1182.3183623679029</v>
      </c>
      <c r="G64">
        <f>-576.74602274207 -203.861423774911 -486.788829353111</f>
        <v>-1267.396275870092</v>
      </c>
      <c r="H64">
        <f>-566.198359970204 -201.059079393503 -610.892439727709</f>
        <v>-1378.1498790914161</v>
      </c>
      <c r="I64">
        <f>-528.781954104699 -189.657071876858 -684.207102866416</f>
        <v>-1402.6461288479732</v>
      </c>
      <c r="J64">
        <f>-577.817946092352 -175.476268272436 -556.268231720593</f>
        <v>-1309.562446085381</v>
      </c>
      <c r="K64">
        <f>-617.171103119868 -44.9484086033215 -538.58633709511</f>
        <v>-1200.7058488182995</v>
      </c>
      <c r="L64">
        <f>-702.934754096979 -32.677313955307 -257.365425774361</f>
        <v>-992.97749382664688</v>
      </c>
      <c r="M64">
        <f>-463.63461721639 -4.94061690609828 -253.246346506223</f>
        <v>-721.82158062871122</v>
      </c>
      <c r="N64">
        <f>-563.861892399708 -229.108255547115 -556.293086755119</f>
        <v>-1349.2632347019421</v>
      </c>
      <c r="O64">
        <f>-541.28833142619 -361.99158651093 -529.280452116839</f>
        <v>-1432.5603700539591</v>
      </c>
      <c r="P64">
        <f>-590.090827748393 -426.932116541783 -246.451434524505</f>
        <v>-1263.4743788146811</v>
      </c>
      <c r="Q64">
        <f>-424.164405759419 -261.424778676045 -302.367772738811</f>
        <v>-987.95695717427498</v>
      </c>
      <c r="R64">
        <f>-587.143149392323 -92.8459162375393 -102.70567376048</f>
        <v>-782.69473939034231</v>
      </c>
      <c r="S64" t="s">
        <v>495</v>
      </c>
      <c r="T64" t="s">
        <v>496</v>
      </c>
      <c r="U64" t="s">
        <v>497</v>
      </c>
      <c r="V64">
        <f>-511.715136699731 -272.855762709657 -94.8896859364266</f>
        <v>-879.46058534581459</v>
      </c>
      <c r="W64" t="s">
        <v>498</v>
      </c>
      <c r="X64" t="s">
        <v>499</v>
      </c>
      <c r="Y64" t="s">
        <v>500</v>
      </c>
    </row>
    <row r="65" spans="1:25" x14ac:dyDescent="0.3">
      <c r="A65">
        <v>3200</v>
      </c>
      <c r="B65" t="s">
        <v>501</v>
      </c>
      <c r="C65">
        <f>-548.761859547331 -182.958061131777 -97.7532951633328</f>
        <v>-829.47321584244082</v>
      </c>
      <c r="D65">
        <f>-571.570556764161 -196.8289724797 -210.463460184485</f>
        <v>-978.86298942834605</v>
      </c>
      <c r="E65">
        <f>-578.223285065077 -201.789494611606 -308.737463918734</f>
        <v>-1088.750243595417</v>
      </c>
      <c r="F65">
        <f>-579.505528458257 -203.852284463372 -397.801192476085</f>
        <v>-1181.1590053977141</v>
      </c>
      <c r="G65">
        <f>-575.662519200506 -203.495774148369 -486.814356445949</f>
        <v>-1265.9726497948241</v>
      </c>
      <c r="H65">
        <f>-564.876461946501 -200.568959595051 -610.894636057261</f>
        <v>-1376.340057598813</v>
      </c>
      <c r="I65">
        <f>-527.389784986289 -189.217782330318 -684.181312466653</f>
        <v>-1400.78887978326</v>
      </c>
      <c r="J65">
        <f>-576.55463990848 -175.028896783552 -556.262816422538</f>
        <v>-1307.8463531145699</v>
      </c>
      <c r="K65">
        <f>-615.794655668711 -44.4756630709651 -538.517806307801</f>
        <v>-1198.788125047477</v>
      </c>
      <c r="L65">
        <f>-701.993917789707 -32.4295980700585 -257.420353950912</f>
        <v>-991.84386981067746</v>
      </c>
      <c r="M65">
        <f>-462.644613254199 -5.03244570291304 -253.931145344555</f>
        <v>-721.608204301667</v>
      </c>
      <c r="N65">
        <f>-562.690931792393 -228.684880419641 -556.323323383856</f>
        <v>-1347.6991355958899</v>
      </c>
      <c r="O65">
        <f>-540.34893233934 -361.621063502467 -529.377426037073</f>
        <v>-1431.3474218788799</v>
      </c>
      <c r="P65">
        <f>-589.352587596171 -427.148444951172 -246.718633171956</f>
        <v>-1263.219665719299</v>
      </c>
      <c r="Q65">
        <f>-423.558568483895 -261.55486506938 -302.772103324047</f>
        <v>-987.88553687732201</v>
      </c>
      <c r="R65">
        <f>-586.117219818137 -93.0864261718282 -102.634545996336</f>
        <v>-781.83819198630113</v>
      </c>
      <c r="S65" t="s">
        <v>502</v>
      </c>
      <c r="T65" t="s">
        <v>503</v>
      </c>
      <c r="U65" t="s">
        <v>504</v>
      </c>
      <c r="V65">
        <f>-511.624078659957 -272.934862901387 -94.9158616763137</f>
        <v>-879.47480323765774</v>
      </c>
      <c r="W65" t="s">
        <v>505</v>
      </c>
      <c r="X65" t="s">
        <v>506</v>
      </c>
      <c r="Y65" t="s">
        <v>507</v>
      </c>
    </row>
    <row r="66" spans="1:25" x14ac:dyDescent="0.3">
      <c r="A66">
        <v>3250</v>
      </c>
      <c r="B66" t="s">
        <v>508</v>
      </c>
      <c r="C66">
        <f>-548.533879040903 -182.895931449445 -97.7539810466976</f>
        <v>-829.18379153704564</v>
      </c>
      <c r="D66">
        <f>-571.304890343848 -196.6987845407 -210.480075562194</f>
        <v>-978.48375044674196</v>
      </c>
      <c r="E66">
        <f>-577.900208646036 -201.595683672499 -308.761181775579</f>
        <v>-1088.2570740941142</v>
      </c>
      <c r="F66">
        <f>-579.121461801556 -203.59740741682 -397.827188248742</f>
        <v>-1180.5460574671181</v>
      </c>
      <c r="G66">
        <f>-575.208240590456 -203.176670614694 -486.836920457922</f>
        <v>-1265.221831663072</v>
      </c>
      <c r="H66">
        <f>-564.315554663965 -200.155926597368 -610.905747059187</f>
        <v>-1375.3772283205199</v>
      </c>
      <c r="I66">
        <f>-526.883823134046 -188.906490940303 -684.236159178485</f>
        <v>-1400.026473252834</v>
      </c>
      <c r="J66">
        <f>-576.025284765793 -174.653261729192 -556.263114904701</f>
        <v>-1306.9416613996859</v>
      </c>
      <c r="K66">
        <f>-615.211915723483 -44.0930475338012 -538.44964206761</f>
        <v>-1197.7546053248941</v>
      </c>
      <c r="L66">
        <f>-701.698089365269 -32.1965640067058 -257.434058363244</f>
        <v>-991.3287117352188</v>
      </c>
      <c r="M66">
        <f>-462.321572543142 -5.01125639342877 -254.163731819984</f>
        <v>-721.4965607565548</v>
      </c>
      <c r="N66">
        <f>-562.192491381987 -228.317085709897 -556.355216960265</f>
        <v>-1346.8647940521491</v>
      </c>
      <c r="O66">
        <f>-539.92664908454 -361.279697456576 -529.487019420013</f>
        <v>-1430.6933659611291</v>
      </c>
      <c r="P66">
        <f>-588.996623009639 -427.16345228475 -246.922529514629</f>
        <v>-1263.082604809018</v>
      </c>
      <c r="Q66">
        <f>-423.328215285498 -261.357298195585 -302.718020204196</f>
        <v>-987.40353368527906</v>
      </c>
      <c r="R66">
        <f>-585.769723692985 -93.0900856812084 -102.605362894715</f>
        <v>-781.46517226890842</v>
      </c>
      <c r="S66" t="s">
        <v>509</v>
      </c>
      <c r="T66" t="s">
        <v>510</v>
      </c>
      <c r="U66" t="s">
        <v>511</v>
      </c>
      <c r="V66">
        <f>-511.533446005072 -272.805739061129 -94.9322607494769</f>
        <v>-879.27144581567791</v>
      </c>
      <c r="W66" t="s">
        <v>512</v>
      </c>
      <c r="X66" t="s">
        <v>513</v>
      </c>
      <c r="Y66" t="s">
        <v>514</v>
      </c>
    </row>
    <row r="67" spans="1:25" x14ac:dyDescent="0.3">
      <c r="A67">
        <v>3300</v>
      </c>
      <c r="B67" t="s">
        <v>515</v>
      </c>
      <c r="C67">
        <f>-548.204146033277 -182.826843117228 -97.7239372039238</f>
        <v>-828.75492635442879</v>
      </c>
      <c r="D67">
        <f>-570.848648444266 -196.513416877856 -210.489668895945</f>
        <v>-977.85173421806701</v>
      </c>
      <c r="E67">
        <f>-577.346044019409 -201.304009552147 -308.782534461885</f>
        <v>-1087.4325880334409</v>
      </c>
      <c r="F67">
        <f>-578.483708610995 -203.206708880104 -397.851802051538</f>
        <v>-1179.542219542637</v>
      </c>
      <c r="G67">
        <f>-574.492056647261 -202.684390735327 -486.857713244645</f>
        <v>-1264.0341606272332</v>
      </c>
      <c r="H67">
        <f>-563.49495461364 -199.519377336422 -610.913550446316</f>
        <v>-1373.9278823963778</v>
      </c>
      <c r="I67">
        <f>-526.235926002394 -188.574447446729 -684.377722536242</f>
        <v>-1399.188095985365</v>
      </c>
      <c r="J67">
        <f>-575.226596747465 -174.074033243752 -556.248837775579</f>
        <v>-1305.5494677667959</v>
      </c>
      <c r="K67">
        <f>-614.319458411902 -43.5130496185857 -538.268217536844</f>
        <v>-1196.1007255673317</v>
      </c>
      <c r="L67">
        <f>-701.147337402472 -32.1328247588244 -257.336587656232</f>
        <v>-990.61674981752844</v>
      </c>
      <c r="M67">
        <f>-461.752277380411 -5.08883172375454 -254.256261126489</f>
        <v>-721.09737023065452</v>
      </c>
      <c r="N67">
        <f>-561.441903570579 -227.750159870115 -556.396383900626</f>
        <v>-1345.58844734132</v>
      </c>
      <c r="O67">
        <f>-539.312893350784 -360.777068714666 -529.707917379343</f>
        <v>-1429.7978794447931</v>
      </c>
      <c r="P67">
        <f>-588.365008900058 -427.351656592939 -247.302394512662</f>
        <v>-1263.019060005659</v>
      </c>
      <c r="Q67">
        <f>-422.733386438155 -261.272167609204 -302.390345479439</f>
        <v>-986.39589952679808</v>
      </c>
      <c r="R67">
        <f>-585.219833407144 -93.0935280526726 -102.574215841953</f>
        <v>-780.88757730176962</v>
      </c>
      <c r="S67" t="s">
        <v>516</v>
      </c>
      <c r="T67" t="s">
        <v>517</v>
      </c>
      <c r="U67" t="s">
        <v>518</v>
      </c>
      <c r="V67">
        <f>-511.391490547282 -272.721228850307 -94.937634660229</f>
        <v>-879.05035405781803</v>
      </c>
      <c r="W67" t="s">
        <v>519</v>
      </c>
      <c r="X67" t="s">
        <v>520</v>
      </c>
      <c r="Y67" t="s">
        <v>521</v>
      </c>
    </row>
    <row r="68" spans="1:25" x14ac:dyDescent="0.3">
      <c r="A68">
        <v>3350</v>
      </c>
      <c r="B68" t="s">
        <v>522</v>
      </c>
      <c r="C68">
        <f>-548.03351440515 -182.802143307274 -97.7066771469574</f>
        <v>-828.54233485938141</v>
      </c>
      <c r="D68">
        <f>-570.629461692471 -196.421804985264 -210.490278504891</f>
        <v>-977.5415451826259</v>
      </c>
      <c r="E68">
        <f>-577.103036509321 -201.163845203939 -308.78711659831</f>
        <v>-1087.05399831157</v>
      </c>
      <c r="F68">
        <f>-578.226526498202 -203.025657480471 -397.857511083398</f>
        <v>-1179.1096950620708</v>
      </c>
      <c r="G68">
        <f>-574.228480178333 -202.465915359398 -486.862726595621</f>
        <v>-1263.5571221333521</v>
      </c>
      <c r="H68">
        <f>-563.230560952393 -199.252099075944 -610.91721793378</f>
        <v>-1373.399877962117</v>
      </c>
      <c r="I68">
        <f>-526.029700647857 -188.465551146964 -684.434504525465</f>
        <v>-1398.9297563202858</v>
      </c>
      <c r="J68">
        <f>-574.950839190797 -173.825268358863 -556.241698451389</f>
        <v>-1305.0178060010489</v>
      </c>
      <c r="K68">
        <f>-614.040021544384 -43.2731051857745 -538.176930812846</f>
        <v>-1195.4900575430045</v>
      </c>
      <c r="L68">
        <f>-700.854772682671 -32.1371880177001 -257.231365062128</f>
        <v>-990.22332576249903</v>
      </c>
      <c r="M68">
        <f>-461.46266277467 -5.04803037972761 -254.324313449814</f>
        <v>-720.83500660421157</v>
      </c>
      <c r="N68">
        <f>-561.189469650325 -227.507306425997 -556.412354967747</f>
        <v>-1345.109131044069</v>
      </c>
      <c r="O68">
        <f>-539.125426261067 -360.557533283751 -529.799367223049</f>
        <v>-1429.4823267678671</v>
      </c>
      <c r="P68">
        <f>-588.043445079073 -427.415597325574 -247.437549865737</f>
        <v>-1262.896592270384</v>
      </c>
      <c r="Q68">
        <f>-422.366871558168 -261.290390870473 -302.251691635637</f>
        <v>-985.90895406427785</v>
      </c>
      <c r="R68">
        <f>-584.952592351317 -93.1097812014737 -102.546380602993</f>
        <v>-780.60875415578357</v>
      </c>
      <c r="S68" t="s">
        <v>523</v>
      </c>
      <c r="T68" t="s">
        <v>524</v>
      </c>
      <c r="U68" t="s">
        <v>525</v>
      </c>
      <c r="V68">
        <f>-511.338188527677 -272.672644919991 -94.9486860718109</f>
        <v>-878.95951951947893</v>
      </c>
      <c r="W68" t="s">
        <v>526</v>
      </c>
      <c r="X68" t="s">
        <v>527</v>
      </c>
      <c r="Y68" t="s">
        <v>528</v>
      </c>
    </row>
    <row r="69" spans="1:25" x14ac:dyDescent="0.3">
      <c r="A69">
        <v>3400</v>
      </c>
      <c r="B69" t="s">
        <v>529</v>
      </c>
      <c r="C69">
        <f>-547.820510659103 -182.78079711135 -97.7010179345053</f>
        <v>-828.30232570495832</v>
      </c>
      <c r="D69">
        <f>-570.308218697049 -196.310493863814 -210.51704990345</f>
        <v>-977.13576246431307</v>
      </c>
      <c r="E69">
        <f>-576.733218226376 -201.003932513839 -308.81933761373</f>
        <v>-1086.556488353945</v>
      </c>
      <c r="F69">
        <f>-577.831599785835 -202.833314828619 -397.89066804957</f>
        <v>-1178.5555826640241</v>
      </c>
      <c r="G69">
        <f>-573.827010630817 -202.252741795956 -486.895521082763</f>
        <v>-1262.975273509536</v>
      </c>
      <c r="H69">
        <f>-562.839786822742 -199.021914009966 -610.950664890613</f>
        <v>-1372.8123657233209</v>
      </c>
      <c r="I69">
        <f>-525.6549618994 -188.448887428455 -684.506896943242</f>
        <v>-1398.610746271097</v>
      </c>
      <c r="J69">
        <f>-574.529861612046 -173.596080387645 -556.268112493848</f>
        <v>-1304.394054493539</v>
      </c>
      <c r="K69">
        <f>-613.636373183986 -43.0704995852154 -538.052907200053</f>
        <v>-1194.7597799692544</v>
      </c>
      <c r="L69">
        <f>-700.423731314964 -32.2890776860534 -257.085105059269</f>
        <v>-989.7979140602863</v>
      </c>
      <c r="M69">
        <f>-461.044966402728 -5.02785823792851 -254.740644169185</f>
        <v>-720.81346880984154</v>
      </c>
      <c r="N69">
        <f>-560.819477197719 -227.291166924947 -556.452185928719</f>
        <v>-1344.5628300513849</v>
      </c>
      <c r="O69">
        <f>-538.882166218166 -360.366077594595 -529.869355426855</f>
        <v>-1429.1175992396161</v>
      </c>
      <c r="P69">
        <f>-587.613294411675 -427.416771675834 -247.520850995974</f>
        <v>-1262.550917083483</v>
      </c>
      <c r="Q69">
        <f>-421.789625662046 -261.371156228662 -302.130970400184</f>
        <v>-985.29175229089196</v>
      </c>
      <c r="R69">
        <f>-584.529858475384 -92.9464762927969 -102.543634721974</f>
        <v>-780.01996949015484</v>
      </c>
      <c r="S69" t="s">
        <v>530</v>
      </c>
      <c r="T69" t="s">
        <v>531</v>
      </c>
      <c r="U69" t="s">
        <v>532</v>
      </c>
      <c r="V69">
        <f>-511.318699197811 -272.771809607709 -94.9575760093027</f>
        <v>-879.04808481482257</v>
      </c>
      <c r="W69" t="s">
        <v>533</v>
      </c>
      <c r="X69" t="s">
        <v>534</v>
      </c>
      <c r="Y69" t="s">
        <v>535</v>
      </c>
    </row>
    <row r="70" spans="1:25" x14ac:dyDescent="0.3">
      <c r="A70">
        <v>3450</v>
      </c>
      <c r="B70" t="s">
        <v>536</v>
      </c>
      <c r="C70">
        <f>-547.704143540782 -182.682721110698 -97.7126099504162</f>
        <v>-828.09947460189619</v>
      </c>
      <c r="D70">
        <f>-570.196849850827 -196.194764234794 -210.529753499477</f>
        <v>-976.92136758509798</v>
      </c>
      <c r="E70">
        <f>-576.624267350862 -200.884159069617 -308.832177619476</f>
        <v>-1086.340604039955</v>
      </c>
      <c r="F70">
        <f>-577.724009131002 -202.714875276516 -397.903427962583</f>
        <v>-1178.3423123701011</v>
      </c>
      <c r="G70">
        <f>-573.720147582026 -202.140245082228 -486.908354855936</f>
        <v>-1262.7687475201901</v>
      </c>
      <c r="H70">
        <f>-562.733121799721 -198.923396205159 -610.963761394056</f>
        <v>-1372.620279398936</v>
      </c>
      <c r="I70">
        <f>-525.518982999241 -188.414157839788 -684.514451107607</f>
        <v>-1398.4475919466358</v>
      </c>
      <c r="J70">
        <f>-574.411662058827 -173.488582734358 -556.282930890723</f>
        <v>-1304.1831756839081</v>
      </c>
      <c r="K70">
        <f>-613.528458448279 -42.9648341801224 -538.038486737171</f>
        <v>-1194.5317793655722</v>
      </c>
      <c r="L70">
        <f>-700.35023330013 -32.3017544428105 -257.07685621487</f>
        <v>-989.72884395781057</v>
      </c>
      <c r="M70">
        <f>-460.969376396948 -5.04061503115304 -254.947505310011</f>
        <v>-720.95749673811201</v>
      </c>
      <c r="N70">
        <f>-560.72421026345 -227.189483545213 -556.463250897124</f>
        <v>-1344.3769447057871</v>
      </c>
      <c r="O70">
        <f>-538.826097022513 -360.27139733516 -529.863484941436</f>
        <v>-1428.9609792991091</v>
      </c>
      <c r="P70">
        <f>-587.607575038764 -427.207100573917 -247.496479357681</f>
        <v>-1262.3111549703619</v>
      </c>
      <c r="Q70">
        <f>-421.641917671911 -261.284537694185 -302.04893180597</f>
        <v>-984.97538717206601</v>
      </c>
      <c r="R70">
        <f>-584.362795143305 -92.8240680180031 -102.551910769907</f>
        <v>-779.73877393121506</v>
      </c>
      <c r="S70" t="s">
        <v>537</v>
      </c>
      <c r="T70" t="s">
        <v>538</v>
      </c>
      <c r="U70" t="s">
        <v>539</v>
      </c>
      <c r="V70">
        <f>-511.25441485751 -272.678720460713 -94.9659434815409</f>
        <v>-878.89907879976397</v>
      </c>
      <c r="W70" t="s">
        <v>540</v>
      </c>
      <c r="X70" t="s">
        <v>541</v>
      </c>
      <c r="Y70" t="s">
        <v>542</v>
      </c>
    </row>
    <row r="71" spans="1:25" x14ac:dyDescent="0.3">
      <c r="A71">
        <v>3500</v>
      </c>
      <c r="B71" t="s">
        <v>543</v>
      </c>
      <c r="C71">
        <f>-547.437918964917 -182.380294256539 -97.7431629655836</f>
        <v>-827.56137618703963</v>
      </c>
      <c r="D71">
        <f>-569.986081879169 -195.876813215543 -210.551111380081</f>
        <v>-976.41400647479304</v>
      </c>
      <c r="E71">
        <f>-576.445663139846 -200.577995759811 -308.850779861788</f>
        <v>-1085.8744387614449</v>
      </c>
      <c r="F71">
        <f>-577.568808018636 -202.429049947303 -397.921449034569</f>
        <v>-1177.9193070005081</v>
      </c>
      <c r="G71">
        <f>-573.582227050204 -201.885353842382 -486.927216193072</f>
        <v>-1262.394797085658</v>
      </c>
      <c r="H71">
        <f>-562.613687886367 -198.722701845868 -610.985785306135</f>
        <v>-1372.32217503837</v>
      </c>
      <c r="I71">
        <f>-525.328890864717 -188.309532514307 -684.514117402782</f>
        <v>-1398.1525407818058</v>
      </c>
      <c r="J71">
        <f>-574.263871146596 -173.258908583088 -556.312273460635</f>
        <v>-1303.8350531903188</v>
      </c>
      <c r="K71">
        <f>-613.374112034884 -42.7344037682553 -538.061112508477</f>
        <v>-1194.1696283116162</v>
      </c>
      <c r="L71">
        <f>-700.262296117886 -32.064619583816 -257.12029521121</f>
        <v>-989.44721091291194</v>
      </c>
      <c r="M71">
        <f>-460.859818149331 -4.95714042814757 -255.550470669846</f>
        <v>-721.36742924732448</v>
      </c>
      <c r="N71">
        <f>-560.617038308057 -226.970092371989 -556.475161740281</f>
        <v>-1344.0622924203271</v>
      </c>
      <c r="O71">
        <f>-538.802855823333 -360.051860884118 -529.829336633312</f>
        <v>-1428.6840533407631</v>
      </c>
      <c r="P71">
        <f>-587.599974882974 -426.792516504624 -247.418773222328</f>
        <v>-1261.8112646099262</v>
      </c>
      <c r="Q71">
        <f>-421.586670576913 -260.986149386921 -302.178861578498</f>
        <v>-984.75168154233211</v>
      </c>
      <c r="R71">
        <f>-583.961616145769 -92.5293541473363 -102.553330226948</f>
        <v>-779.0443005200533</v>
      </c>
      <c r="S71" t="s">
        <v>544</v>
      </c>
      <c r="T71" t="s">
        <v>545</v>
      </c>
      <c r="U71" t="s">
        <v>546</v>
      </c>
      <c r="V71">
        <f>-511.109681579486 -272.411570246036 -94.9871748589318</f>
        <v>-878.50842668445375</v>
      </c>
      <c r="W71" t="s">
        <v>547</v>
      </c>
      <c r="X71" t="s">
        <v>548</v>
      </c>
      <c r="Y71" t="s">
        <v>549</v>
      </c>
    </row>
    <row r="72" spans="1:25" x14ac:dyDescent="0.3">
      <c r="A72">
        <v>3550</v>
      </c>
      <c r="B72" t="s">
        <v>550</v>
      </c>
      <c r="C72">
        <f>-547.266420327925 -182.336876542467 -97.7425180623802</f>
        <v>-827.3458149327721</v>
      </c>
      <c r="D72">
        <f>-569.869519770206 -195.830156526988 -210.539828885445</f>
        <v>-976.23950518263894</v>
      </c>
      <c r="E72">
        <f>-576.358471749395 -200.53961804423 -308.837291524152</f>
        <v>-1085.735381317777</v>
      </c>
      <c r="F72">
        <f>-577.500713464386 -202.402479771585 -397.907249520342</f>
        <v>-1177.810442756313</v>
      </c>
      <c r="G72">
        <f>-573.526274282944 -201.875381171461 -486.913775588052</f>
        <v>-1262.315431042457</v>
      </c>
      <c r="H72">
        <f>-562.56693846504 -198.741300039981 -610.973769258707</f>
        <v>-1372.282007763728</v>
      </c>
      <c r="I72">
        <f>-525.23705231505 -188.371839748292 -684.485504484931</f>
        <v>-1398.0943965482729</v>
      </c>
      <c r="J72">
        <f>-574.200039464935 -173.261536251498 -556.304176533326</f>
        <v>-1303.7657522497589</v>
      </c>
      <c r="K72">
        <f>-613.253766937832 -42.7245877111893 -538.041365426703</f>
        <v>-1194.0197200757243</v>
      </c>
      <c r="L72">
        <f>-700.185303616459 -32.0163706260093 -257.115244159034</f>
        <v>-989.31691840150233</v>
      </c>
      <c r="M72">
        <f>-460.763079207914 -5.06860404998133 -255.805388887118</f>
        <v>-721.63707214501335</v>
      </c>
      <c r="N72">
        <f>-560.579129050541 -226.979437169177 -556.458053263932</f>
        <v>-1344.0166194836502</v>
      </c>
      <c r="O72">
        <f>-538.815256593597 -360.070700482949 -529.797042845623</f>
        <v>-1428.6829999221691</v>
      </c>
      <c r="P72">
        <f>-587.528195255771 -426.667375208376 -247.337954276284</f>
        <v>-1261.5335247404309</v>
      </c>
      <c r="Q72">
        <f>-421.521886782011 -260.894683836154 -302.221600863594</f>
        <v>-984.63817148175895</v>
      </c>
      <c r="R72">
        <f>-583.680569672319 -92.5254974515606 -102.533615906989</f>
        <v>-778.7396830308686</v>
      </c>
      <c r="S72" t="s">
        <v>551</v>
      </c>
      <c r="T72" t="s">
        <v>552</v>
      </c>
      <c r="U72" t="s">
        <v>553</v>
      </c>
      <c r="V72">
        <f>-511.019940518645 -272.350400321269 -94.996568992149</f>
        <v>-878.36690983206302</v>
      </c>
      <c r="W72" t="s">
        <v>554</v>
      </c>
      <c r="X72" t="s">
        <v>555</v>
      </c>
      <c r="Y72" t="s">
        <v>556</v>
      </c>
    </row>
    <row r="73" spans="1:25" x14ac:dyDescent="0.3">
      <c r="A73">
        <v>3600</v>
      </c>
      <c r="B73" t="s">
        <v>557</v>
      </c>
      <c r="C73">
        <f>-547.086832317969 -182.07320938171 -97.7191254774696</f>
        <v>-826.87916717714847</v>
      </c>
      <c r="D73">
        <f>-569.809805735995 -195.557486596219 -210.493468213863</f>
        <v>-975.86076054607702</v>
      </c>
      <c r="E73">
        <f>-576.332339902128 -200.256041741356 -308.789290569348</f>
        <v>-1085.3776722128318</v>
      </c>
      <c r="F73">
        <f>-577.476712989883 -202.108384923507 -397.859430870987</f>
        <v>-1177.4445287843769</v>
      </c>
      <c r="G73">
        <f>-573.476028222132 -201.571004061046 -486.864803595251</f>
        <v>-1261.911835878429</v>
      </c>
      <c r="H73">
        <f>-562.450508176705 -198.423023732825 -610.918529992378</f>
        <v>-1371.7920619019078</v>
      </c>
      <c r="I73">
        <f>-525.013005498123 -188.159977889224 -684.390497107203</f>
        <v>-1397.56348049455</v>
      </c>
      <c r="J73">
        <f>-574.080836863447 -172.941217480022 -556.24932836187</f>
        <v>-1303.271382705339</v>
      </c>
      <c r="K73">
        <f>-612.992171368423 -42.3712004011336 -537.942572362913</f>
        <v>-1193.3059441324694</v>
      </c>
      <c r="L73">
        <f>-700.005689966608 -31.4031549815145 -257.05194089033</f>
        <v>-988.46078583845247</v>
      </c>
      <c r="M73">
        <f>-460.5157275774 -5.04849971191288 -256.14257916941</f>
        <v>-721.70680645872289</v>
      </c>
      <c r="N73">
        <f>-560.523834949748 -226.675288998101 -556.407908080501</f>
        <v>-1343.60703202835</v>
      </c>
      <c r="O73">
        <f>-538.930665454785 -359.793168897921 -529.718779223875</f>
        <v>-1428.4426135765812</v>
      </c>
      <c r="P73">
        <f>-587.374053562748 -426.341984066199 -247.202100689951</f>
        <v>-1260.9181383188982</v>
      </c>
      <c r="Q73">
        <f>-421.324585366242 -260.670621712516 -302.260600407772</f>
        <v>-984.25580748652999</v>
      </c>
      <c r="R73">
        <f>-583.424046082355 -92.1035375481465 -102.502663993285</f>
        <v>-778.03024762378641</v>
      </c>
      <c r="S73" t="s">
        <v>558</v>
      </c>
      <c r="T73" t="s">
        <v>559</v>
      </c>
      <c r="U73" t="s">
        <v>560</v>
      </c>
      <c r="V73">
        <f>-510.994284784363 -272.189082727593 -94.9860698500971</f>
        <v>-878.16943736205315</v>
      </c>
      <c r="W73" t="s">
        <v>561</v>
      </c>
      <c r="X73" t="s">
        <v>562</v>
      </c>
      <c r="Y73" t="s">
        <v>563</v>
      </c>
    </row>
    <row r="74" spans="1:25" x14ac:dyDescent="0.3">
      <c r="A74">
        <v>3650</v>
      </c>
      <c r="B74" t="s">
        <v>564</v>
      </c>
      <c r="C74">
        <f>-547.050217247136 -181.933866931785 -97.7221571098625</f>
        <v>-826.70624128878342</v>
      </c>
      <c r="D74">
        <f>-569.806331931652 -195.383813978683 -210.493919531936</f>
        <v>-975.68406544227105</v>
      </c>
      <c r="E74">
        <f>-576.330598605883 -200.066620533843 -308.790187988283</f>
        <v>-1085.187407128009</v>
      </c>
      <c r="F74">
        <f>-577.466222986345 -201.910035310671 -397.860729772364</f>
        <v>-1177.23698806938</v>
      </c>
      <c r="G74">
        <f>-573.44649139514 -201.36914102936 -486.865143273947</f>
        <v>-1261.680775698447</v>
      </c>
      <c r="H74">
        <f>-562.383806651658 -198.222475169193 -610.915737686986</f>
        <v>-1371.5220195078368</v>
      </c>
      <c r="I74">
        <f>-524.907070751365 -188.013586597363 -684.375168949976</f>
        <v>-1397.295826298704</v>
      </c>
      <c r="J74">
        <f>-574.007906919051 -172.734462678749 -556.24800483128</f>
        <v>-1302.99037442908</v>
      </c>
      <c r="K74">
        <f>-612.851451539299 -42.1426038809536 -537.921669450287</f>
        <v>-1192.9157248705396</v>
      </c>
      <c r="L74">
        <f>-699.900848316336 -31.1872065999382 -257.041693652097</f>
        <v>-988.12974856837127</v>
      </c>
      <c r="M74">
        <f>-460.38943763875 -5.02098592820721 -256.373087963424</f>
        <v>-721.78351153038125</v>
      </c>
      <c r="N74">
        <f>-560.496001807698 -226.479951198378 -556.406318396685</f>
        <v>-1343.382271402761</v>
      </c>
      <c r="O74">
        <f>-539.019474347845 -359.612730491127 -529.716659848169</f>
        <v>-1428.348864687141</v>
      </c>
      <c r="P74">
        <f>-587.368911556968 -426.183998753816 -247.189153953377</f>
        <v>-1260.7420642641609</v>
      </c>
      <c r="Q74">
        <f>-421.36063112632 -260.486242103852 -302.292310202676</f>
        <v>-984.13918343284809</v>
      </c>
      <c r="R74">
        <f>-583.255496573785 -91.9592827886522 -102.48800541971</f>
        <v>-777.70278478214721</v>
      </c>
      <c r="S74" t="s">
        <v>565</v>
      </c>
      <c r="T74" t="s">
        <v>566</v>
      </c>
      <c r="U74" t="s">
        <v>567</v>
      </c>
      <c r="V74">
        <f>-511.064586067496 -272.053660675605 -94.9955330717727</f>
        <v>-878.11377981487374</v>
      </c>
      <c r="W74" t="s">
        <v>568</v>
      </c>
      <c r="X74" t="s">
        <v>569</v>
      </c>
      <c r="Y74" t="s">
        <v>570</v>
      </c>
    </row>
    <row r="75" spans="1:25" x14ac:dyDescent="0.3">
      <c r="A75">
        <v>3700</v>
      </c>
      <c r="B75" t="s">
        <v>571</v>
      </c>
      <c r="C75">
        <f>-547.1029865722 -181.680398928141 -97.700109801747</f>
        <v>-826.48349530208804</v>
      </c>
      <c r="D75">
        <f>-569.913231122879 -195.070923851854 -210.46813252594</f>
        <v>-975.45228750067304</v>
      </c>
      <c r="E75">
        <f>-576.452990199653 -199.726039147416 -308.764657825239</f>
        <v>-1084.943687172308</v>
      </c>
      <c r="F75">
        <f>-577.59136944177 -201.551755147238 -397.835413232665</f>
        <v>-1176.9785378216729</v>
      </c>
      <c r="G75">
        <f>-573.563543089499 -201.001355117437 -486.839486373454</f>
        <v>-1261.4043845803901</v>
      </c>
      <c r="H75">
        <f>-562.478275635938 -197.849408347184 -610.887822090912</f>
        <v>-1371.2155060740338</v>
      </c>
      <c r="I75">
        <f>-524.962891987332 -187.749949420529 -684.342755672815</f>
        <v>-1397.0555970806759</v>
      </c>
      <c r="J75">
        <f>-574.070896243897 -172.353310132492 -556.217232443526</f>
        <v>-1302.641438819915</v>
      </c>
      <c r="K75">
        <f>-612.786679458432 -41.7317272412747 -537.852346138639</f>
        <v>-1192.3707528383457</v>
      </c>
      <c r="L75">
        <f>-699.851797604719 -30.9085186275618 -256.972015052219</f>
        <v>-987.73233128449965</v>
      </c>
      <c r="M75">
        <f>-460.319288625104 -4.92638981534492 -256.842625572369</f>
        <v>-722.08830401281784</v>
      </c>
      <c r="N75">
        <f>-560.641618750627 -226.119432390498 -556.383273565462</f>
        <v>-1343.144324706587</v>
      </c>
      <c r="O75">
        <f>-539.381661480986 -359.292287502751 -529.727954765123</f>
        <v>-1428.4019037488601</v>
      </c>
      <c r="P75">
        <f>-587.816945716319 -425.858434104558 -247.213824287562</f>
        <v>-1260.8892041084389</v>
      </c>
      <c r="Q75">
        <f>-421.51397881941 -260.465151334718 -302.343670059385</f>
        <v>-984.32280021351289</v>
      </c>
      <c r="R75">
        <f>-583.062353915567 -91.6694513971293 -102.45020818724</f>
        <v>-777.18201349993626</v>
      </c>
      <c r="S75" t="s">
        <v>572</v>
      </c>
      <c r="T75" t="s">
        <v>573</v>
      </c>
      <c r="U75" t="s">
        <v>574</v>
      </c>
      <c r="V75">
        <f>-511.388329826691 -271.84577260044 -94.9875240419497</f>
        <v>-878.22162646908066</v>
      </c>
      <c r="W75" t="s">
        <v>575</v>
      </c>
      <c r="X75" t="s">
        <v>576</v>
      </c>
      <c r="Y75" t="s">
        <v>577</v>
      </c>
    </row>
    <row r="76" spans="1:25" x14ac:dyDescent="0.3">
      <c r="A76">
        <v>3750</v>
      </c>
      <c r="B76" t="s">
        <v>578</v>
      </c>
      <c r="C76">
        <f>-547.168718133448 -181.484074409106 -97.683362160205</f>
        <v>-826.33615470275902</v>
      </c>
      <c r="D76">
        <f>-570.017271059673 -194.845833463218 -210.446899826617</f>
        <v>-975.31000434950806</v>
      </c>
      <c r="E76">
        <f>-576.574085764142 -199.485234418927 -308.743090600548</f>
        <v>-1084.802410783617</v>
      </c>
      <c r="F76">
        <f>-577.721790986913 -201.299954644666 -397.814032928513</f>
        <v>-1176.835778560092</v>
      </c>
      <c r="G76">
        <f>-573.696736451793 -200.741788653184 -486.81807661824</f>
        <v>-1261.256601723217</v>
      </c>
      <c r="H76">
        <f>-562.609518428777 -197.58278971666 -610.866163927735</f>
        <v>-1371.058472073172</v>
      </c>
      <c r="I76">
        <f>-525.073884543335 -187.531778799055 -684.317445670184</f>
        <v>-1396.9231090125741</v>
      </c>
      <c r="J76">
        <f>-574.180539030086 -172.084223853372 -556.192112938323</f>
        <v>-1302.4568758217811</v>
      </c>
      <c r="K76">
        <f>-612.815226538493 -41.4456193335589 -537.78734590489</f>
        <v>-1192.0481917769418</v>
      </c>
      <c r="L76">
        <f>-699.851768660893 -30.6316544479726 -256.897891001923</f>
        <v>-987.38131411078848</v>
      </c>
      <c r="M76">
        <f>-460.311316474329 -4.7229845901843 -257.014769172585</f>
        <v>-722.04907023709825</v>
      </c>
      <c r="N76">
        <f>-560.796460316576 -225.86159279751 -556.365341552161</f>
        <v>-1343.023394666247</v>
      </c>
      <c r="O76">
        <f>-539.64181709494 -359.055095201812 -529.720744873293</f>
        <v>-1428.417657170045</v>
      </c>
      <c r="P76">
        <f>-588.042010214593 -425.659215727382 -247.209601524546</f>
        <v>-1260.9108274665211</v>
      </c>
      <c r="Q76">
        <f>-421.651487604637 -260.363651217763 -302.368100677115</f>
        <v>-984.38323949951496</v>
      </c>
      <c r="R76">
        <f>-583.018907961249 -91.4104946716022 -102.434833581495</f>
        <v>-776.86423621434631</v>
      </c>
      <c r="S76" t="s">
        <v>579</v>
      </c>
      <c r="T76" t="s">
        <v>580</v>
      </c>
      <c r="U76" t="s">
        <v>581</v>
      </c>
      <c r="V76">
        <f>-511.558917186275 -271.689861146652 -94.9888516022913</f>
        <v>-878.23762993521837</v>
      </c>
      <c r="W76" t="s">
        <v>582</v>
      </c>
      <c r="X76" t="s">
        <v>583</v>
      </c>
      <c r="Y76" t="s">
        <v>584</v>
      </c>
    </row>
    <row r="77" spans="1:25" x14ac:dyDescent="0.3">
      <c r="A77">
        <v>3800</v>
      </c>
      <c r="B77" t="s">
        <v>585</v>
      </c>
      <c r="C77">
        <f>-547.30186325126 -181.217215289025 -97.6643313814546</f>
        <v>-826.18340992173967</v>
      </c>
      <c r="D77">
        <f>-570.230158477652 -194.51585868531 -210.419170395963</f>
        <v>-975.16518755892503</v>
      </c>
      <c r="E77">
        <f>-576.841924219383 -199.120348763561 -308.713315846684</f>
        <v>-1084.6755888296279</v>
      </c>
      <c r="F77">
        <f>-578.034383931708 -200.910322317688 -397.784275911949</f>
        <v>-1176.7289821613451</v>
      </c>
      <c r="G77">
        <f>-574.049250878646 -200.334934884429 -486.789910863841</f>
        <v>-1261.174096626916</v>
      </c>
      <c r="H77">
        <f>-563.012629864496 -197.159063245347 -610.842140240445</f>
        <v>-1371.0138333502882</v>
      </c>
      <c r="I77">
        <f>-525.435241766455 -187.19223475799 -684.283417950492</f>
        <v>-1396.9108944749369</v>
      </c>
      <c r="J77">
        <f>-574.519363491678 -171.657532693566 -556.155868413981</f>
        <v>-1302.3327645992249</v>
      </c>
      <c r="K77">
        <f>-612.963663896415 -40.9720032918522 -537.671173445801</f>
        <v>-1191.6068406340682</v>
      </c>
      <c r="L77">
        <f>-699.834282950098 -30.0452589020072 -256.734554894338</f>
        <v>-986.61409674644312</v>
      </c>
      <c r="M77">
        <f>-460.265351374976 -4.40422904071147 -257.138762760548</f>
        <v>-721.80834317623544</v>
      </c>
      <c r="N77">
        <f>-561.219193680256 -225.455524986884 -556.34985345074</f>
        <v>-1343.0245721178801</v>
      </c>
      <c r="O77">
        <f>-540.276411912332 -358.688020301585 -529.745407824489</f>
        <v>-1428.7098400384061</v>
      </c>
      <c r="P77">
        <f>-588.632584508415 -425.19235819473 -247.203294764765</f>
        <v>-1261.02823746791</v>
      </c>
      <c r="Q77">
        <f>-421.944181798448 -260.220657217175 -302.431862544052</f>
        <v>-984.59670155967513</v>
      </c>
      <c r="R77">
        <f>-582.941271294801 -91.0933128549652 -102.391346525486</f>
        <v>-776.42593067525229</v>
      </c>
      <c r="S77" t="s">
        <v>586</v>
      </c>
      <c r="T77" t="s">
        <v>587</v>
      </c>
      <c r="U77" t="s">
        <v>588</v>
      </c>
      <c r="V77">
        <f>-511.883125805353 -271.480701599435 -95.0029110677393</f>
        <v>-878.36673847252735</v>
      </c>
      <c r="W77" t="s">
        <v>589</v>
      </c>
      <c r="X77" t="s">
        <v>590</v>
      </c>
      <c r="Y77" t="s">
        <v>591</v>
      </c>
    </row>
    <row r="78" spans="1:25" x14ac:dyDescent="0.3">
      <c r="A78">
        <v>3850</v>
      </c>
      <c r="B78" t="s">
        <v>592</v>
      </c>
      <c r="C78">
        <f>-547.327548089397 -181.12534696583 -97.6533363009589</f>
        <v>-826.10623135618596</v>
      </c>
      <c r="D78">
        <f>-570.289098896919 -194.399676809568 -210.404307939183</f>
        <v>-975.09308364566994</v>
      </c>
      <c r="E78">
        <f>-576.930229004973 -198.980452274546 -308.697639708699</f>
        <v>-1084.6083209882179</v>
      </c>
      <c r="F78">
        <f>-578.149335599917 -200.747497747176 -397.768594934354</f>
        <v>-1176.665428281447</v>
      </c>
      <c r="G78">
        <f>-574.190923782679 -200.148346838787 -486.775342472784</f>
        <v>-1261.11461309425</v>
      </c>
      <c r="H78">
        <f>-563.191003792976 -196.939026080281 -610.829793976906</f>
        <v>-1370.959823850163</v>
      </c>
      <c r="I78">
        <f>-525.606126614406 -187.003523557804 -684.271546087339</f>
        <v>-1396.8811962595489</v>
      </c>
      <c r="J78">
        <f>-574.661144139718 -171.447337296246 -556.131364985958</f>
        <v>-1302.239846421922</v>
      </c>
      <c r="K78">
        <f>-613.018507970663 -40.7417361620021 -537.59521627098</f>
        <v>-1191.3554604036451</v>
      </c>
      <c r="L78">
        <f>-699.825353222648 -29.8378878293909 -256.638152401226</f>
        <v>-986.30139345326484</v>
      </c>
      <c r="M78">
        <f>-460.241192638434 -4.34308931309829 -257.19620318505</f>
        <v>-721.78048513658223</v>
      </c>
      <c r="N78">
        <f>-561.401885239556 -225.255464512301 -556.347620585365</f>
        <v>-1343.0049703372219</v>
      </c>
      <c r="O78">
        <f>-540.565749209524 -358.509293505024 -529.770083885982</f>
        <v>-1428.84512660053</v>
      </c>
      <c r="P78">
        <f>-588.898249743421 -425.094979648232 -247.243062190656</f>
        <v>-1261.2362915823091</v>
      </c>
      <c r="Q78">
        <f>-422.094842112524 -260.25704844092 -302.523454636201</f>
        <v>-984.87534518964503</v>
      </c>
      <c r="R78">
        <f>-582.899692514577 -90.9971819648763 -102.363684509884</f>
        <v>-776.26055898933737</v>
      </c>
      <c r="S78" t="s">
        <v>593</v>
      </c>
      <c r="T78" t="s">
        <v>594</v>
      </c>
      <c r="U78" t="s">
        <v>595</v>
      </c>
      <c r="V78">
        <f>-511.951956494313 -271.394344950678 -95.0104947939067</f>
        <v>-878.35679623889769</v>
      </c>
      <c r="W78" t="s">
        <v>596</v>
      </c>
      <c r="X78" t="s">
        <v>597</v>
      </c>
      <c r="Y78" t="s">
        <v>598</v>
      </c>
    </row>
    <row r="79" spans="1:25" x14ac:dyDescent="0.3">
      <c r="A79">
        <v>3900</v>
      </c>
      <c r="B79" t="s">
        <v>599</v>
      </c>
      <c r="C79">
        <f>-547.360168401003 -181.176972436371 -97.6196577980471</f>
        <v>-826.15679863542107</v>
      </c>
      <c r="D79">
        <f>-570.39474790512 -194.418374371353 -210.359595707372</f>
        <v>-975.17271798384502</v>
      </c>
      <c r="E79">
        <f>-577.082486533644 -198.956754796575 -308.651722910292</f>
        <v>-1084.690964240511</v>
      </c>
      <c r="F79">
        <f>-578.337354464252 -200.679227431393 -397.723127573331</f>
        <v>-1176.7397094689759</v>
      </c>
      <c r="G79">
        <f>-574.407846745911 -200.029456567215 -486.730833962651</f>
        <v>-1261.1681372757771</v>
      </c>
      <c r="H79">
        <f>-563.44129254883 -196.743293717188 -610.786239830581</f>
        <v>-1370.970826096599</v>
      </c>
      <c r="I79">
        <f>-525.856239389924 -186.847966343303 -684.233248565283</f>
        <v>-1396.9374542985101</v>
      </c>
      <c r="J79">
        <f>-574.866637145433 -171.278079252516 -556.066004122096</f>
        <v>-1302.210720520045</v>
      </c>
      <c r="K79">
        <f>-613.113112665391 -40.5581511463886 -537.395770800722</f>
        <v>-1191.0670346125016</v>
      </c>
      <c r="L79">
        <f>-699.831161843053 -29.7290195693417 -256.408340764932</f>
        <v>-985.9685221773268</v>
      </c>
      <c r="M79">
        <f>-460.219479869689 -4.50285081079551 -257.257451223099</f>
        <v>-721.97978190358344</v>
      </c>
      <c r="N79">
        <f>-561.667568886677 -225.100744635411 -556.325008631328</f>
        <v>-1343.093322153416</v>
      </c>
      <c r="O79">
        <f>-540.998438114576 -358.400615523377 -529.843511086877</f>
        <v>-1429.2425647248299</v>
      </c>
      <c r="P79">
        <f>-589.361321034825 -425.043851384591 -247.33528236169</f>
        <v>-1261.7404547811059</v>
      </c>
      <c r="Q79">
        <f>-422.369864145387 -260.440632870732 -302.747371881054</f>
        <v>-985.55786889717297</v>
      </c>
      <c r="R79">
        <f>-582.755226183163 -90.9797209904264 -102.313016540085</f>
        <v>-776.04796371367433</v>
      </c>
      <c r="S79" t="s">
        <v>600</v>
      </c>
      <c r="T79" t="s">
        <v>601</v>
      </c>
      <c r="U79" t="s">
        <v>602</v>
      </c>
      <c r="V79">
        <f>-512.171438765539 -271.522780945883 -95.0023170280147</f>
        <v>-878.69653673943674</v>
      </c>
      <c r="W79" t="s">
        <v>603</v>
      </c>
      <c r="X79" t="s">
        <v>604</v>
      </c>
      <c r="Y79" t="s">
        <v>605</v>
      </c>
    </row>
    <row r="80" spans="1:25" x14ac:dyDescent="0.3">
      <c r="A80">
        <v>3950</v>
      </c>
      <c r="B80" t="s">
        <v>606</v>
      </c>
      <c r="C80">
        <f>-547.325377112622 -181.062225054377 -97.6134115113734</f>
        <v>-826.00101367837249</v>
      </c>
      <c r="D80">
        <f>-570.405706942166 -194.289977714971 -210.345608398373</f>
        <v>-975.04129305550998</v>
      </c>
      <c r="E80">
        <f>-577.128563216141 -198.804663310138 -308.636353859822</f>
        <v>-1084.5695803861011</v>
      </c>
      <c r="F80">
        <f>-578.413596397449 -200.500171736066 -397.707729273522</f>
        <v>-1176.6214974070372</v>
      </c>
      <c r="G80">
        <f>-574.512266041535 -199.818020213736 -486.71646337084</f>
        <v>-1261.046749626111</v>
      </c>
      <c r="H80">
        <f>-563.583418968262 -196.480508572283 -610.774004456538</f>
        <v>-1370.8379319970829</v>
      </c>
      <c r="I80">
        <f>-526.006138862535 -186.591285486396 -684.225846352182</f>
        <v>-1396.823270701113</v>
      </c>
      <c r="J80">
        <f>-574.983343756865 -171.03571948253 -556.038885705831</f>
        <v>-1302.0579489452261</v>
      </c>
      <c r="K80">
        <f>-613.183013518005 -40.3171180993902 -537.318084150619</f>
        <v>-1190.8182157680144</v>
      </c>
      <c r="L80">
        <f>-699.889035806649 -29.6240747527831 -256.321765273364</f>
        <v>-985.83487583279611</v>
      </c>
      <c r="M80">
        <f>-460.273415381618 -4.43937816266384 -257.305744191241</f>
        <v>-722.01853773552284</v>
      </c>
      <c r="N80">
        <f>-561.802067008494 -224.862656349849 -556.325876831568</f>
        <v>-1342.990600189911</v>
      </c>
      <c r="O80">
        <f>-541.187726757542 -358.179936166057 -529.87820540315</f>
        <v>-1429.2458683267491</v>
      </c>
      <c r="P80">
        <f>-589.499357209756 -424.873635277648 -247.373101451319</f>
        <v>-1261.7460939387229</v>
      </c>
      <c r="Q80">
        <f>-422.482033914307 -260.320600740818 -302.85646786457</f>
        <v>-985.65910251969513</v>
      </c>
      <c r="R80">
        <f>-582.663701811166 -90.8695405530721 -102.288175814702</f>
        <v>-775.82141817894001</v>
      </c>
      <c r="S80" t="s">
        <v>607</v>
      </c>
      <c r="T80" t="s">
        <v>608</v>
      </c>
      <c r="U80" t="s">
        <v>609</v>
      </c>
      <c r="V80">
        <f>-512.189564003755 -271.361963613956 -95.0002336221905</f>
        <v>-878.55176123990145</v>
      </c>
      <c r="W80" t="s">
        <v>610</v>
      </c>
      <c r="X80" t="s">
        <v>611</v>
      </c>
      <c r="Y80" t="s">
        <v>612</v>
      </c>
    </row>
    <row r="81" spans="1:25" x14ac:dyDescent="0.3">
      <c r="A81">
        <v>4000</v>
      </c>
      <c r="B81" t="s">
        <v>613</v>
      </c>
      <c r="C81">
        <f>-547.298321654141 -180.954425089013 -97.5893144987025</f>
        <v>-825.84206124185641</v>
      </c>
      <c r="D81">
        <f>-570.476059260175 -194.190705207037 -210.300488727269</f>
        <v>-974.96725319448103</v>
      </c>
      <c r="E81">
        <f>-577.289313173987 -198.685730127115 -308.585989627167</f>
        <v>-1084.561032928269</v>
      </c>
      <c r="F81">
        <f>-578.658421497256 -200.351047652416 -397.656630447356</f>
        <v>-1176.6660995970281</v>
      </c>
      <c r="G81">
        <f>-574.84378479265 -199.625670779441 -486.668766450728</f>
        <v>-1261.138222022819</v>
      </c>
      <c r="H81">
        <f>-564.038233353731 -196.213174372369 -610.734948310307</f>
        <v>-1370.986356036407</v>
      </c>
      <c r="I81">
        <f>-526.478229041419 -186.341800140042 -684.198091114047</f>
        <v>-1397.018120295508</v>
      </c>
      <c r="J81">
        <f>-575.383811698176 -170.801455902242 -555.97330829039</f>
        <v>-1302.1585758908082</v>
      </c>
      <c r="K81">
        <f>-613.592705283754 -40.096893886458 -537.133570338087</f>
        <v>-1190.8231695082991</v>
      </c>
      <c r="L81">
        <f>-700.1266352643 -29.6687759236931 -256.074362807348</f>
        <v>-985.86977399534112</v>
      </c>
      <c r="M81">
        <f>-460.507023072356 -4.52698061234082 -257.173872537051</f>
        <v>-722.20787622174782</v>
      </c>
      <c r="N81">
        <f>-562.202395879362 -224.628203349474 -556.305760290882</f>
        <v>-1343.1363595197181</v>
      </c>
      <c r="O81">
        <f>-541.578101323106 -357.954435218759 -529.931893390047</f>
        <v>-1429.464429931912</v>
      </c>
      <c r="P81">
        <f>-589.683032771043 -424.691579959417 -247.401673033568</f>
        <v>-1261.776285764028</v>
      </c>
      <c r="Q81">
        <f>-422.643518600307 -260.213395799656 -303.039768565807</f>
        <v>-985.89668296576997</v>
      </c>
      <c r="R81">
        <f>-582.520402061513 -90.7307743027513 -102.240061867625</f>
        <v>-775.49123823188938</v>
      </c>
      <c r="S81" t="s">
        <v>614</v>
      </c>
      <c r="T81" t="s">
        <v>615</v>
      </c>
      <c r="U81" t="s">
        <v>616</v>
      </c>
      <c r="V81">
        <f>-512.300766096623 -271.311451184015 -94.9758939095063</f>
        <v>-878.58811119014433</v>
      </c>
      <c r="W81" t="s">
        <v>617</v>
      </c>
      <c r="X81" t="s">
        <v>618</v>
      </c>
      <c r="Y81" t="s">
        <v>619</v>
      </c>
    </row>
    <row r="82" spans="1:25" x14ac:dyDescent="0.3">
      <c r="A82">
        <v>4050</v>
      </c>
      <c r="B82" t="s">
        <v>620</v>
      </c>
      <c r="C82">
        <f>-547.310990070604 -180.970742314592 -97.5731397578905</f>
        <v>-825.8548721430866</v>
      </c>
      <c r="D82">
        <f>-570.543885086461 -194.243878994764 -210.268718968677</f>
        <v>-975.05648304990211</v>
      </c>
      <c r="E82">
        <f>-577.418945111265 -198.743366692528 -308.549629821539</f>
        <v>-1084.711941625332</v>
      </c>
      <c r="F82">
        <f>-578.849139690102 -200.401176631654 -397.619541224831</f>
        <v>-1176.8698575465869</v>
      </c>
      <c r="G82">
        <f>-575.101075870791 -199.655931112253 -486.634356746907</f>
        <v>-1261.3913637299511</v>
      </c>
      <c r="H82">
        <f>-564.393613255935 -196.202365780831 -610.707888215546</f>
        <v>-1371.3038672523119</v>
      </c>
      <c r="I82">
        <f>-526.863059934847 -186.349507339072 -684.188487996962</f>
        <v>-1397.401055270881</v>
      </c>
      <c r="J82">
        <f>-575.705254885236 -170.811145636314 -555.929706075831</f>
        <v>-1302.446106597381</v>
      </c>
      <c r="K82">
        <f>-613.950372395171 -40.12601608506 -537.037156256016</f>
        <v>-1191.1135447362471</v>
      </c>
      <c r="L82">
        <f>-700.35026154692 -29.9209589243167 -255.928436755382</f>
        <v>-986.19965722661868</v>
      </c>
      <c r="M82">
        <f>-460.737583814462 -4.71952382899531 -257.163070666808</f>
        <v>-722.62017831026537</v>
      </c>
      <c r="N82">
        <f>-562.505689511816 -224.633216072165 -556.288686667467</f>
        <v>-1343.427592251448</v>
      </c>
      <c r="O82">
        <f>-541.834533125549 -357.962178774194 -529.945103141865</f>
        <v>-1429.7418150416081</v>
      </c>
      <c r="P82">
        <f>-589.767319644709 -424.733580241223 -247.393792724571</f>
        <v>-1261.8946926105032</v>
      </c>
      <c r="Q82">
        <f>-422.768326188743 -260.249828869532 -303.136539335299</f>
        <v>-986.15469439357389</v>
      </c>
      <c r="R82">
        <f>-582.479190775464 -90.7402107669084 -102.249518755458</f>
        <v>-775.46892029783032</v>
      </c>
      <c r="S82" t="s">
        <v>621</v>
      </c>
      <c r="T82" t="s">
        <v>622</v>
      </c>
      <c r="U82" t="s">
        <v>623</v>
      </c>
      <c r="V82">
        <f>-512.381565931797 -271.373494952768 -94.9568331079695</f>
        <v>-878.71189399253444</v>
      </c>
      <c r="W82" t="s">
        <v>624</v>
      </c>
      <c r="X82" t="s">
        <v>625</v>
      </c>
      <c r="Y82" t="s">
        <v>626</v>
      </c>
    </row>
    <row r="83" spans="1:25" x14ac:dyDescent="0.3">
      <c r="A83">
        <v>4100</v>
      </c>
      <c r="B83" t="s">
        <v>627</v>
      </c>
      <c r="C83">
        <f>-547.266585014975 -181.005008305342 -97.5768483105837</f>
        <v>-825.84844163090077</v>
      </c>
      <c r="D83">
        <f>-570.590714370302 -194.361452835348 -210.243685965796</f>
        <v>-975.19585317144595</v>
      </c>
      <c r="E83">
        <f>-577.574007761438 -198.888844607564 -308.515612973565</f>
        <v>-1084.978465342567</v>
      </c>
      <c r="F83">
        <f>-579.113481017582 -200.553541202912 -397.583614870145</f>
        <v>-1177.250637090639</v>
      </c>
      <c r="G83">
        <f>-575.485360413417 -199.795891461902 -486.603339136752</f>
        <v>-1261.884591012071</v>
      </c>
      <c r="H83">
        <f>-564.956284468606 -196.304056870782 -610.690998374182</f>
        <v>-1371.95133971357</v>
      </c>
      <c r="I83">
        <f>-527.506879375979 -186.507005947911 -684.220549054748</f>
        <v>-1398.2344343786381</v>
      </c>
      <c r="J83">
        <f>-576.222528265419 -170.937924163351 -555.891919680147</f>
        <v>-1303.0523721089171</v>
      </c>
      <c r="K83">
        <f>-614.580980054043 -40.3037414090122 -536.871373891154</f>
        <v>-1191.7560953542093</v>
      </c>
      <c r="L83">
        <f>-700.627170026207 -30.5536754525301 -255.638059583846</f>
        <v>-986.8189050625831</v>
      </c>
      <c r="M83">
        <f>-461.050480844219 -5.02869289886485 -257.172691436113</f>
        <v>-723.25186517919678</v>
      </c>
      <c r="N83">
        <f>-562.956669569096 -224.743296466458 -556.280259855775</f>
        <v>-1343.9802258913289</v>
      </c>
      <c r="O83">
        <f>-542.121521369039 -358.049878505393 -529.969221921305</f>
        <v>-1430.1406217957369</v>
      </c>
      <c r="P83">
        <f>-589.667923715326 -424.872794535516 -247.364910402008</f>
        <v>-1261.9056286528501</v>
      </c>
      <c r="Q83">
        <f>-422.903791077563 -260.224547265668 -303.325102723593</f>
        <v>-986.45344106682398</v>
      </c>
      <c r="R83">
        <f>-582.434634887885 -90.7704384336641 -102.28387645273</f>
        <v>-775.48894977427904</v>
      </c>
      <c r="S83" t="s">
        <v>628</v>
      </c>
      <c r="T83" t="s">
        <v>629</v>
      </c>
      <c r="U83" t="s">
        <v>630</v>
      </c>
      <c r="V83">
        <f>-512.296236387676 -271.362918025296 -94.9479159146375</f>
        <v>-878.60707032760945</v>
      </c>
      <c r="W83" t="s">
        <v>631</v>
      </c>
      <c r="X83" t="s">
        <v>632</v>
      </c>
      <c r="Y83" t="s">
        <v>633</v>
      </c>
    </row>
    <row r="84" spans="1:25" x14ac:dyDescent="0.3">
      <c r="A84">
        <v>4150</v>
      </c>
      <c r="B84" t="s">
        <v>634</v>
      </c>
      <c r="C84">
        <f>-547.240294490029 -181.027975353131 -97.5839262541381</f>
        <v>-825.85219609729802</v>
      </c>
      <c r="D84">
        <f>-570.586720179055 -194.420715417965 -210.241890077695</f>
        <v>-975.2493256747149</v>
      </c>
      <c r="E84">
        <f>-577.612707156365 -198.973402175282 -308.5096306796</f>
        <v>-1085.095740011247</v>
      </c>
      <c r="F84">
        <f>-579.199906728994 -200.658798750263 -397.576437017438</f>
        <v>-1177.4351424966951</v>
      </c>
      <c r="G84">
        <f>-575.628650213698 -199.91882067276 -486.598507972685</f>
        <v>-1262.145978859143</v>
      </c>
      <c r="H84">
        <f>-565.188183830764 -196.44837958856 -610.694278100864</f>
        <v>-1372.3308415201882</v>
      </c>
      <c r="I84">
        <f>-527.788765478071 -186.67163654434 -684.251887288086</f>
        <v>-1398.712289310497</v>
      </c>
      <c r="J84">
        <f>-576.433605877716 -171.077288278058 -555.893237854184</f>
        <v>-1303.4041320099579</v>
      </c>
      <c r="K84">
        <f>-614.864498725293 -40.4655990745807 -536.844442359022</f>
        <v>-1192.1745401588955</v>
      </c>
      <c r="L84">
        <f>-700.739297101179 -30.8817201462721 -255.552946776781</f>
        <v>-987.17396402423208</v>
      </c>
      <c r="M84">
        <f>-461.18204070146 -5.18354914632937 -257.20976541692</f>
        <v>-723.57535526470929</v>
      </c>
      <c r="N84">
        <f>-563.131398760247 -224.873831708087 -556.278542963165</f>
        <v>-1344.2837734314999</v>
      </c>
      <c r="O84">
        <f>-542.197629881142 -358.16465151626 -529.96241664598</f>
        <v>-1430.3246980433821</v>
      </c>
      <c r="P84">
        <f>-589.533622462558 -424.919328861088 -247.306521367622</f>
        <v>-1261.759472691268</v>
      </c>
      <c r="Q84">
        <f>-422.920503530938 -260.166255759571 -303.407436606341</f>
        <v>-986.49419589684999</v>
      </c>
      <c r="R84">
        <f>-582.447449932101 -90.8260928418008 -102.296853936632</f>
        <v>-775.57039671053383</v>
      </c>
      <c r="S84" t="s">
        <v>635</v>
      </c>
      <c r="T84" t="s">
        <v>636</v>
      </c>
      <c r="U84" t="s">
        <v>637</v>
      </c>
      <c r="V84">
        <f>-512.234486832735 -271.353509391655 -94.9470043914107</f>
        <v>-878.53500061580075</v>
      </c>
      <c r="W84" t="s">
        <v>638</v>
      </c>
      <c r="X84" t="s">
        <v>639</v>
      </c>
      <c r="Y84" t="s">
        <v>640</v>
      </c>
    </row>
    <row r="85" spans="1:25" x14ac:dyDescent="0.3">
      <c r="A85">
        <v>4200</v>
      </c>
      <c r="B85" t="s">
        <v>641</v>
      </c>
      <c r="C85">
        <f>-547.434843449612 -181.234638843508 -97.5844234163377</f>
        <v>-826.25390570945774</v>
      </c>
      <c r="D85">
        <f>-570.822280498502 -194.722239392337 -210.222510534578</f>
        <v>-975.76703042541692</v>
      </c>
      <c r="E85">
        <f>-577.932927143342 -199.363709709836 -308.480116087657</f>
        <v>-1085.776752940835</v>
      </c>
      <c r="F85">
        <f>-579.615745943731 -201.133661652364 -397.543471968032</f>
        <v>-1178.2928795641269</v>
      </c>
      <c r="G85">
        <f>-576.158574266634 -200.482026067779 -486.570762728753</f>
        <v>-1263.2113630631659</v>
      </c>
      <c r="H85">
        <f>-565.896658449175 -197.139474457656 -610.684906916279</f>
        <v>-1373.72103982311</v>
      </c>
      <c r="I85">
        <f>-528.606146346959 -187.40048274087 -684.30291161359</f>
        <v>-1400.3095407014189</v>
      </c>
      <c r="J85">
        <f>-577.094979009929 -171.719840141812 -555.896716409223</f>
        <v>-1304.711535560964</v>
      </c>
      <c r="K85">
        <f>-615.682928367897 -41.1543105910291 -536.864031806755</f>
        <v>-1193.7012707656811</v>
      </c>
      <c r="L85">
        <f>-701.267849950389 -31.6524863619252 -255.481451001084</f>
        <v>-988.40178731339813</v>
      </c>
      <c r="M85">
        <f>-461.751683994128 -5.58356944464208 -257.273930419754</f>
        <v>-724.60918385852403</v>
      </c>
      <c r="N85">
        <f>-563.729814380952 -225.500919863283 -556.24012497115</f>
        <v>-1345.470859215385</v>
      </c>
      <c r="O85">
        <f>-542.566649971788 -358.734486831283 -529.81294134801</f>
        <v>-1431.114078151081</v>
      </c>
      <c r="P85">
        <f>-589.446636626412 -425.270119874267 -247.02951075055</f>
        <v>-1261.7462672512288</v>
      </c>
      <c r="Q85">
        <f>-423.199394634348 -260.28723945578 -303.539522654044</f>
        <v>-987.02615674417211</v>
      </c>
      <c r="R85">
        <f>-582.742396898189 -90.9962965346338 -102.319841235823</f>
        <v>-776.05853466864573</v>
      </c>
      <c r="S85" t="s">
        <v>642</v>
      </c>
      <c r="T85" t="s">
        <v>643</v>
      </c>
      <c r="U85" t="s">
        <v>644</v>
      </c>
      <c r="V85">
        <f>-512.360213017163 -271.587088146305 -94.9253629144526</f>
        <v>-878.8726640779206</v>
      </c>
      <c r="W85" t="s">
        <v>645</v>
      </c>
      <c r="X85" t="s">
        <v>646</v>
      </c>
      <c r="Y85" t="s">
        <v>647</v>
      </c>
    </row>
    <row r="86" spans="1:25" x14ac:dyDescent="0.3">
      <c r="A86">
        <v>4250</v>
      </c>
      <c r="B86" t="s">
        <v>648</v>
      </c>
      <c r="C86">
        <f>-547.619257310251 -181.418585639875 -97.6007964806225</f>
        <v>-826.63863943074853</v>
      </c>
      <c r="D86">
        <f>-571.036864532983 -194.955834047101 -210.226659599952</f>
        <v>-976.21935818003601</v>
      </c>
      <c r="E86">
        <f>-578.184956967906 -199.641273099076 -308.47943970727</f>
        <v>-1086.305669774252</v>
      </c>
      <c r="F86">
        <f>-579.905670927618 -201.452538595432 -397.541195968759</f>
        <v>-1178.8994054918089</v>
      </c>
      <c r="G86">
        <f>-576.490116191354 -200.843903930118 -486.570381304776</f>
        <v>-1263.9044014262481</v>
      </c>
      <c r="H86">
        <f>-566.289801790096 -197.563102762756 -610.691373101183</f>
        <v>-1374.5442776540349</v>
      </c>
      <c r="I86">
        <f>-529.057916341608 -187.845883701331 -684.341863711905</f>
        <v>-1401.2456637548439</v>
      </c>
      <c r="J86">
        <f>-577.473402336823 -172.11915691383 -555.911376953302</f>
        <v>-1305.5039362039552</v>
      </c>
      <c r="K86">
        <f>-616.115078886229 -41.5722780856845 -536.887233807401</f>
        <v>-1194.5745907793143</v>
      </c>
      <c r="L86">
        <f>-701.56527644474 -32.0317054413483 -255.465099498683</f>
        <v>-989.06208138477132</v>
      </c>
      <c r="M86">
        <f>-462.075280420487 -5.72588466959951 -257.315474443865</f>
        <v>-725.11663953395146</v>
      </c>
      <c r="N86">
        <f>-564.083349443673 -225.894381614082 -556.232461505519</f>
        <v>-1346.2101925632742</v>
      </c>
      <c r="O86">
        <f>-542.827336746818 -359.104391237117 -529.752771804266</f>
        <v>-1431.6844997882008</v>
      </c>
      <c r="P86">
        <f>-589.501469794781 -425.456595646865 -246.892186437372</f>
        <v>-1261.8502518790181</v>
      </c>
      <c r="Q86">
        <f>-423.378501246222 -260.42010219333 -303.610538136078</f>
        <v>-987.40914157562997</v>
      </c>
      <c r="R86">
        <f>-582.985976334017 -91.1384749000335 -102.345490875709</f>
        <v>-776.46994210975959</v>
      </c>
      <c r="S86" t="s">
        <v>649</v>
      </c>
      <c r="T86" t="s">
        <v>650</v>
      </c>
      <c r="U86" t="s">
        <v>651</v>
      </c>
      <c r="V86">
        <f>-512.497543181705 -271.848360966039 -94.91754599381</f>
        <v>-879.26345014155402</v>
      </c>
      <c r="W86" t="s">
        <v>652</v>
      </c>
      <c r="X86" t="s">
        <v>653</v>
      </c>
      <c r="Y86" t="s">
        <v>654</v>
      </c>
    </row>
    <row r="87" spans="1:25" x14ac:dyDescent="0.3">
      <c r="A87">
        <v>4300</v>
      </c>
      <c r="B87" t="s">
        <v>655</v>
      </c>
      <c r="C87">
        <f>-547.959039807257 -181.650633726494 -97.665975476465</f>
        <v>-827.27564901021594</v>
      </c>
      <c r="D87">
        <f>-571.427385752218 -195.279995117102 -210.270100709805</f>
        <v>-976.97748157912497</v>
      </c>
      <c r="E87">
        <f>-578.638388876742 -200.033885852458 -308.515101707919</f>
        <v>-1087.1873764371192</v>
      </c>
      <c r="F87">
        <f>-580.422018172845 -201.904669758127 -397.574428387442</f>
        <v>-1179.9011163184141</v>
      </c>
      <c r="G87">
        <f>-577.075170098056 -201.354019404867 -486.606639562245</f>
        <v>-1265.0358290651679</v>
      </c>
      <c r="H87">
        <f>-566.975866213505 -198.15331621285 -610.737785620766</f>
        <v>-1375.866968047121</v>
      </c>
      <c r="I87">
        <f>-529.866794865931 -188.48494891497 -684.456711824104</f>
        <v>-1402.8084556050048</v>
      </c>
      <c r="J87">
        <f>-578.13055278801 -172.678034974807 -555.966651271979</f>
        <v>-1306.775239034796</v>
      </c>
      <c r="K87">
        <f>-616.842246155173 -42.1481590242279 -536.955041313127</f>
        <v>-1195.9454464925279</v>
      </c>
      <c r="L87">
        <f>-701.960800039456 -32.5843633500883 -255.433144440498</f>
        <v>-989.97830783004235</v>
      </c>
      <c r="M87">
        <f>-462.528068345199 -5.7646798895239 -257.318743544241</f>
        <v>-725.61149177896391</v>
      </c>
      <c r="N87">
        <f>-564.709525054175 -226.445684444972 -556.261023604614</f>
        <v>-1347.416233103761</v>
      </c>
      <c r="O87">
        <f>-543.329469798728 -359.621231487715 -529.709535435414</f>
        <v>-1432.660236721857</v>
      </c>
      <c r="P87">
        <f>-589.673977961826 -425.723578152436 -246.736322442756</f>
        <v>-1262.1338785570181</v>
      </c>
      <c r="Q87">
        <f>-423.80018069075 -260.570950477369 -303.844669526803</f>
        <v>-988.21580069492211</v>
      </c>
      <c r="R87">
        <f>-583.369170156639 -91.3766874733708 -102.431605997878</f>
        <v>-777.17746362788785</v>
      </c>
      <c r="S87" t="s">
        <v>656</v>
      </c>
      <c r="T87" t="s">
        <v>657</v>
      </c>
      <c r="U87" t="s">
        <v>658</v>
      </c>
      <c r="V87">
        <f>-512.771833010202 -272.058293197603 -94.9440117686597</f>
        <v>-879.77413797646477</v>
      </c>
      <c r="W87" t="s">
        <v>659</v>
      </c>
      <c r="X87" t="s">
        <v>660</v>
      </c>
      <c r="Y87" t="s">
        <v>661</v>
      </c>
    </row>
    <row r="88" spans="1:25" x14ac:dyDescent="0.3">
      <c r="A88">
        <v>4350</v>
      </c>
      <c r="B88" t="s">
        <v>662</v>
      </c>
      <c r="C88">
        <f>-548.352509100497 -181.92307874031 -97.7008015836361</f>
        <v>-827.97638942444303</v>
      </c>
      <c r="D88">
        <f>-571.852290597887 -195.606356310389 -210.29188240709</f>
        <v>-977.75052931536607</v>
      </c>
      <c r="E88">
        <f>-579.084820569422 -200.391990711237 -308.533645734648</f>
        <v>-1088.0104570153071</v>
      </c>
      <c r="F88">
        <f>-580.884862054143 -202.286877278829 -397.592177075921</f>
        <v>-1180.763916408893</v>
      </c>
      <c r="G88">
        <f>-577.550602233319 -201.756087272393 -486.624929724935</f>
        <v>-1265.9316192306469</v>
      </c>
      <c r="H88">
        <f>-567.464850207189 -198.579480354678 -610.757946352509</f>
        <v>-1376.8022769143759</v>
      </c>
      <c r="I88">
        <f>-530.439469645864 -188.957188203267 -684.524872569981</f>
        <v>-1403.9215304191121</v>
      </c>
      <c r="J88">
        <f>-578.613038672421 -173.093417531156 -555.990478976197</f>
        <v>-1307.6969351797738</v>
      </c>
      <c r="K88">
        <f>-617.288888154854 -42.5597410316475 -536.964330720675</f>
        <v>-1196.8129599071765</v>
      </c>
      <c r="L88">
        <f>-702.205597923092 -32.8782796041141 -255.385526168668</f>
        <v>-990.46940369587412</v>
      </c>
      <c r="M88">
        <f>-462.796644053164 -5.85101604771216 -257.324478730357</f>
        <v>-725.97213883123322</v>
      </c>
      <c r="N88">
        <f>-565.193100325332 -226.861324338333 -556.27600991735</f>
        <v>-1348.3304345810152</v>
      </c>
      <c r="O88">
        <f>-543.803228055809 -360.027614188162 -529.674141224189</f>
        <v>-1433.5049834681599</v>
      </c>
      <c r="P88">
        <f>-589.944744704435 -425.919470510417 -246.618713756226</f>
        <v>-1262.4829289710781</v>
      </c>
      <c r="Q88">
        <f>-424.156731557671 -260.799649509708 -304.07001257604</f>
        <v>-989.02639364341894</v>
      </c>
      <c r="R88">
        <f>-583.655551604561 -91.6784882993536 -102.490716901391</f>
        <v>-777.82475680530558</v>
      </c>
      <c r="S88" t="s">
        <v>663</v>
      </c>
      <c r="T88" t="s">
        <v>664</v>
      </c>
      <c r="U88" t="s">
        <v>665</v>
      </c>
      <c r="V88">
        <f>-513.285739924978 -272.384991978948 -94.9420877464195</f>
        <v>-880.6128196503455</v>
      </c>
      <c r="W88" t="s">
        <v>666</v>
      </c>
      <c r="X88" t="s">
        <v>667</v>
      </c>
      <c r="Y88" t="s">
        <v>668</v>
      </c>
    </row>
    <row r="89" spans="1:25" x14ac:dyDescent="0.3">
      <c r="A89">
        <v>4400</v>
      </c>
      <c r="B89" t="s">
        <v>669</v>
      </c>
      <c r="C89">
        <f>-548.604134158978 -182.099779186937 -97.7038845359428</f>
        <v>-828.40779788185785</v>
      </c>
      <c r="D89">
        <f>-572.119253786413 -195.799168294019 -210.289820838949</f>
        <v>-978.20824291938106</v>
      </c>
      <c r="E89">
        <f>-579.340155129659 -200.593469914344 -308.532023275977</f>
        <v>-1088.4656483199801</v>
      </c>
      <c r="F89">
        <f>-581.11923487699 -202.49464127607 -397.590767103159</f>
        <v>-1181.2046432562192</v>
      </c>
      <c r="G89">
        <f>-577.753343813889 -201.969452861509 -486.622411199287</f>
        <v>-1266.345207874685</v>
      </c>
      <c r="H89">
        <f>-567.612574473547 -198.800092520139 -610.751064305368</f>
        <v>-1377.1637312990542</v>
      </c>
      <c r="I89">
        <f>-530.605959352197 -189.216576805359 -684.532516106436</f>
        <v>-1404.3550522639921</v>
      </c>
      <c r="J89">
        <f>-578.778891537481 -173.309306411291 -555.989554378108</f>
        <v>-1308.0777523268798</v>
      </c>
      <c r="K89">
        <f>-617.396314919027 -42.752450895935 -536.96039319303</f>
        <v>-1197.1091590079918</v>
      </c>
      <c r="L89">
        <f>-702.31583277584 -33.0325985990219 -255.38377171803</f>
        <v>-990.73220309289195</v>
      </c>
      <c r="M89">
        <f>-462.910265026621 -5.97428164570374 -257.308457940815</f>
        <v>-726.19300461313969</v>
      </c>
      <c r="N89">
        <f>-565.371290950004 -227.080411761272 -556.267000892007</f>
        <v>-1348.7187036032828</v>
      </c>
      <c r="O89">
        <f>-544.019342705791 -360.240798750833 -529.634138938433</f>
        <v>-1433.8942803950572</v>
      </c>
      <c r="P89">
        <f>-590.125794691753 -426.060432830052 -246.556041777665</f>
        <v>-1262.7422692994701</v>
      </c>
      <c r="Q89">
        <f>-424.327816017711 -261.014076926502 -304.189411473316</f>
        <v>-989.53130441752899</v>
      </c>
      <c r="R89">
        <f>-583.838955160865 -91.8123368332547 -102.511402806322</f>
        <v>-778.16269480044161</v>
      </c>
      <c r="S89" t="s">
        <v>670</v>
      </c>
      <c r="T89" t="s">
        <v>671</v>
      </c>
      <c r="U89" t="s">
        <v>672</v>
      </c>
      <c r="V89">
        <f>-513.628439849293 -272.553376319875 -94.9442684112885</f>
        <v>-881.12608458045656</v>
      </c>
      <c r="W89" t="s">
        <v>673</v>
      </c>
      <c r="X89" t="s">
        <v>674</v>
      </c>
      <c r="Y89" t="s">
        <v>675</v>
      </c>
    </row>
    <row r="90" spans="1:25" x14ac:dyDescent="0.3">
      <c r="A90">
        <v>4450</v>
      </c>
      <c r="B90" t="s">
        <v>676</v>
      </c>
      <c r="C90">
        <f>-548.922498197197 -182.353290484252 -97.7002556267045</f>
        <v>-828.97604430815352</v>
      </c>
      <c r="D90">
        <f>-572.464616757955 -196.045660048499 -210.281387904321</f>
        <v>-978.79166471077508</v>
      </c>
      <c r="E90">
        <f>-579.67625310226 -200.850225597481 -308.523785699398</f>
        <v>-1089.050264399139</v>
      </c>
      <c r="F90">
        <f>-581.433834198182 -202.768164720106 -397.582627042403</f>
        <v>-1181.7846259606911</v>
      </c>
      <c r="G90">
        <f>-578.033440502859 -202.267518382354 -486.613044902416</f>
        <v>-1266.9140037876291</v>
      </c>
      <c r="H90">
        <f>-567.830729539218 -199.141092087022 -610.737804860078</f>
        <v>-1377.709626486318</v>
      </c>
      <c r="I90">
        <f>-530.839975768394 -189.628627887073 -684.536394706243</f>
        <v>-1405.00499836171</v>
      </c>
      <c r="J90">
        <f>-579.016219803611 -173.629243038739 -555.989823456286</f>
        <v>-1308.6352862986359</v>
      </c>
      <c r="K90">
        <f>-617.603318956222 -43.0562198506664 -536.984597896767</f>
        <v>-1197.6441367036555</v>
      </c>
      <c r="L90">
        <f>-702.543846695776 -33.2953207766943 -255.415697377469</f>
        <v>-991.25486484993928</v>
      </c>
      <c r="M90">
        <f>-463.131958519587 -6.28582971846663 -257.233359257841</f>
        <v>-726.65114749589463</v>
      </c>
      <c r="N90">
        <f>-565.624580019832 -227.404341098409 -556.243522550235</f>
        <v>-1349.2724436684759</v>
      </c>
      <c r="O90">
        <f>-544.313712577765 -360.563795888199 -529.566851026474</f>
        <v>-1434.444359492438</v>
      </c>
      <c r="P90">
        <f>-590.497862013895 -426.271301938056 -246.475580651603</f>
        <v>-1263.244744603554</v>
      </c>
      <c r="Q90">
        <f>-424.668483703148 -261.320466694088 -304.291720483707</f>
        <v>-990.28067088094303</v>
      </c>
      <c r="R90">
        <f>-584.093193983208 -91.9935181045212 -102.512941047674</f>
        <v>-778.59965313540317</v>
      </c>
      <c r="S90" t="s">
        <v>677</v>
      </c>
      <c r="T90" t="s">
        <v>678</v>
      </c>
      <c r="U90" t="s">
        <v>679</v>
      </c>
      <c r="V90">
        <f>-514.044295600304 -272.877889757122 -94.9464347946922</f>
        <v>-881.8686201521183</v>
      </c>
      <c r="W90" t="s">
        <v>680</v>
      </c>
      <c r="X90" t="s">
        <v>681</v>
      </c>
      <c r="Y90" t="s">
        <v>682</v>
      </c>
    </row>
    <row r="91" spans="1:25" x14ac:dyDescent="0.3">
      <c r="A91">
        <v>4500</v>
      </c>
      <c r="B91" t="s">
        <v>683</v>
      </c>
      <c r="C91">
        <f>-549.425806098843 -182.636408553094 -97.6554141009242</f>
        <v>-829.71762875286117</v>
      </c>
      <c r="D91">
        <f>-573.027931729629 -196.315082065364 -210.225681437237</f>
        <v>-979.56869523222997</v>
      </c>
      <c r="E91">
        <f>-580.254703773605 -201.136360613571 -308.466164902977</f>
        <v>-1089.8572292901531</v>
      </c>
      <c r="F91">
        <f>-582.011327471087 -203.082605962392 -397.524348682416</f>
        <v>-1182.618282115895</v>
      </c>
      <c r="G91">
        <f>-578.594728725371 -202.624447775071 -486.554417738721</f>
        <v>-1267.773594239163</v>
      </c>
      <c r="H91">
        <f>-568.353487385009 -199.573656407474 -610.677944540844</f>
        <v>-1378.6050883333269</v>
      </c>
      <c r="I91">
        <f>-531.433580944713 -190.285490296137 -684.540425715794</f>
        <v>-1406.2594969566439</v>
      </c>
      <c r="J91">
        <f>-579.538546989757 -174.024164159554 -555.947269414234</f>
        <v>-1309.509980563545</v>
      </c>
      <c r="K91">
        <f>-618.067263345223 -43.4283672904371 -536.984470908029</f>
        <v>-1198.4801015436892</v>
      </c>
      <c r="L91">
        <f>-703.211071180162 -33.6695011766847 -255.476961279292</f>
        <v>-992.35753363613867</v>
      </c>
      <c r="M91">
        <f>-463.784704377993 -6.78058740061033 -257.156564434803</f>
        <v>-727.72185621340634</v>
      </c>
      <c r="N91">
        <f>-566.181706324386 -227.808203136156 -556.167278447229</f>
        <v>-1350.157187907771</v>
      </c>
      <c r="O91">
        <f>-544.980532616336 -360.973118151539 -529.43031514199</f>
        <v>-1435.3839659098649</v>
      </c>
      <c r="P91">
        <f>-591.378696092854 -426.484610946592 -246.328532107808</f>
        <v>-1264.1918391472541</v>
      </c>
      <c r="Q91">
        <f>-425.361084977341 -261.827337290691 -304.440494266286</f>
        <v>-991.62891653431802</v>
      </c>
      <c r="R91">
        <f>-584.581252168416 -92.1299338067624 -102.460239959705</f>
        <v>-779.17142593488347</v>
      </c>
      <c r="S91" t="s">
        <v>684</v>
      </c>
      <c r="T91" t="s">
        <v>685</v>
      </c>
      <c r="U91" t="s">
        <v>686</v>
      </c>
      <c r="V91">
        <f>-514.515157828234 -273.331041930776 -94.9404842310199</f>
        <v>-882.78668399002993</v>
      </c>
      <c r="W91" t="s">
        <v>687</v>
      </c>
      <c r="X91" t="s">
        <v>688</v>
      </c>
      <c r="Y91" t="s">
        <v>689</v>
      </c>
    </row>
    <row r="92" spans="1:25" x14ac:dyDescent="0.3">
      <c r="A92">
        <v>4550</v>
      </c>
      <c r="B92" t="s">
        <v>690</v>
      </c>
      <c r="C92">
        <f>-549.504403982731 -182.623972421661 -97.6422804379819</f>
        <v>-829.7706568423738</v>
      </c>
      <c r="D92">
        <f>-573.140633216377 -196.307346427049 -210.20470466844</f>
        <v>-979.65268431186587</v>
      </c>
      <c r="E92">
        <f>-580.38627770137 -201.141034412623 -308.443248293275</f>
        <v>-1089.9705604072678</v>
      </c>
      <c r="F92">
        <f>-582.155444658334 -203.102204633594 -397.500873793383</f>
        <v>-1182.758523085311</v>
      </c>
      <c r="G92">
        <f>-578.746812435556 -202.663142011145 -486.531420126338</f>
        <v>-1267.941374573039</v>
      </c>
      <c r="H92">
        <f>-568.512363812079 -199.643857333089 -610.656139687137</f>
        <v>-1378.8123608323051</v>
      </c>
      <c r="I92">
        <f>-531.621949936828 -190.479496898651 -684.548900854637</f>
        <v>-1406.6503476901162</v>
      </c>
      <c r="J92">
        <f>-579.687931517308 -174.078902721252 -555.930938766652</f>
        <v>-1309.6977730052122</v>
      </c>
      <c r="K92">
        <f>-618.208321124182 -43.4851834439357 -536.977421904851</f>
        <v>-1198.6709264729689</v>
      </c>
      <c r="L92">
        <f>-703.408626695013 -33.6953724126131 -255.487998161972</f>
        <v>-992.5919972695981</v>
      </c>
      <c r="M92">
        <f>-463.97693131928 -6.849849854892 -257.115656511229</f>
        <v>-727.94243768540105</v>
      </c>
      <c r="N92">
        <f>-566.344279777276 -227.866070914614 -556.139047707027</f>
        <v>-1350.3493983989169</v>
      </c>
      <c r="O92">
        <f>-545.183076196796 -361.036622896961 -529.382956048736</f>
        <v>-1435.6026551424929</v>
      </c>
      <c r="P92">
        <f>-591.579402420361 -426.446809729346 -246.257319184486</f>
        <v>-1264.283531334193</v>
      </c>
      <c r="Q92">
        <f>-425.464983235712 -261.929581174878 -304.489349326224</f>
        <v>-991.88391373681395</v>
      </c>
      <c r="R92">
        <f>-584.677451503251 -92.1836433506264 -102.431070025571</f>
        <v>-779.29216487944836</v>
      </c>
      <c r="S92" t="s">
        <v>691</v>
      </c>
      <c r="T92" t="s">
        <v>692</v>
      </c>
      <c r="U92" t="s">
        <v>693</v>
      </c>
      <c r="V92">
        <f>-514.564862253733 -273.21182079563 -94.9417800672946</f>
        <v>-882.71846311665774</v>
      </c>
      <c r="W92" t="s">
        <v>694</v>
      </c>
      <c r="X92" t="s">
        <v>695</v>
      </c>
      <c r="Y92" t="s">
        <v>696</v>
      </c>
    </row>
    <row r="93" spans="1:25" x14ac:dyDescent="0.3">
      <c r="A93">
        <v>4600</v>
      </c>
      <c r="B93" t="s">
        <v>697</v>
      </c>
      <c r="C93">
        <f>-549.823471842876 -182.556595752473 -97.6300271529199</f>
        <v>-830.01009474826878</v>
      </c>
      <c r="D93">
        <f>-573.551917966541 -196.247933235234 -210.172112600022</f>
        <v>-979.97196380179707</v>
      </c>
      <c r="E93">
        <f>-580.878852105032 -201.109694698743 -308.40309844902</f>
        <v>-1090.3916452527951</v>
      </c>
      <c r="F93">
        <f>-582.722235664167 -203.104953260069 -397.45852027701</f>
        <v>-1183.2857092012459</v>
      </c>
      <c r="G93">
        <f>-579.388319735814 -202.709280384137 -486.492116561666</f>
        <v>-1268.5897166816171</v>
      </c>
      <c r="H93">
        <f>-569.258336628713 -199.76054479228 -610.62710276778</f>
        <v>-1379.6459841887731</v>
      </c>
      <c r="I93">
        <f>-532.436321587262 -190.858591652225 -684.585965019779</f>
        <v>-1407.880878259266</v>
      </c>
      <c r="J93">
        <f>-580.37495456392 -174.161368094731 -555.905896765482</f>
        <v>-1310.4422194241329</v>
      </c>
      <c r="K93">
        <f>-618.865776041228 -43.5534587511888 -536.970742679363</f>
        <v>-1199.3899774717797</v>
      </c>
      <c r="L93">
        <f>-704.055748731155 -33.7276927507337 -255.479503204124</f>
        <v>-993.26294468601259</v>
      </c>
      <c r="M93">
        <f>-464.644683106961 -6.69183816846157 -256.988905964475</f>
        <v>-728.32542723989764</v>
      </c>
      <c r="N93">
        <f>-567.057053171068 -227.954923197696 -556.0969442745</f>
        <v>-1351.1089206432639</v>
      </c>
      <c r="O93">
        <f>-545.885599755922 -361.113983114263 -529.314367100245</f>
        <v>-1436.3139499704303</v>
      </c>
      <c r="P93">
        <f>-592.19045223717 -426.397673431386 -246.144553795781</f>
        <v>-1264.732679464337</v>
      </c>
      <c r="Q93">
        <f>-426.000531111656 -262.004396149022 -304.511206419108</f>
        <v>-992.51613367978598</v>
      </c>
      <c r="R93">
        <f>-585.065656682882 -91.9854999281858 -102.39301881407</f>
        <v>-779.44417542513793</v>
      </c>
      <c r="S93" t="s">
        <v>698</v>
      </c>
      <c r="T93" t="s">
        <v>699</v>
      </c>
      <c r="U93" t="s">
        <v>700</v>
      </c>
      <c r="V93">
        <f>-514.849595486815 -273.268943271797 -94.9352013616498</f>
        <v>-883.05374012026175</v>
      </c>
      <c r="W93" t="s">
        <v>701</v>
      </c>
      <c r="X93" t="s">
        <v>702</v>
      </c>
      <c r="Y93" t="s">
        <v>703</v>
      </c>
    </row>
    <row r="94" spans="1:25" x14ac:dyDescent="0.3">
      <c r="A94">
        <v>4650</v>
      </c>
      <c r="B94" t="s">
        <v>704</v>
      </c>
      <c r="C94">
        <f>-549.955015423956 -182.619083241068 -97.6336186386914</f>
        <v>-830.2077173037153</v>
      </c>
      <c r="D94">
        <f>-573.735043274522 -196.350821810687 -210.159903119253</f>
        <v>-980.24576820446191</v>
      </c>
      <c r="E94">
        <f>-581.114615422989 -201.236975757402 -308.38576620583</f>
        <v>-1090.737357386221</v>
      </c>
      <c r="F94">
        <f>-583.008204266858 -203.250836448786 -397.439712704601</f>
        <v>-1183.6987534202449</v>
      </c>
      <c r="G94">
        <f>-579.727075448028 -202.870287922948 -486.475249417411</f>
        <v>-1269.072612788387</v>
      </c>
      <c r="H94">
        <f>-569.672723720448 -199.938929638661 -610.616820968731</f>
        <v>-1380.2284743278399</v>
      </c>
      <c r="I94">
        <f>-532.899409837233 -191.160940582686 -684.614818280736</f>
        <v>-1408.6751687006549</v>
      </c>
      <c r="J94">
        <f>-580.755542904918 -174.331892083991 -555.892467176575</f>
        <v>-1310.979902165484</v>
      </c>
      <c r="K94">
        <f>-619.245712342522 -43.7236740758458 -536.957099047205</f>
        <v>-1199.9264854655728</v>
      </c>
      <c r="L94">
        <f>-704.385714645858 -33.9137801272352 -255.450112827114</f>
        <v>-993.74960760020724</v>
      </c>
      <c r="M94">
        <f>-464.994064907399 -6.70674640419952 -256.95580732045</f>
        <v>-728.65661863204855</v>
      </c>
      <c r="N94">
        <f>-567.438682688077 -228.125849279849 -556.084079394141</f>
        <v>-1351.6486113620672</v>
      </c>
      <c r="O94">
        <f>-546.2485283854 -361.283653702549 -529.307928839111</f>
        <v>-1436.8401109270599</v>
      </c>
      <c r="P94">
        <f>-592.456318341172 -426.574733706463 -246.123854835662</f>
        <v>-1265.1549068832971</v>
      </c>
      <c r="Q94">
        <f>-426.314395853798 -262.176627141672 -304.613328580806</f>
        <v>-993.10435157627603</v>
      </c>
      <c r="R94">
        <f>-585.212569867088 -92.094335411 -102.388771642462</f>
        <v>-779.69567692054989</v>
      </c>
      <c r="S94" t="s">
        <v>705</v>
      </c>
      <c r="T94" t="s">
        <v>706</v>
      </c>
      <c r="U94" t="s">
        <v>707</v>
      </c>
      <c r="V94">
        <f>-514.922808915027 -273.357713625982 -94.9317589248785</f>
        <v>-883.21228146588749</v>
      </c>
      <c r="W94" t="s">
        <v>708</v>
      </c>
      <c r="X94" t="s">
        <v>709</v>
      </c>
      <c r="Y94" t="s">
        <v>710</v>
      </c>
    </row>
    <row r="95" spans="1:25" x14ac:dyDescent="0.3">
      <c r="A95">
        <v>4700</v>
      </c>
      <c r="B95" t="s">
        <v>711</v>
      </c>
      <c r="C95">
        <f>-550.067248325267 -182.911056418703 -97.6152383637665</f>
        <v>-830.59354310773642</v>
      </c>
      <c r="D95">
        <f>-573.947791087737 -196.727786999681 -210.109788993525</f>
        <v>-980.78536708094293</v>
      </c>
      <c r="E95">
        <f>-581.427057251901 -201.675553229398 -308.325166280071</f>
        <v>-1091.4277767613701</v>
      </c>
      <c r="F95">
        <f>-583.41434253401 -203.741641881863 -397.375785604784</f>
        <v>-1184.5317700206569</v>
      </c>
      <c r="G95">
        <f>-580.230081562376 -203.410867236731 -486.415030743379</f>
        <v>-1270.0559795424861</v>
      </c>
      <c r="H95">
        <f>-570.313724085894 -200.547003271075 -610.569315190116</f>
        <v>-1381.4300425470851</v>
      </c>
      <c r="I95">
        <f>-533.672496763046 -191.990382276376 -684.65870334927</f>
        <v>-1410.3215823886921</v>
      </c>
      <c r="J95">
        <f>-581.33386425474 -174.909729539954 -555.846423516055</f>
        <v>-1312.0900173107489</v>
      </c>
      <c r="K95">
        <f>-619.81113405353 -44.3064369596193 -536.89159254374</f>
        <v>-1201.0091635568892</v>
      </c>
      <c r="L95">
        <f>-704.957320084397 -34.3433209529423 -255.391796172184</f>
        <v>-994.6924372095234</v>
      </c>
      <c r="M95">
        <f>-465.605779762149 -6.7909395943675 -256.989802289843</f>
        <v>-729.38652164635948</v>
      </c>
      <c r="N95">
        <f>-568.020949647357 -228.704737821241 -556.02394355281</f>
        <v>-1352.749631021408</v>
      </c>
      <c r="O95">
        <f>-546.801184534943 -361.871330069872 -529.306527012008</f>
        <v>-1437.979041616823</v>
      </c>
      <c r="P95">
        <f>-592.84176794048 -427.148973536301 -246.092335831332</f>
        <v>-1266.0830773081132</v>
      </c>
      <c r="Q95">
        <f>-426.940073852906 -262.610858865003 -304.869212820723</f>
        <v>-994.42014553863214</v>
      </c>
      <c r="R95">
        <f>-585.331344606766 -92.400218523713 -102.373427551464</f>
        <v>-780.10499068194304</v>
      </c>
      <c r="S95" t="s">
        <v>712</v>
      </c>
      <c r="T95" t="s">
        <v>713</v>
      </c>
      <c r="U95" t="s">
        <v>714</v>
      </c>
      <c r="V95">
        <f>-514.993632495094 -273.624864209029 -94.8951494962342</f>
        <v>-883.51364620035713</v>
      </c>
      <c r="W95" t="s">
        <v>715</v>
      </c>
      <c r="X95" t="s">
        <v>716</v>
      </c>
      <c r="Y95" t="s">
        <v>717</v>
      </c>
    </row>
    <row r="96" spans="1:25" x14ac:dyDescent="0.3">
      <c r="A96">
        <v>4750</v>
      </c>
      <c r="B96" t="s">
        <v>718</v>
      </c>
      <c r="C96">
        <f>-550.063216195709 -182.97658277815 -97.600278595282</f>
        <v>-830.640077569141</v>
      </c>
      <c r="D96">
        <f>-573.975643274102 -196.827974245995 -210.083888644072</f>
        <v>-980.88750616416905</v>
      </c>
      <c r="E96">
        <f>-581.507203932767 -201.811557052821 -308.293265378345</f>
        <v>-1091.612026363933</v>
      </c>
      <c r="F96">
        <f>-583.551541215935 -203.913095912601 -397.341881015009</f>
        <v>-1184.806518143545</v>
      </c>
      <c r="G96">
        <f>-580.433624793553 -203.620771341512 -486.383733955032</f>
        <v>-1270.438130090097</v>
      </c>
      <c r="H96">
        <f>-570.619567085338 -200.813656572718 -610.547353616692</f>
        <v>-1381.9805772747482</v>
      </c>
      <c r="I96">
        <f>-534.067686462306 -192.342473239966 -684.690669739695</f>
        <v>-1411.1008294419671</v>
      </c>
      <c r="J96">
        <f>-581.592381066712 -175.150767040394 -555.826863156357</f>
        <v>-1312.5700112634631</v>
      </c>
      <c r="K96">
        <f>-620.063459178189 -44.5397449855229 -536.871826324683</f>
        <v>-1201.4750304883949</v>
      </c>
      <c r="L96">
        <f>-705.233414084675 -34.5211127805655 -255.381351726025</f>
        <v>-995.13587859126551</v>
      </c>
      <c r="M96">
        <f>-465.902441874855 -6.79061156352304 -256.981765630034</f>
        <v>-729.67481906841203</v>
      </c>
      <c r="N96">
        <f>-568.284077479983 -228.947031523505 -555.991240203111</f>
        <v>-1353.2223492065991</v>
      </c>
      <c r="O96">
        <f>-547.040371521155 -362.110930016839 -529.26702856234</f>
        <v>-1438.4183301003341</v>
      </c>
      <c r="P96">
        <f>-593.006618555766 -427.349802111935 -246.031945141719</f>
        <v>-1266.3883658094201</v>
      </c>
      <c r="Q96">
        <f>-427.175945785839 -262.781503659867 -304.924004691978</f>
        <v>-994.88145413768405</v>
      </c>
      <c r="R96">
        <f>-585.334843276838 -92.4597111517294 -102.367271159469</f>
        <v>-780.16182558803644</v>
      </c>
      <c r="S96" t="s">
        <v>719</v>
      </c>
      <c r="T96" t="s">
        <v>720</v>
      </c>
      <c r="U96" t="s">
        <v>721</v>
      </c>
      <c r="V96">
        <f>-515.008002021967 -273.633234309588 -94.8730002633175</f>
        <v>-883.51423659487239</v>
      </c>
      <c r="W96" t="s">
        <v>722</v>
      </c>
      <c r="X96" t="s">
        <v>723</v>
      </c>
      <c r="Y96" t="s">
        <v>724</v>
      </c>
    </row>
    <row r="97" spans="1:25" x14ac:dyDescent="0.3">
      <c r="A97">
        <v>4800</v>
      </c>
      <c r="B97" t="s">
        <v>725</v>
      </c>
      <c r="C97">
        <f>-550.07129669164 -183.136633796791 -97.5725080805071</f>
        <v>-830.78043856893805</v>
      </c>
      <c r="D97">
        <f>-574.05356122454 -197.037002445641 -210.035132469844</f>
        <v>-981.12569614002496</v>
      </c>
      <c r="E97">
        <f>-581.729316476725 -202.087682158477 -308.230135290946</f>
        <v>-1092.047133926148</v>
      </c>
      <c r="F97">
        <f>-583.938166469728 -204.2590553048 -397.272885991658</f>
        <v>-1185.4701077661859</v>
      </c>
      <c r="G97">
        <f>-581.018315644985 -204.044965434345 -486.321669516427</f>
        <v>-1271.3849505957569</v>
      </c>
      <c r="H97">
        <f>-571.515740762107 -201.355569245992 -610.512217751477</f>
        <v>-1383.3835277595761</v>
      </c>
      <c r="I97">
        <f>-535.177217872732 -192.961852685901 -684.769101737288</f>
        <v>-1412.9081722959208</v>
      </c>
      <c r="J97">
        <f>-582.353394741787 -175.641500127902 -555.788902479905</f>
        <v>-1313.7837973495939</v>
      </c>
      <c r="K97">
        <f>-620.812009977293 -45.0227105026165 -536.871267284395</f>
        <v>-1202.7059877643046</v>
      </c>
      <c r="L97">
        <f>-706.01451047371 -35.1039539232504 -255.386991770437</f>
        <v>-996.50545616739737</v>
      </c>
      <c r="M97">
        <f>-466.722277501061 -7.04129062860579 -256.98878486772</f>
        <v>-730.75235299738688</v>
      </c>
      <c r="N97">
        <f>-569.041336181761 -229.436778739161 -555.935229809361</f>
        <v>-1354.4133447302829</v>
      </c>
      <c r="O97">
        <f>-547.724192740835 -362.582034704873 -529.188992223954</f>
        <v>-1439.4952196696618</v>
      </c>
      <c r="P97">
        <f>-593.53954941771 -427.59237262613 -245.876667694432</f>
        <v>-1267.0085897382719</v>
      </c>
      <c r="Q97">
        <f>-427.740884360973 -263.040234458521 -304.904423749121</f>
        <v>-995.68554256861489</v>
      </c>
      <c r="R97">
        <f>-585.350858455784 -92.6511295761629 -102.357395719241</f>
        <v>-780.35938375118792</v>
      </c>
      <c r="S97" t="s">
        <v>726</v>
      </c>
      <c r="T97" t="s">
        <v>727</v>
      </c>
      <c r="U97" t="s">
        <v>728</v>
      </c>
      <c r="V97">
        <f>-515.044438270951 -273.798486939279 -94.8478384707674</f>
        <v>-883.69076368099741</v>
      </c>
      <c r="W97" t="s">
        <v>729</v>
      </c>
      <c r="X97" t="s">
        <v>730</v>
      </c>
      <c r="Y97" t="s">
        <v>731</v>
      </c>
    </row>
    <row r="98" spans="1:25" x14ac:dyDescent="0.3">
      <c r="A98">
        <v>4850</v>
      </c>
      <c r="B98" t="s">
        <v>732</v>
      </c>
      <c r="C98">
        <f>-550.067186372984 -183.280199934285 -97.5610218919516</f>
        <v>-830.90840819922062</v>
      </c>
      <c r="D98">
        <f>-574.096174832127 -197.209861649197 -210.010118947031</f>
        <v>-981.31615542835493</v>
      </c>
      <c r="E98">
        <f>-581.851777715656 -202.29646742724 -308.196689594187</f>
        <v>-1092.3449347370829</v>
      </c>
      <c r="F98">
        <f>-584.148910244111 -204.504056396213 -397.236571006501</f>
        <v>-1185.8895376468249</v>
      </c>
      <c r="G98">
        <f>-581.333342839719 -204.329415254648 -486.288811535965</f>
        <v>-1271.951569630332</v>
      </c>
      <c r="H98">
        <f>-571.993094626479 -201.697847952342 -610.492802378681</f>
        <v>-1384.1837449575019</v>
      </c>
      <c r="I98">
        <f>-535.753834828761 -193.315553713028 -684.799454369512</f>
        <v>-1413.868842911301</v>
      </c>
      <c r="J98">
        <f>-582.767537801388 -175.960141175846 -555.767996556195</f>
        <v>-1314.4956755334292</v>
      </c>
      <c r="K98">
        <f>-621.240180161706 -45.3424201283694 -536.855587646293</f>
        <v>-1203.4381879363684</v>
      </c>
      <c r="L98">
        <f>-706.42950031624 -35.3497206560048 -255.370156722891</f>
        <v>-997.14937769513585</v>
      </c>
      <c r="M98">
        <f>-467.149985271033 -7.17502894812696 -256.917548227276</f>
        <v>-731.24256244643595</v>
      </c>
      <c r="N98">
        <f>-569.438951522275 -229.751432801035 -555.905468605866</f>
        <v>-1355.0958529291761</v>
      </c>
      <c r="O98">
        <f>-548.059341798552 -362.882232234407 -529.159567402257</f>
        <v>-1440.1011414352161</v>
      </c>
      <c r="P98">
        <f>-593.776617947392 -427.79464266572 -245.809075458471</f>
        <v>-1267.3803360715829</v>
      </c>
      <c r="Q98">
        <f>-428.004721609045 -263.257750980744 -304.953917490499</f>
        <v>-996.21639008028797</v>
      </c>
      <c r="R98">
        <f>-585.368253516388 -92.8263770386152 -102.353548255282</f>
        <v>-780.54817881028521</v>
      </c>
      <c r="S98" t="s">
        <v>733</v>
      </c>
      <c r="T98" t="s">
        <v>734</v>
      </c>
      <c r="U98" t="s">
        <v>735</v>
      </c>
      <c r="V98">
        <f>-515.030927807908 -273.935381337786 -94.8361105314813</f>
        <v>-883.80241967717529</v>
      </c>
      <c r="W98" t="s">
        <v>736</v>
      </c>
      <c r="X98" t="s">
        <v>737</v>
      </c>
      <c r="Y98" t="s">
        <v>738</v>
      </c>
    </row>
    <row r="99" spans="1:25" x14ac:dyDescent="0.3">
      <c r="A99">
        <v>4900</v>
      </c>
      <c r="B99" t="s">
        <v>739</v>
      </c>
      <c r="C99">
        <f>-550.030868799586 -183.581927577006 -97.5420960587708</f>
        <v>-831.15489243536274</v>
      </c>
      <c r="D99">
        <f>-574.200713771894 -197.599138436931 -209.950045426867</f>
        <v>-981.74989763569215</v>
      </c>
      <c r="E99">
        <f>-582.134082451094 -202.748282904265 -308.119347658555</f>
        <v>-1093.001713013914</v>
      </c>
      <c r="F99">
        <f>-584.614068566117 -205.006917963687 -397.153059739373</f>
        <v>-1186.774046269177</v>
      </c>
      <c r="G99">
        <f>-582.003046393476 -204.876579392802 -486.211488804522</f>
        <v>-1273.0911145907999</v>
      </c>
      <c r="H99">
        <f>-572.970580187461 -202.299321675158 -610.439442605853</f>
        <v>-1385.709344468472</v>
      </c>
      <c r="I99">
        <f>-536.884452980041 -193.934215118697 -684.822552094995</f>
        <v>-1415.641220193733</v>
      </c>
      <c r="J99">
        <f>-583.634405149603 -176.544002515637 -555.701215747083</f>
        <v>-1315.8796234123229</v>
      </c>
      <c r="K99">
        <f>-622.141149899064 -45.941371848568 -536.801419840101</f>
        <v>-1204.8839415877328</v>
      </c>
      <c r="L99">
        <f>-707.354527620625 -35.8275235645087 -255.327391563559</f>
        <v>-998.50944274869278</v>
      </c>
      <c r="M99">
        <f>-468.098619049772 -7.45039783398192 -256.821719277999</f>
        <v>-732.37073616175303</v>
      </c>
      <c r="N99">
        <f>-570.256372636965 -230.322866817346 -555.844262202752</f>
        <v>-1356.4235016570631</v>
      </c>
      <c r="O99">
        <f>-548.691158055313 -363.436600669611 -529.129210608727</f>
        <v>-1441.2569693336509</v>
      </c>
      <c r="P99">
        <f>-594.013708928737 -428.368610297655 -245.719701639041</f>
        <v>-1268.1020208654329</v>
      </c>
      <c r="Q99">
        <f>-428.50110267559 -263.58207058687 -304.896032978597</f>
        <v>-996.979206241057</v>
      </c>
      <c r="R99">
        <f>-585.410406858331 -93.1312290705614 -102.333270354425</f>
        <v>-780.87490628331739</v>
      </c>
      <c r="S99" t="s">
        <v>740</v>
      </c>
      <c r="T99" t="s">
        <v>741</v>
      </c>
      <c r="U99" t="s">
        <v>742</v>
      </c>
      <c r="V99">
        <f>-514.885497049353 -274.167520109153 -94.8157929659586</f>
        <v>-883.86881012446463</v>
      </c>
      <c r="W99" t="s">
        <v>743</v>
      </c>
      <c r="X99" t="s">
        <v>744</v>
      </c>
      <c r="Y99" t="s">
        <v>745</v>
      </c>
    </row>
    <row r="100" spans="1:25" x14ac:dyDescent="0.3">
      <c r="A100">
        <v>4950</v>
      </c>
      <c r="B100" t="s">
        <v>746</v>
      </c>
      <c r="C100">
        <f>-549.985870530676 -183.739138787689 -97.5293229576324</f>
        <v>-831.2543322759974</v>
      </c>
      <c r="D100">
        <f>-574.212447020921 -197.793382193692 -209.920457287542</f>
        <v>-981.92628650215499</v>
      </c>
      <c r="E100">
        <f>-582.225515263051 -202.963395599639 -308.082188821484</f>
        <v>-1093.2710996841738</v>
      </c>
      <c r="F100">
        <f>-584.789389993421 -205.236717360126 -397.112977634778</f>
        <v>-1187.1390849883251</v>
      </c>
      <c r="G100">
        <f>-582.274071856352 -205.115868130717 -486.174306509287</f>
        <v>-1273.564246496356</v>
      </c>
      <c r="H100">
        <f>-573.387237103235 -202.546489803161 -610.412862783928</f>
        <v>-1386.346589690324</v>
      </c>
      <c r="I100">
        <f>-537.361151486793 -194.1864923233 -684.825761010819</f>
        <v>-1416.3734048209119</v>
      </c>
      <c r="J100">
        <f>-584.000652922864 -176.791057800338 -555.665037252557</f>
        <v>-1316.4567479757588</v>
      </c>
      <c r="K100">
        <f>-622.550112566365 -46.1919128116499 -536.784434485187</f>
        <v>-1205.526459863202</v>
      </c>
      <c r="L100">
        <f>-707.757809254356 -36.1199082265937 -255.307261778998</f>
        <v>-999.18497925994757</v>
      </c>
      <c r="M100">
        <f>-468.519466716555 -7.59352625951124 -256.763199953891</f>
        <v>-732.87619292995714</v>
      </c>
      <c r="N100">
        <f>-570.595255329667 -230.563136607495 -555.818246966649</f>
        <v>-1356.9766389038109</v>
      </c>
      <c r="O100">
        <f>-548.922732831949 -363.666905751604 -529.133823730444</f>
        <v>-1441.7234623139971</v>
      </c>
      <c r="P100">
        <f>-594.043773118454 -428.676752639347 -245.710029056767</f>
        <v>-1268.430554814568</v>
      </c>
      <c r="Q100">
        <f>-428.722013688958 -263.714231112832 -304.929683592996</f>
        <v>-997.36592839478612</v>
      </c>
      <c r="R100">
        <f>-585.392659037015 -93.347703883446 -102.31687648819</f>
        <v>-781.05723940865107</v>
      </c>
      <c r="S100" t="s">
        <v>747</v>
      </c>
      <c r="T100" t="s">
        <v>748</v>
      </c>
      <c r="U100" t="s">
        <v>749</v>
      </c>
      <c r="V100">
        <f>-514.809155563057 -274.29010737107 -94.8040439628495</f>
        <v>-883.90330689697646</v>
      </c>
      <c r="W100" t="s">
        <v>750</v>
      </c>
      <c r="X100" t="s">
        <v>751</v>
      </c>
      <c r="Y100" t="s">
        <v>752</v>
      </c>
    </row>
    <row r="101" spans="1:25" x14ac:dyDescent="0.3">
      <c r="A101">
        <v>5000</v>
      </c>
      <c r="B101" t="s">
        <v>753</v>
      </c>
      <c r="C101">
        <f>-549.95135001423 -184.019791556067 -97.51811859397</f>
        <v>-831.48926016426708</v>
      </c>
      <c r="D101">
        <f>-574.289639151189 -198.159045002107 -209.874500461421</f>
        <v>-982.32318461471698</v>
      </c>
      <c r="E101">
        <f>-582.450361965207 -203.383270543625 -308.021196459535</f>
        <v>-1093.854828968367</v>
      </c>
      <c r="F101">
        <f>-585.16759038098 -205.697365819125 -397.046486611464</f>
        <v>-1187.911442811569</v>
      </c>
      <c r="G101">
        <f>-582.825511635623 -205.607966614326 -486.112479336525</f>
        <v>-1274.5459575864738</v>
      </c>
      <c r="H101">
        <f>-574.200417712248 -203.072595897932 -610.370138652593</f>
        <v>-1387.6431522627731</v>
      </c>
      <c r="I101">
        <f>-538.303412835219 -194.716109374912 -684.845762586771</f>
        <v>-1417.865284796902</v>
      </c>
      <c r="J101">
        <f>-584.725659035308 -177.308962014866 -555.609099926298</f>
        <v>-1317.643720976472</v>
      </c>
      <c r="K101">
        <f>-623.334061130927 -46.727339625935 -536.746169689404</f>
        <v>-1206.807570446266</v>
      </c>
      <c r="L101">
        <f>-708.543764812123 -36.8442147674903 -255.262849709078</f>
        <v>-1000.6508292886913</v>
      </c>
      <c r="M101">
        <f>-469.339683067534 -8.02978333402666 -256.675139280623</f>
        <v>-734.0446056821836</v>
      </c>
      <c r="N101">
        <f>-571.266054746467 -231.067607341927 -555.771862567168</f>
        <v>-1358.105524655562</v>
      </c>
      <c r="O101">
        <f>-549.385601515211 -364.148534513915 -529.151954627044</f>
        <v>-1442.6860906561701</v>
      </c>
      <c r="P101">
        <f>-594.124463378608 -429.261905631821 -245.691458489348</f>
        <v>-1269.077827499777</v>
      </c>
      <c r="Q101">
        <f>-429.189137788558 -263.959144299164 -305.039093536767</f>
        <v>-998.18737562448905</v>
      </c>
      <c r="R101">
        <f>-585.448743761052 -93.588337516115 -102.306110003098</f>
        <v>-781.34319128026493</v>
      </c>
      <c r="S101" t="s">
        <v>754</v>
      </c>
      <c r="T101" t="s">
        <v>755</v>
      </c>
      <c r="U101" t="s">
        <v>756</v>
      </c>
      <c r="V101">
        <f>-514.710817248709 -274.636407136048 -94.773673615487</f>
        <v>-884.12089800024398</v>
      </c>
      <c r="W101" t="s">
        <v>757</v>
      </c>
      <c r="X101" t="s">
        <v>758</v>
      </c>
      <c r="Y101" t="s">
        <v>759</v>
      </c>
    </row>
    <row r="102" spans="1:25" x14ac:dyDescent="0.3">
      <c r="A102">
        <v>5050</v>
      </c>
      <c r="B102" t="s">
        <v>760</v>
      </c>
      <c r="C102">
        <f>-549.924364147491 -184.246614676163 -97.5138297470899</f>
        <v>-831.68480857074383</v>
      </c>
      <c r="D102">
        <f>-574.293717779022 -198.427330514304 -209.858156191141</f>
        <v>-982.57920448446703</v>
      </c>
      <c r="E102">
        <f>-582.523421118512 -203.670578286113 -307.998067666956</f>
        <v>-1094.1920670715811</v>
      </c>
      <c r="F102">
        <f>-585.319910959729 -205.994800747072 -397.020707544686</f>
        <v>-1188.3354192514869</v>
      </c>
      <c r="G102">
        <f>-583.073232605722 -205.908404244538 -486.089158136572</f>
        <v>-1275.070794986832</v>
      </c>
      <c r="H102">
        <f>-574.598291423905 -203.368670087423 -610.357194271952</f>
        <v>-1388.32415578328</v>
      </c>
      <c r="I102">
        <f>-538.769274334504 -195.001932836898 -684.864170424685</f>
        <v>-1418.635377596087</v>
      </c>
      <c r="J102">
        <f>-585.072397243195 -177.610805712191 -555.583628486093</f>
        <v>-1318.2668314414791</v>
      </c>
      <c r="K102">
        <f>-623.705991703174 -47.0376506291789 -536.710203310664</f>
        <v>-1207.4538456430168</v>
      </c>
      <c r="L102">
        <f>-708.852816679349 -37.3074373561594 -255.202377501099</f>
        <v>-1001.3626315366074</v>
      </c>
      <c r="M102">
        <f>-469.658472404468 -8.41474083869775 -256.659856118453</f>
        <v>-734.73306936161873</v>
      </c>
      <c r="N102">
        <f>-571.582948589464 -231.361843812554 -555.762159230174</f>
        <v>-1358.7069516321922</v>
      </c>
      <c r="O102">
        <f>-549.578801807035 -364.426999424751 -529.174082685287</f>
        <v>-1443.1798839170729</v>
      </c>
      <c r="P102">
        <f>-594.11513558114 -429.537774727441 -245.680895692955</f>
        <v>-1269.3338060015358</v>
      </c>
      <c r="Q102">
        <f>-429.349906779873 -264.081143852135 -305.07265009113</f>
        <v>-998.50370072313808</v>
      </c>
      <c r="R102">
        <f>-585.433547439483 -93.8610831655581 -102.309818260401</f>
        <v>-781.60444886544212</v>
      </c>
      <c r="S102" t="s">
        <v>761</v>
      </c>
      <c r="T102" t="s">
        <v>762</v>
      </c>
      <c r="U102" t="s">
        <v>763</v>
      </c>
      <c r="V102">
        <f>-514.654994802422 -274.833125179577 -94.7654458976542</f>
        <v>-884.25356587965325</v>
      </c>
      <c r="W102" t="s">
        <v>764</v>
      </c>
      <c r="X102" t="s">
        <v>765</v>
      </c>
      <c r="Y102" t="s">
        <v>766</v>
      </c>
    </row>
    <row r="103" spans="1:25" x14ac:dyDescent="0.3">
      <c r="A103">
        <v>5100</v>
      </c>
      <c r="B103" t="s">
        <v>767</v>
      </c>
      <c r="C103">
        <f>-549.825657434198 -184.602614443409 -97.5174461985449</f>
        <v>-831.94571807615193</v>
      </c>
      <c r="D103">
        <f>-574.254781604747 -198.858193255121 -209.839346095804</f>
        <v>-982.95232095567201</v>
      </c>
      <c r="E103">
        <f>-582.655465111903 -204.139156698475 -307.962832247456</f>
        <v>-1094.7574540578339</v>
      </c>
      <c r="F103">
        <f>-585.653608897145 -206.487100448653 -396.978213290849</f>
        <v>-1189.1189226366469</v>
      </c>
      <c r="G103">
        <f>-583.654469410834 -206.412694443109 -486.052505466673</f>
        <v>-1276.1196693206161</v>
      </c>
      <c r="H103">
        <f>-575.572986627212 -203.876754636212 -610.346898162881</f>
        <v>-1389.7966394263049</v>
      </c>
      <c r="I103">
        <f>-539.900552637168 -195.529461581162 -684.93125578856</f>
        <v>-1420.3612700068898</v>
      </c>
      <c r="J103">
        <f>-585.911666228528 -178.126887846106 -555.543902903976</f>
        <v>-1319.58245697861</v>
      </c>
      <c r="K103">
        <f>-624.571430024136 -47.5770048094305 -536.587133808578</f>
        <v>-1208.7355686421445</v>
      </c>
      <c r="L103">
        <f>-709.359289771231 -37.9489627274054 -254.96778665679</f>
        <v>-1002.2760391554264</v>
      </c>
      <c r="M103">
        <f>-470.149713651562 -9.1874897020457 -256.542698136808</f>
        <v>-735.8799014904157</v>
      </c>
      <c r="N103">
        <f>-572.346651091296 -231.858532819827 -555.75816992681</f>
        <v>-1359.963353837933</v>
      </c>
      <c r="O103">
        <f>-550.043503597431 -364.893923397197 -529.256775794552</f>
        <v>-1444.1942027891801</v>
      </c>
      <c r="P103">
        <f>-594.06443563375 -430.142074003774 -245.714832561072</f>
        <v>-1269.921342198596</v>
      </c>
      <c r="Q103">
        <f>-429.756584874905 -264.237488540822 -305.124388473054</f>
        <v>-999.11846188878098</v>
      </c>
      <c r="R103">
        <f>-585.506720699751 -94.2853188240015 -102.316392771561</f>
        <v>-782.10843229531349</v>
      </c>
      <c r="S103" t="s">
        <v>768</v>
      </c>
      <c r="T103" t="s">
        <v>769</v>
      </c>
      <c r="U103" t="s">
        <v>770</v>
      </c>
      <c r="V103">
        <f>-514.367895981189 -275.054903559017 -94.7698193803841</f>
        <v>-884.19261892059012</v>
      </c>
      <c r="W103" t="s">
        <v>771</v>
      </c>
      <c r="X103" t="s">
        <v>772</v>
      </c>
      <c r="Y103" t="s">
        <v>773</v>
      </c>
    </row>
    <row r="104" spans="1:25" x14ac:dyDescent="0.3">
      <c r="A104">
        <v>5150</v>
      </c>
      <c r="B104" t="s">
        <v>774</v>
      </c>
      <c r="C104">
        <f>-549.747865136991 -184.819693064487 -97.517614162221</f>
        <v>-832.08517236369903</v>
      </c>
      <c r="D104">
        <f>-574.221952785396 -199.1167288723 -209.824529479691</f>
        <v>-983.16321113738695</v>
      </c>
      <c r="E104">
        <f>-582.714737238382 -204.421562685935 -307.93871651537</f>
        <v>-1095.075016439687</v>
      </c>
      <c r="F104">
        <f>-585.816580915022 -206.786221967973 -396.950065964418</f>
        <v>-1189.552868847413</v>
      </c>
      <c r="G104">
        <f>-583.941865285005 -206.723695029943 -486.027173518642</f>
        <v>-1276.69273383359</v>
      </c>
      <c r="H104">
        <f>-576.054869368865 -204.198633742642 -610.334053778237</f>
        <v>-1390.5875568897441</v>
      </c>
      <c r="I104">
        <f>-540.457551893512 -195.886881959305 -684.9582933172</f>
        <v>-1421.3027271700171</v>
      </c>
      <c r="J104">
        <f>-586.327746175826 -178.44902214273 -555.518812044454</f>
        <v>-1320.2955803630098</v>
      </c>
      <c r="K104">
        <f>-625.035643665243 -47.9146661370546 -536.517707308364</f>
        <v>-1209.4680171106615</v>
      </c>
      <c r="L104">
        <f>-709.593864120882 -38.3229469681219 -254.827912564416</f>
        <v>-1002.7447236534199</v>
      </c>
      <c r="M104">
        <f>-470.379982449509 -9.60748442718409 -256.567040200527</f>
        <v>-736.55450707722002</v>
      </c>
      <c r="N104">
        <f>-572.723246871943 -232.170657415299 -555.746799035598</f>
        <v>-1360.6407033228402</v>
      </c>
      <c r="O104">
        <f>-550.266454942791 -365.189436163882 -529.306405036107</f>
        <v>-1444.7622961427801</v>
      </c>
      <c r="P104">
        <f>-593.991765995803 -430.542468836336 -245.742785470801</f>
        <v>-1270.2770203029399</v>
      </c>
      <c r="Q104">
        <f>-429.921206241343 -264.403111267266 -305.151736050438</f>
        <v>-999.47605355904705</v>
      </c>
      <c r="R104">
        <f>-585.508501332573 -94.5197754302192 -102.319770535643</f>
        <v>-782.34804729843518</v>
      </c>
      <c r="S104" t="s">
        <v>775</v>
      </c>
      <c r="T104" t="s">
        <v>776</v>
      </c>
      <c r="U104" t="s">
        <v>777</v>
      </c>
      <c r="V104">
        <f>-514.222086755491 -275.306493611098 -94.7678560892356</f>
        <v>-884.29643645582462</v>
      </c>
      <c r="W104" t="s">
        <v>778</v>
      </c>
      <c r="X104" t="s">
        <v>779</v>
      </c>
      <c r="Y104" t="s">
        <v>780</v>
      </c>
    </row>
    <row r="105" spans="1:25" x14ac:dyDescent="0.3">
      <c r="A105">
        <v>5200</v>
      </c>
      <c r="B105" t="s">
        <v>781</v>
      </c>
      <c r="C105">
        <f>-549.564648789317 -185.281303891385 -97.5226439306831</f>
        <v>-832.36859661138499</v>
      </c>
      <c r="D105">
        <f>-574.134396502888 -199.680326872683 -209.795625249781</f>
        <v>-983.610348625352</v>
      </c>
      <c r="E105">
        <f>-582.77307922389 -205.004725489821 -307.895928299391</f>
        <v>-1095.673733013102</v>
      </c>
      <c r="F105">
        <f>-586.030638460311 -207.360712912975 -396.902048359898</f>
        <v>-1190.2933997331841</v>
      </c>
      <c r="G105">
        <f>-584.334158306435 -207.261843106321 -485.982612177717</f>
        <v>-1277.5786135904732</v>
      </c>
      <c r="H105">
        <f>-576.718856128166 -204.657018613294 -610.304916038192</f>
        <v>-1391.6807907796519</v>
      </c>
      <c r="I105">
        <f>-541.245709937167 -196.349796668232 -684.988729068539</f>
        <v>-1422.5842356739381</v>
      </c>
      <c r="J105">
        <f>-586.910756897399 -178.952205266095 -555.453289662153</f>
        <v>-1321.316251825647</v>
      </c>
      <c r="K105">
        <f>-625.653413994966 -48.446583882863 -536.36681913207</f>
        <v>-1210.4668170098989</v>
      </c>
      <c r="L105">
        <f>-709.843500970602 -39.0021630447809 -254.5619115876</f>
        <v>-1003.4075756029829</v>
      </c>
      <c r="M105">
        <f>-470.629913705705 -10.3042426623913 -256.605076141709</f>
        <v>-737.53923250980529</v>
      </c>
      <c r="N105">
        <f>-573.229210366454 -232.65414486237 -555.740408660163</f>
        <v>-1361.623763888987</v>
      </c>
      <c r="O105">
        <f>-550.506726808091 -365.661815804074 -529.458264221484</f>
        <v>-1445.626806833649</v>
      </c>
      <c r="P105">
        <f>-593.684313706035 -431.245385171699 -245.863926007254</f>
        <v>-1270.7936248849883</v>
      </c>
      <c r="Q105">
        <f>-430.068692389 -264.676115247959 -305.323678352219</f>
        <v>-1000.068485989178</v>
      </c>
      <c r="R105">
        <f>-585.4883026126 -94.9798783041713 -102.325494296719</f>
        <v>-782.79367521349036</v>
      </c>
      <c r="S105" t="s">
        <v>782</v>
      </c>
      <c r="T105" t="s">
        <v>783</v>
      </c>
      <c r="U105" t="s">
        <v>784</v>
      </c>
      <c r="V105">
        <f>-513.890508762953 -275.789169368136 -94.7693085117731</f>
        <v>-884.44898664286222</v>
      </c>
      <c r="W105" t="s">
        <v>785</v>
      </c>
      <c r="X105" t="s">
        <v>786</v>
      </c>
      <c r="Y105" t="s">
        <v>787</v>
      </c>
    </row>
    <row r="106" spans="1:25" x14ac:dyDescent="0.3">
      <c r="A106">
        <v>5250</v>
      </c>
      <c r="B106" t="s">
        <v>788</v>
      </c>
      <c r="C106">
        <f>-549.529673924058 -185.46667444302 -97.5302759487138</f>
        <v>-832.52662431579176</v>
      </c>
      <c r="D106">
        <f>-574.143343388079 -199.887571562839 -209.790864229028</f>
        <v>-983.82177917994602</v>
      </c>
      <c r="E106">
        <f>-582.85071586582 -205.214593796849 -307.885037605177</f>
        <v>-1095.9503472678462</v>
      </c>
      <c r="F106">
        <f>-586.182470326989 -207.565873867598 -396.888435655108</f>
        <v>-1190.6367798496949</v>
      </c>
      <c r="G106">
        <f>-584.57199728156 -207.455096418578 -485.970683384853</f>
        <v>-1277.997777084991</v>
      </c>
      <c r="H106">
        <f>-577.088889572315 -204.825907678689 -610.300447856776</f>
        <v>-1392.21524510778</v>
      </c>
      <c r="I106">
        <f>-541.679052033938 -196.49036887109 -685.011086031802</f>
        <v>-1423.1805069368302</v>
      </c>
      <c r="J106">
        <f>-587.238995336015 -179.136171707134 -555.434030279189</f>
        <v>-1321.8091973223382</v>
      </c>
      <c r="K106">
        <f>-625.991017908165 -48.633743166833 -536.319785972257</f>
        <v>-1210.9445470472551</v>
      </c>
      <c r="L106">
        <f>-710.053537023694 -39.2394398804893 -254.474982535986</f>
        <v>-1003.7679594401693</v>
      </c>
      <c r="M106">
        <f>-470.850825062938 -10.4528975216879 -256.543755863995</f>
        <v>-737.8474784486209</v>
      </c>
      <c r="N106">
        <f>-573.524799943087 -232.829633575806 -555.744000953401</f>
        <v>-1362.0984344722942</v>
      </c>
      <c r="O106">
        <f>-550.679155546055 -365.83157118442 -529.543029790928</f>
        <v>-1446.0537565214031</v>
      </c>
      <c r="P106">
        <f>-593.649062766603 -431.547671062794 -245.947947992153</f>
        <v>-1271.14468182155</v>
      </c>
      <c r="Q106">
        <f>-430.298533870822 -264.717527882262 -305.40529456711</f>
        <v>-1000.4213563201939</v>
      </c>
      <c r="R106">
        <f>-585.495553520768 -95.1538409282268 -102.327042087856</f>
        <v>-782.97643653685077</v>
      </c>
      <c r="S106" t="s">
        <v>789</v>
      </c>
      <c r="T106" t="s">
        <v>790</v>
      </c>
      <c r="U106" t="s">
        <v>791</v>
      </c>
      <c r="V106">
        <f>-513.835063726874 -275.941014498015 -94.7729149951183</f>
        <v>-884.54899322000733</v>
      </c>
      <c r="W106" t="s">
        <v>792</v>
      </c>
      <c r="X106" t="s">
        <v>793</v>
      </c>
      <c r="Y106" t="s">
        <v>794</v>
      </c>
    </row>
    <row r="107" spans="1:25" x14ac:dyDescent="0.3">
      <c r="A107">
        <v>5300</v>
      </c>
      <c r="B107" t="s">
        <v>795</v>
      </c>
      <c r="C107">
        <f>-549.446438024313 -185.743942791522 -97.5302643917285</f>
        <v>-832.72064520756339</v>
      </c>
      <c r="D107">
        <f>-574.101210662625 -200.163894204778 -209.781803189569</f>
        <v>-984.04690805697203</v>
      </c>
      <c r="E107">
        <f>-582.940313614303 -205.50470167548 -307.863461816435</f>
        <v>-1096.3084771062181</v>
      </c>
      <c r="F107">
        <f>-586.430340351237 -207.872915914371 -396.860427315571</f>
        <v>-1191.1636835811789</v>
      </c>
      <c r="G107">
        <f>-585.018089525758 -207.781342783838 -485.9459096105</f>
        <v>-1278.7453419200961</v>
      </c>
      <c r="H107">
        <f>-577.853315766667 -205.179995369559 -610.2951494134</f>
        <v>-1393.3284605496269</v>
      </c>
      <c r="I107">
        <f>-542.54630336934 -196.750629131634 -685.043949671999</f>
        <v>-1424.3408821729731</v>
      </c>
      <c r="J107">
        <f>-587.892736971967 -179.485650993068 -555.410474959128</f>
        <v>-1322.7888629241629</v>
      </c>
      <c r="K107">
        <f>-626.716928029291 -48.9969823387714 -536.33222660575</f>
        <v>-1212.0461369738123</v>
      </c>
      <c r="L107">
        <f>-710.511768737725 -39.658468336077 -254.405855787699</f>
        <v>-1004.576092861501</v>
      </c>
      <c r="M107">
        <f>-471.313460285322 -10.8288777903142 -256.381691017374</f>
        <v>-738.5240290930102</v>
      </c>
      <c r="N107">
        <f>-574.11944288567 -233.163872427096 -555.739988103112</f>
        <v>-1363.023303415878</v>
      </c>
      <c r="O107">
        <f>-551.103606038456 -366.149830383374 -529.629048079289</f>
        <v>-1446.8824845011191</v>
      </c>
      <c r="P107">
        <f>-593.640407205867 -432.061135903655 -246.014033752007</f>
        <v>-1271.7155768615289</v>
      </c>
      <c r="Q107">
        <f>-430.705352540314 -264.857122237803 -305.560924391233</f>
        <v>-1001.12339916935</v>
      </c>
      <c r="R107">
        <f>-585.40493572069 -95.5709610218173 -102.298216339697</f>
        <v>-783.27411308220428</v>
      </c>
      <c r="S107" t="s">
        <v>796</v>
      </c>
      <c r="T107" t="s">
        <v>797</v>
      </c>
      <c r="U107" t="s">
        <v>798</v>
      </c>
      <c r="V107">
        <f>-513.74159094041 -276.087913273956 -94.796603640504</f>
        <v>-884.62610785487004</v>
      </c>
      <c r="W107" t="s">
        <v>799</v>
      </c>
      <c r="X107" t="s">
        <v>800</v>
      </c>
      <c r="Y107" t="s">
        <v>801</v>
      </c>
    </row>
    <row r="108" spans="1:25" x14ac:dyDescent="0.3">
      <c r="A108">
        <v>5350</v>
      </c>
      <c r="B108" t="s">
        <v>802</v>
      </c>
      <c r="C108">
        <f>-549.450940482564 -186.02478208318 -97.4991203789692</f>
        <v>-832.97484294471326</v>
      </c>
      <c r="D108">
        <f>-574.125602453437 -200.437363232101 -209.747272861395</f>
        <v>-984.31023854693296</v>
      </c>
      <c r="E108">
        <f>-583.01584665427 -205.797665871072 -307.823247493686</f>
        <v>-1096.6367600190281</v>
      </c>
      <c r="F108">
        <f>-586.566928834225 -208.19279216514 -396.81693385697</f>
        <v>-1191.5766548563349</v>
      </c>
      <c r="G108">
        <f>-585.230244834636 -208.136618502034 -485.903676545723</f>
        <v>-1279.270539882393</v>
      </c>
      <c r="H108">
        <f>-578.187055131591 -205.592504697484 -610.261077172495</f>
        <v>-1394.0406370015698</v>
      </c>
      <c r="I108">
        <f>-542.879057200536 -197.072113628522 -684.999060601061</f>
        <v>-1424.9502314301189</v>
      </c>
      <c r="J108">
        <f>-588.185161940026 -179.876002940503 -555.379242524351</f>
        <v>-1323.4404074048798</v>
      </c>
      <c r="K108">
        <f>-627.033026124156 -49.3804419897579 -536.363502888563</f>
        <v>-1212.7769710024768</v>
      </c>
      <c r="L108">
        <f>-710.79959505838 -39.9561257329799 -254.431661897631</f>
        <v>-1005.1873826889909</v>
      </c>
      <c r="M108">
        <f>-471.602086513214 -11.1141942381169 -256.315645852519</f>
        <v>-739.03192660384991</v>
      </c>
      <c r="N108">
        <f>-574.387882321002 -233.548175820756 -555.695934969903</f>
        <v>-1363.6319931116609</v>
      </c>
      <c r="O108">
        <f>-551.330525425519 -366.530353964812 -529.603521214164</f>
        <v>-1447.464400604495</v>
      </c>
      <c r="P108">
        <f>-593.673648711897 -432.426954374543 -245.956168942124</f>
        <v>-1272.056772028564</v>
      </c>
      <c r="Q108">
        <f>-430.898358489896 -265.09878517779 -305.591777251764</f>
        <v>-1001.5889209194499</v>
      </c>
      <c r="R108">
        <f>-585.328303564042 -95.8253840510313 -102.281792917433</f>
        <v>-783.43548053250629</v>
      </c>
      <c r="S108" t="s">
        <v>803</v>
      </c>
      <c r="T108" t="s">
        <v>804</v>
      </c>
      <c r="U108" t="s">
        <v>805</v>
      </c>
      <c r="V108">
        <f>-513.807699742363 -276.421958367597 -94.7915759187779</f>
        <v>-885.02123402873781</v>
      </c>
      <c r="W108" t="s">
        <v>806</v>
      </c>
      <c r="X108" t="s">
        <v>807</v>
      </c>
      <c r="Y108" t="s">
        <v>808</v>
      </c>
    </row>
    <row r="109" spans="1:25" x14ac:dyDescent="0.3">
      <c r="A109">
        <v>5400</v>
      </c>
      <c r="B109" t="s">
        <v>809</v>
      </c>
      <c r="C109">
        <f>-549.390774247029 -186.245208163731 -97.5023783414019</f>
        <v>-833.13836075216193</v>
      </c>
      <c r="D109">
        <f>-574.151860840405 -200.657785258043 -209.731688572129</f>
        <v>-984.54133467057693</v>
      </c>
      <c r="E109">
        <f>-583.163421550817 -206.081214870822 -307.792963811443</f>
        <v>-1097.037600233082</v>
      </c>
      <c r="F109">
        <f>-586.84452255265 -208.557576198247 -396.779268600181</f>
        <v>-1192.1813673510781</v>
      </c>
      <c r="G109">
        <f>-585.658920517145 -208.605703406625 -485.868204751113</f>
        <v>-1280.1328286748831</v>
      </c>
      <c r="H109">
        <f>-578.84874642306 -206.230952606629 -610.241796920125</f>
        <v>-1395.3214959498141</v>
      </c>
      <c r="I109">
        <f>-543.501846225768 -197.551684997939 -684.943110079727</f>
        <v>-1425.996641303434</v>
      </c>
      <c r="J109">
        <f>-588.753777109195 -180.442168548046 -555.376952906532</f>
        <v>-1324.5728985637729</v>
      </c>
      <c r="K109">
        <f>-627.589438955518 -49.9169684184594 -536.565672656924</f>
        <v>-1214.0720800309014</v>
      </c>
      <c r="L109">
        <f>-711.308197824976 -40.0534358474019 -254.63473947867</f>
        <v>-1005.9963731510479</v>
      </c>
      <c r="M109">
        <f>-472.103529496159 -11.2518051446489 -256.19127736387</f>
        <v>-739.54661200467785</v>
      </c>
      <c r="N109">
        <f>-574.937273926663 -234.109765000409 -555.645189784707</f>
        <v>-1364.6922287117791</v>
      </c>
      <c r="O109">
        <f>-551.780086314464 -367.056391865321 -529.45877641396</f>
        <v>-1448.2952545937451</v>
      </c>
      <c r="P109">
        <f>-593.84419959113 -432.689428553309 -245.708725347835</f>
        <v>-1272.2423534922741</v>
      </c>
      <c r="Q109">
        <f>-431.222744073423 -265.330329884901 -305.675833716385</f>
        <v>-1002.2289076747089</v>
      </c>
      <c r="R109">
        <f>-585.274824544287 -95.9966311421681 -102.266468794185</f>
        <v>-783.53792448064007</v>
      </c>
      <c r="S109" t="s">
        <v>810</v>
      </c>
      <c r="T109" t="s">
        <v>811</v>
      </c>
      <c r="U109" t="s">
        <v>812</v>
      </c>
      <c r="V109">
        <f>-513.748214646659 -276.645456791011 -94.806220106768</f>
        <v>-885.19989154443806</v>
      </c>
      <c r="W109" t="s">
        <v>813</v>
      </c>
      <c r="X109" t="s">
        <v>814</v>
      </c>
      <c r="Y109" t="s">
        <v>815</v>
      </c>
    </row>
    <row r="110" spans="1:25" x14ac:dyDescent="0.3">
      <c r="A110">
        <v>5450</v>
      </c>
      <c r="B110" t="s">
        <v>816</v>
      </c>
      <c r="C110">
        <f>-549.383936885633 -186.404751820363 -97.5082525734505</f>
        <v>-833.29694127944651</v>
      </c>
      <c r="D110">
        <f>-574.165678587042 -200.821735315648 -209.732334971796</f>
        <v>-984.71974887448596</v>
      </c>
      <c r="E110">
        <f>-583.222035524015 -206.272294284149 -307.787961559995</f>
        <v>-1097.2822913681589</v>
      </c>
      <c r="F110">
        <f>-586.955192350806 -208.782370532785 -396.771257790038</f>
        <v>-1192.5088206736291</v>
      </c>
      <c r="G110">
        <f>-585.83296743207 -208.872996191725 -485.860851703499</f>
        <v>-1280.5668153272941</v>
      </c>
      <c r="H110">
        <f>-579.123463885299 -206.566378640365 -610.241236664612</f>
        <v>-1395.9310791902758</v>
      </c>
      <c r="I110">
        <f>-543.769657595779 -197.841054575293 -684.934140987213</f>
        <v>-1426.5448531582852</v>
      </c>
      <c r="J110">
        <f>-588.987939446905 -180.748464723272 -555.382797212313</f>
        <v>-1325.11920138249</v>
      </c>
      <c r="K110">
        <f>-627.836441934845 -50.2216445817273 -536.669585841024</f>
        <v>-1214.7276723575962</v>
      </c>
      <c r="L110">
        <f>-711.557111708431 -40.0536170517944 -254.750051263135</f>
        <v>-1006.3607800233603</v>
      </c>
      <c r="M110">
        <f>-472.34707983599 -11.29165690067 -256.231155430031</f>
        <v>-739.86989216669099</v>
      </c>
      <c r="N110">
        <f>-575.164013590233 -234.414200170924 -555.632400808721</f>
        <v>-1365.2106145698781</v>
      </c>
      <c r="O110">
        <f>-551.996742700233 -367.359065194194 -529.416937123838</f>
        <v>-1448.7727450182651</v>
      </c>
      <c r="P110">
        <f>-593.986075571376 -432.827271731484 -245.617563967397</f>
        <v>-1272.430911270257</v>
      </c>
      <c r="Q110">
        <f>-431.407251374398 -265.47727397351 -305.72554593108</f>
        <v>-1002.610071278988</v>
      </c>
      <c r="R110">
        <f>-585.248510043771 -96.1697664442793 -102.253875905233</f>
        <v>-783.67215239328334</v>
      </c>
      <c r="S110" t="s">
        <v>817</v>
      </c>
      <c r="T110" t="s">
        <v>818</v>
      </c>
      <c r="U110" t="s">
        <v>819</v>
      </c>
      <c r="V110">
        <f>-513.759166417885 -276.838143415062 -94.8103581965493</f>
        <v>-885.40766802949634</v>
      </c>
      <c r="W110" t="s">
        <v>820</v>
      </c>
      <c r="X110" t="s">
        <v>821</v>
      </c>
      <c r="Y110" t="s">
        <v>822</v>
      </c>
    </row>
    <row r="111" spans="1:25" x14ac:dyDescent="0.3">
      <c r="A111">
        <v>5500</v>
      </c>
      <c r="B111" t="s">
        <v>823</v>
      </c>
      <c r="C111">
        <f>-549.303633023543 -186.654668656129 -97.5062404702418</f>
        <v>-833.46454214991365</v>
      </c>
      <c r="D111">
        <f>-574.127287330497 -201.071479520415 -209.721104048939</f>
        <v>-984.91987089985093</v>
      </c>
      <c r="E111">
        <f>-583.252346635269 -206.545851755451 -307.769105787639</f>
        <v>-1097.5673041783589</v>
      </c>
      <c r="F111">
        <f>-587.060585172408 -209.087053179024 -396.748285555404</f>
        <v>-1192.8959239068358</v>
      </c>
      <c r="G111">
        <f>-586.027088963756 -209.218254637499 -485.838920131607</f>
        <v>-1281.0842637328619</v>
      </c>
      <c r="H111">
        <f>-579.455187149332 -206.977825384206 -610.227787245995</f>
        <v>-1396.6607997795331</v>
      </c>
      <c r="I111">
        <f>-544.068876667504 -198.248202061918 -684.904704756613</f>
        <v>-1427.2217834860351</v>
      </c>
      <c r="J111">
        <f>-589.266073302345 -181.132743373975 -555.372738841721</f>
        <v>-1325.7715555180412</v>
      </c>
      <c r="K111">
        <f>-628.159880181544 -50.6004910558574 -536.759853939488</f>
        <v>-1215.5202251768897</v>
      </c>
      <c r="L111">
        <f>-711.938409589814 -40.1001421091639 -254.869624721789</f>
        <v>-1006.9081764207669</v>
      </c>
      <c r="M111">
        <f>-472.736194906657 -11.2729171772062 -256.349116646208</f>
        <v>-740.35822873007123</v>
      </c>
      <c r="N111">
        <f>-575.428180126911 -234.794821569017 -555.608135852253</f>
        <v>-1365.831137548181</v>
      </c>
      <c r="O111">
        <f>-552.256185508923 -367.739238988376 -529.403600095124</f>
        <v>-1449.3990245924228</v>
      </c>
      <c r="P111">
        <f>-594.24182793769 -432.965073040571 -245.547838166853</f>
        <v>-1272.7547391451139</v>
      </c>
      <c r="Q111">
        <f>-431.671154658668 -265.653846626974 -305.785811387889</f>
        <v>-1003.110812673531</v>
      </c>
      <c r="R111">
        <f>-585.16722749328 -96.4963826068467 -102.212882527692</f>
        <v>-783.87649262781883</v>
      </c>
      <c r="S111" t="s">
        <v>824</v>
      </c>
      <c r="T111" t="s">
        <v>825</v>
      </c>
      <c r="U111" t="s">
        <v>826</v>
      </c>
      <c r="V111">
        <f>-513.685787284452 -277.012190293547 -94.8237016596056</f>
        <v>-885.52167923760453</v>
      </c>
      <c r="W111" t="s">
        <v>827</v>
      </c>
      <c r="X111" t="s">
        <v>828</v>
      </c>
      <c r="Y111" t="s">
        <v>829</v>
      </c>
    </row>
    <row r="112" spans="1:25" x14ac:dyDescent="0.3">
      <c r="A112">
        <v>5550</v>
      </c>
      <c r="B112" t="s">
        <v>830</v>
      </c>
      <c r="C112">
        <f>-549.320217860231 -186.608815152023 -97.5061083437682</f>
        <v>-833.4351413560222</v>
      </c>
      <c r="D112">
        <f>-574.150707419142 -201.003007986078 -209.722323777692</f>
        <v>-984.87603918291211</v>
      </c>
      <c r="E112">
        <f>-583.300729327093 -206.474815574368 -307.768294058239</f>
        <v>-1097.5438389597</v>
      </c>
      <c r="F112">
        <f>-587.139547556227 -209.020265705024 -396.745935031953</f>
        <v>-1192.9057482932039</v>
      </c>
      <c r="G112">
        <f>-586.144476252906 -209.162225023498 -485.837041403291</f>
        <v>-1281.1437426796949</v>
      </c>
      <c r="H112">
        <f>-579.635035466062 -206.94336312975 -610.229675069091</f>
        <v>-1396.8080736649031</v>
      </c>
      <c r="I112">
        <f>-544.245485637125 -198.209097472589 -684.904497658147</f>
        <v>-1427.3590807678609</v>
      </c>
      <c r="J112">
        <f>-589.420944699877 -181.089365895629 -555.374250886685</f>
        <v>-1325.8845614821912</v>
      </c>
      <c r="K112">
        <f>-628.343219965565 -50.5642341060013 -536.780357291854</f>
        <v>-1215.6878113634202</v>
      </c>
      <c r="L112">
        <f>-712.11402871846 -40.099050256011 -254.886607047575</f>
        <v>-1007.0996860220459</v>
      </c>
      <c r="M112">
        <f>-472.930275723837 -11.1187411362384 -256.338890070226</f>
        <v>-740.38790693030137</v>
      </c>
      <c r="N112">
        <f>-575.578056675993 -234.750274182436 -555.606918641833</f>
        <v>-1365.935249500262</v>
      </c>
      <c r="O112">
        <f>-552.40205635969 -367.693758768274 -529.402912169737</f>
        <v>-1449.498727297701</v>
      </c>
      <c r="P112">
        <f>-594.39439767078 -432.869107965259 -245.536785764842</f>
        <v>-1272.8002914008812</v>
      </c>
      <c r="Q112">
        <f>-431.819387868994 -265.567761995486 -305.789941956168</f>
        <v>-1003.177091820648</v>
      </c>
      <c r="R112">
        <f>-585.208196627156 -96.4514484575795 -102.197153080281</f>
        <v>-783.85679816501647</v>
      </c>
      <c r="S112" t="s">
        <v>831</v>
      </c>
      <c r="T112" t="s">
        <v>832</v>
      </c>
      <c r="U112" t="s">
        <v>833</v>
      </c>
      <c r="V112">
        <f>-513.69039416092 -276.881617182943 -94.8363805732299</f>
        <v>-885.40839191709301</v>
      </c>
      <c r="W112" t="s">
        <v>834</v>
      </c>
      <c r="X112" t="s">
        <v>835</v>
      </c>
      <c r="Y112" t="s">
        <v>836</v>
      </c>
    </row>
    <row r="113" spans="1:25" x14ac:dyDescent="0.3">
      <c r="A113">
        <v>5600</v>
      </c>
      <c r="B113" t="s">
        <v>837</v>
      </c>
      <c r="C113">
        <f>-549.434816965577 -186.59623638033 -97.4679559556328</f>
        <v>-833.49900930153979</v>
      </c>
      <c r="D113">
        <f>-574.226069429293 -200.909725111892 -209.70315178452</f>
        <v>-984.83894632570514</v>
      </c>
      <c r="E113">
        <f>-583.340185856555 -206.37738443389 -307.752677220784</f>
        <v>-1097.470247511229</v>
      </c>
      <c r="F113">
        <f>-587.147044932042 -208.945210971198 -396.731010850264</f>
        <v>-1192.823266753504</v>
      </c>
      <c r="G113">
        <f>-586.12124815885 -209.135409492704 -485.821646676835</f>
        <v>-1281.0783043283889</v>
      </c>
      <c r="H113">
        <f>-579.57120033745 -207.011434257525 -610.21374940387</f>
        <v>-1396.7963839988452</v>
      </c>
      <c r="I113">
        <f>-544.139760069916 -198.038004384422 -684.84040402881</f>
        <v>-1427.018168483148</v>
      </c>
      <c r="J113">
        <f>-589.36778071573 -181.113793219589 -555.380888214224</f>
        <v>-1325.8624621495428</v>
      </c>
      <c r="K113">
        <f>-628.269614436742 -50.5590379546679 -536.896440216554</f>
        <v>-1215.7250926079639</v>
      </c>
      <c r="L113">
        <f>-712.254539083237 -40.2168512006181 -255.061726680979</f>
        <v>-1007.5331169648341</v>
      </c>
      <c r="M113">
        <f>-473.089704798846 -11.069868674273 -256.291871083212</f>
        <v>-740.45144455633101</v>
      </c>
      <c r="N113">
        <f>-575.53930373265 -234.778517035248 -555.569096230334</f>
        <v>-1365.886916998232</v>
      </c>
      <c r="O113">
        <f>-552.496886255331 -367.727554543412 -529.310558751851</f>
        <v>-1449.534999550594</v>
      </c>
      <c r="P113">
        <f>-594.45037959824 -432.756341015564 -245.405015950111</f>
        <v>-1272.611736563915</v>
      </c>
      <c r="Q113">
        <f>-431.79264626101 -265.56595439843 -305.7432698497</f>
        <v>-1003.1018705091401</v>
      </c>
      <c r="R113">
        <f>-585.244873696766 -96.5124776272328 -102.145631353411</f>
        <v>-783.9029826774098</v>
      </c>
      <c r="S113" t="s">
        <v>838</v>
      </c>
      <c r="T113" t="s">
        <v>839</v>
      </c>
      <c r="U113" t="s">
        <v>840</v>
      </c>
      <c r="V113">
        <f>-513.868330336089 -276.883073943389 -94.8562742473579</f>
        <v>-885.60767852683591</v>
      </c>
      <c r="W113" t="s">
        <v>841</v>
      </c>
      <c r="X113" t="s">
        <v>842</v>
      </c>
      <c r="Y113" t="s">
        <v>843</v>
      </c>
    </row>
    <row r="114" spans="1:25" x14ac:dyDescent="0.3">
      <c r="A114">
        <v>5650</v>
      </c>
      <c r="B114" t="s">
        <v>844</v>
      </c>
      <c r="C114">
        <f>-549.447021457129 -186.650800247789 -97.4352856428183</f>
        <v>-833.53310734773629</v>
      </c>
      <c r="D114">
        <f>-574.240130913154 -200.92544606031 -209.675030259923</f>
        <v>-984.840607233387</v>
      </c>
      <c r="E114">
        <f>-583.322276559801 -206.412570085772 -307.726419469759</f>
        <v>-1097.4612661153319</v>
      </c>
      <c r="F114">
        <f>-587.087934590466 -209.019408932191 -396.705362570512</f>
        <v>-1192.812706093169</v>
      </c>
      <c r="G114">
        <f>-586.008903654884 -209.270781827143 -485.795387679994</f>
        <v>-1281.075073162021</v>
      </c>
      <c r="H114">
        <f>-579.372278345702 -207.255204515651 -610.184570515317</f>
        <v>-1396.8120533766701</v>
      </c>
      <c r="I114">
        <f>-543.888640343158 -198.115530874303 -684.76615789248</f>
        <v>-1426.770329109941</v>
      </c>
      <c r="J114">
        <f>-589.196083540076 -181.306906482809 -555.380462882154</f>
        <v>-1325.8834529050391</v>
      </c>
      <c r="K114">
        <f>-628.038559530015 -50.7174486630549 -537.043965192389</f>
        <v>-1215.799973385459</v>
      </c>
      <c r="L114">
        <f>-712.195213170184 -40.2592856794997 -255.264729211947</f>
        <v>-1007.7192280616308</v>
      </c>
      <c r="M114">
        <f>-473.019872897386 -11.190581221666 -256.267172453877</f>
        <v>-740.47762657292901</v>
      </c>
      <c r="N114">
        <f>-575.389356834175 -234.977359004475 -555.513644785884</f>
        <v>-1365.8803606245342</v>
      </c>
      <c r="O114">
        <f>-552.412111660695 -367.915494621321 -529.129937556519</f>
        <v>-1449.457543838535</v>
      </c>
      <c r="P114">
        <f>-594.411083681665 -432.80856572469 -245.199971960613</f>
        <v>-1272.4196213669682</v>
      </c>
      <c r="Q114">
        <f>-431.670846207554 -265.727112843329 -305.617500656284</f>
        <v>-1003.0154597071669</v>
      </c>
      <c r="R114">
        <f>-585.199713090593 -96.5548767336963 -102.108237071366</f>
        <v>-783.86282689565542</v>
      </c>
      <c r="S114" t="s">
        <v>845</v>
      </c>
      <c r="T114" t="s">
        <v>846</v>
      </c>
      <c r="U114" t="s">
        <v>847</v>
      </c>
      <c r="V114">
        <f>-513.940346844213 -276.949813886405 -94.8507234593948</f>
        <v>-885.74088419001271</v>
      </c>
      <c r="W114" t="s">
        <v>848</v>
      </c>
      <c r="X114" t="s">
        <v>849</v>
      </c>
      <c r="Y114" t="s">
        <v>850</v>
      </c>
    </row>
    <row r="115" spans="1:25" x14ac:dyDescent="0.3">
      <c r="A115">
        <v>5700</v>
      </c>
      <c r="B115" t="s">
        <v>851</v>
      </c>
      <c r="C115">
        <f>-549.280757144802 -186.718410015451 -97.3815309571829</f>
        <v>-833.38069811743594</v>
      </c>
      <c r="D115">
        <f>-574.156778350116 -200.942905741684 -209.609217307947</f>
        <v>-984.70890139974711</v>
      </c>
      <c r="E115">
        <f>-583.200740703697 -206.501599153456 -307.660071388914</f>
        <v>-1097.362411246067</v>
      </c>
      <c r="F115">
        <f>-586.888848552156 -209.221409379958 -396.638966404644</f>
        <v>-1192.7492243367581</v>
      </c>
      <c r="G115">
        <f>-585.690246005149 -209.635696666031 -485.726871100908</f>
        <v>-1281.052813772088</v>
      </c>
      <c r="H115">
        <f>-578.842953534363 -207.902014964732 -610.108958243469</f>
        <v>-1396.853926742564</v>
      </c>
      <c r="I115">
        <f>-543.144524845316 -198.442672365214 -684.547996707086</f>
        <v>-1426.1351939176161</v>
      </c>
      <c r="J115">
        <f>-588.739675695888 -181.824509232566 -555.379254375731</f>
        <v>-1325.9434393041849</v>
      </c>
      <c r="K115">
        <f>-627.496318664102 -51.1657233538472 -537.345448202131</f>
        <v>-1216.0074902200802</v>
      </c>
      <c r="L115">
        <f>-711.998978120639 -40.0971731207592 -255.693281058847</f>
        <v>-1007.7894323002452</v>
      </c>
      <c r="M115">
        <f>-472.782236642599 -11.3598404390218 -256.318017265564</f>
        <v>-740.46009434718485</v>
      </c>
      <c r="N115">
        <f>-574.972462545582 -235.505415643772 -555.369681136764</f>
        <v>-1365.847559326118</v>
      </c>
      <c r="O115">
        <f>-552.131339027466 -368.40145153196 -528.66689565529</f>
        <v>-1449.1996862147159</v>
      </c>
      <c r="P115">
        <f>-594.514654876344 -432.657653508436 -244.649122180793</f>
        <v>-1271.8214305655731</v>
      </c>
      <c r="Q115">
        <f>-431.533817480748 -265.951326006546 -305.453459032184</f>
        <v>-1002.938602519478</v>
      </c>
      <c r="R115">
        <f>-585.021757816382 -96.6421394121621 -101.999796147959</f>
        <v>-783.66369337650315</v>
      </c>
      <c r="S115" t="s">
        <v>852</v>
      </c>
      <c r="T115" t="s">
        <v>853</v>
      </c>
      <c r="U115" t="s">
        <v>854</v>
      </c>
      <c r="V115">
        <f>-513.788132044685 -276.999332342907 -94.8589264359367</f>
        <v>-885.64639082352869</v>
      </c>
      <c r="W115" t="s">
        <v>855</v>
      </c>
      <c r="X115" t="s">
        <v>856</v>
      </c>
      <c r="Y115" t="s">
        <v>857</v>
      </c>
    </row>
    <row r="116" spans="1:25" x14ac:dyDescent="0.3">
      <c r="A116">
        <v>5750</v>
      </c>
      <c r="B116" t="s">
        <v>858</v>
      </c>
      <c r="C116">
        <f>-548.997355845959 -186.942628412271 -97.3371486624237</f>
        <v>-833.27713292065368</v>
      </c>
      <c r="D116">
        <f>-574.047261127413 -201.175547089384 -209.525136902638</f>
        <v>-984.74794511943492</v>
      </c>
      <c r="E116">
        <f>-583.107113710049 -206.814214725963 -307.569940138692</f>
        <v>-1097.491268574704</v>
      </c>
      <c r="F116">
        <f>-586.756276041721 -209.637182062819 -396.547188990016</f>
        <v>-1192.940647094556</v>
      </c>
      <c r="G116">
        <f>-585.465846784497 -210.186557644672 -485.632927456128</f>
        <v>-1281.285331885297</v>
      </c>
      <c r="H116">
        <f>-578.436040560934 -208.675853502178 -610.007884751025</f>
        <v>-1397.1197788141371</v>
      </c>
      <c r="I116">
        <f>-542.308369613482 -198.80880531811 -684.18633762796</f>
        <v>-1425.303512559552</v>
      </c>
      <c r="J116">
        <f>-588.393128298464 -182.495166747831 -555.3384592047</f>
        <v>-1326.2267542509951</v>
      </c>
      <c r="K116">
        <f>-627.093083305068 -51.7960090240369 -537.518504095197</f>
        <v>-1216.407596424302</v>
      </c>
      <c r="L116">
        <f>-711.724601085388 -40.3735599220324 -255.918979694986</f>
        <v>-1008.0171407024064</v>
      </c>
      <c r="M116">
        <f>-472.514605078175 -11.5785299558031 -256.426861716718</f>
        <v>-740.51999675069612</v>
      </c>
      <c r="N116">
        <f>-574.666194745166 -236.186143334307 -555.214703814155</f>
        <v>-1366.0670418936279</v>
      </c>
      <c r="O116">
        <f>-551.951699495324 -369.045828491257 -528.188755116778</f>
        <v>-1449.1862831033591</v>
      </c>
      <c r="P116">
        <f>-594.569902061965 -432.533909722566 -244.033686437978</f>
        <v>-1271.1374982225091</v>
      </c>
      <c r="Q116">
        <f>-431.354524261884 -266.286194057396 -305.460834881839</f>
        <v>-1003.101553201119</v>
      </c>
      <c r="R116">
        <f>-584.687746777538 -96.7773441338745 -101.899608716506</f>
        <v>-783.36469962791853</v>
      </c>
      <c r="S116" t="s">
        <v>859</v>
      </c>
      <c r="T116" t="s">
        <v>860</v>
      </c>
      <c r="U116" t="s">
        <v>861</v>
      </c>
      <c r="V116">
        <f>-513.575815034376 -277.335282161078 -94.8477586438291</f>
        <v>-885.75885583928311</v>
      </c>
      <c r="W116" t="s">
        <v>862</v>
      </c>
      <c r="X116" t="s">
        <v>863</v>
      </c>
      <c r="Y116" t="s">
        <v>864</v>
      </c>
    </row>
    <row r="117" spans="1:25" x14ac:dyDescent="0.3">
      <c r="A117">
        <v>5800</v>
      </c>
      <c r="B117" t="s">
        <v>865</v>
      </c>
      <c r="C117">
        <f>-548.794593416635 -186.992533284603 -97.3223667805332</f>
        <v>-833.10949348177132</v>
      </c>
      <c r="D117">
        <f>-573.947179572522 -201.232390376439 -209.486560004319</f>
        <v>-984.66612995328001</v>
      </c>
      <c r="E117">
        <f>-583.023846930706 -206.908539610291 -307.527661421066</f>
        <v>-1097.4600479620631</v>
      </c>
      <c r="F117">
        <f>-586.659993739997 -209.777828177169 -396.5038677201</f>
        <v>-1192.9416896372661</v>
      </c>
      <c r="G117">
        <f>-585.328691410981 -210.38688315408 -485.588722218849</f>
        <v>-1281.3042967839101</v>
      </c>
      <c r="H117">
        <f>-578.212858718103 -208.973329372756 -609.959915315471</f>
        <v>-1397.14610340633</v>
      </c>
      <c r="I117">
        <f>-541.834669245139 -198.907349757186 -683.989232982338</f>
        <v>-1424.731251984663</v>
      </c>
      <c r="J117">
        <f>-588.199801502999 -182.747929742991 -555.317417954688</f>
        <v>-1326.265149200678</v>
      </c>
      <c r="K117">
        <f>-626.894771070196 -52.0378078790516 -537.574756656629</f>
        <v>-1216.5073356058765</v>
      </c>
      <c r="L117">
        <f>-711.536953337452 -40.4558669516603 -255.984984399303</f>
        <v>-1007.9778046884153</v>
      </c>
      <c r="M117">
        <f>-472.335651083475 -11.5875175719739 -256.469671934305</f>
        <v>-740.39284058975386</v>
      </c>
      <c r="N117">
        <f>-574.488563382059 -236.442792544028 -555.143169342898</f>
        <v>-1366.0745252689849</v>
      </c>
      <c r="O117">
        <f>-551.838604100778 -369.283129402062 -527.968576180384</f>
        <v>-1449.0903096832239</v>
      </c>
      <c r="P117">
        <f>-594.531972739272 -432.450603949967 -243.753218628063</f>
        <v>-1270.7357953173021</v>
      </c>
      <c r="Q117">
        <f>-431.202607081716 -266.448655082855 -305.541472784824</f>
        <v>-1003.192734949395</v>
      </c>
      <c r="R117">
        <f>-584.418137478115 -96.8857385551253 -101.866552329094</f>
        <v>-783.17042836233429</v>
      </c>
      <c r="S117" t="s">
        <v>866</v>
      </c>
      <c r="T117" t="s">
        <v>867</v>
      </c>
      <c r="U117" t="s">
        <v>868</v>
      </c>
      <c r="V117">
        <f>-513.433164950141 -277.292390993062 -94.8379067088626</f>
        <v>-885.5634626520656</v>
      </c>
      <c r="W117" t="s">
        <v>869</v>
      </c>
      <c r="X117" t="s">
        <v>870</v>
      </c>
      <c r="Y117" t="s">
        <v>871</v>
      </c>
    </row>
    <row r="118" spans="1:25" x14ac:dyDescent="0.3">
      <c r="A118">
        <v>5850</v>
      </c>
      <c r="B118" t="s">
        <v>872</v>
      </c>
      <c r="C118">
        <f>-548.689677163802 -186.917379473548 -97.3125948400398</f>
        <v>-832.91965147738983</v>
      </c>
      <c r="D118">
        <f>-573.939811150146 -201.179266650842 -209.451948719585</f>
        <v>-984.57102652057301</v>
      </c>
      <c r="E118">
        <f>-583.026590846659 -206.896895263423 -307.489729284451</f>
        <v>-1097.4132153945329</v>
      </c>
      <c r="F118">
        <f>-586.642410989475 -209.812885091604 -396.465383585611</f>
        <v>-1192.9206796666899</v>
      </c>
      <c r="G118">
        <f>-585.261722919354 -210.477678674985 -485.549014687161</f>
        <v>-1281.2884162815001</v>
      </c>
      <c r="H118">
        <f>-578.046665409538 -209.152508308182 -609.91540825279</f>
        <v>-1397.11458197051</v>
      </c>
      <c r="I118">
        <f>-541.438548842966 -198.913722670246 -683.807551161339</f>
        <v>-1424.1598226745509</v>
      </c>
      <c r="J118">
        <f>-588.067975802018 -182.885972113235 -555.299105367245</f>
        <v>-1326.2530532824981</v>
      </c>
      <c r="K118">
        <f>-626.771895382339 -52.1677284436187 -537.623040517518</f>
        <v>-1216.5626643434757</v>
      </c>
      <c r="L118">
        <f>-711.484958047519 -40.5130707833966 -256.057613836832</f>
        <v>-1008.0556426677476</v>
      </c>
      <c r="M118">
        <f>-472.297334270862 -11.531755683425 -256.567673393464</f>
        <v>-740.39676334775095</v>
      </c>
      <c r="N118">
        <f>-574.375404098273 -236.585353493738 -555.076932268706</f>
        <v>-1366.0376898607169</v>
      </c>
      <c r="O118">
        <f>-551.803352359969 -369.411197541874 -527.76471608199</f>
        <v>-1448.9792659838331</v>
      </c>
      <c r="P118">
        <f>-594.541420410549 -432.325803577465 -243.499965627494</f>
        <v>-1270.3671896155081</v>
      </c>
      <c r="Q118">
        <f>-431.135786356314 -266.524965521025 -305.625272310867</f>
        <v>-1003.2860241882059</v>
      </c>
      <c r="R118">
        <f>-584.26543327116 -96.8025849230703 -101.846671757914</f>
        <v>-782.91468995214427</v>
      </c>
      <c r="S118" t="s">
        <v>873</v>
      </c>
      <c r="T118" t="s">
        <v>874</v>
      </c>
      <c r="U118" t="s">
        <v>875</v>
      </c>
      <c r="V118">
        <f>-513.379354894154 -277.183763654036 -94.8241727154215</f>
        <v>-885.38729126361147</v>
      </c>
      <c r="W118" t="s">
        <v>876</v>
      </c>
      <c r="X118" t="s">
        <v>877</v>
      </c>
      <c r="Y118" t="s">
        <v>878</v>
      </c>
    </row>
    <row r="119" spans="1:25" x14ac:dyDescent="0.3">
      <c r="A119">
        <v>5900</v>
      </c>
      <c r="B119" t="s">
        <v>879</v>
      </c>
      <c r="C119">
        <f>-548.590891733184 -186.846864582522 -97.3108037459509</f>
        <v>-832.74856006165692</v>
      </c>
      <c r="D119">
        <f>-573.949699317684 -201.176563522689 -209.417091923835</f>
        <v>-984.54335476420795</v>
      </c>
      <c r="E119">
        <f>-583.003443365558 -206.959713681096 -307.454060767185</f>
        <v>-1097.417217813839</v>
      </c>
      <c r="F119">
        <f>-586.538273716501 -209.938611604051 -396.430887145919</f>
        <v>-1192.9077724664708</v>
      </c>
      <c r="G119">
        <f>-585.025515296801 -210.671089386201 -485.511738277834</f>
        <v>-1281.208342960836</v>
      </c>
      <c r="H119">
        <f>-577.573106751536 -209.446359221021 -609.865279792875</f>
        <v>-1396.8847457654319</v>
      </c>
      <c r="I119">
        <f>-540.620307604911 -198.888570770882 -683.54058942309</f>
        <v>-1423.0494677988829</v>
      </c>
      <c r="J119">
        <f>-587.679466446737 -183.130762101725 -555.288011266324</f>
        <v>-1326.098239814786</v>
      </c>
      <c r="K119">
        <f>-626.419922756111 -52.4187743524026 -537.681748627537</f>
        <v>-1216.5204457360505</v>
      </c>
      <c r="L119">
        <f>-711.425385110142 -40.8346978645436 -256.201760118241</f>
        <v>-1008.4618430929265</v>
      </c>
      <c r="M119">
        <f>-472.261676370689 -11.6553995223001 -256.586305203511</f>
        <v>-740.50338109650011</v>
      </c>
      <c r="N119">
        <f>-574.025585263568 -236.839724956807 -554.998763218933</f>
        <v>-1365.864073439308</v>
      </c>
      <c r="O119">
        <f>-551.625473256211 -369.654522614386 -527.470046199287</f>
        <v>-1448.7500420698839</v>
      </c>
      <c r="P119">
        <f>-594.640384125118 -432.162024504423 -243.157421104184</f>
        <v>-1269.959829733725</v>
      </c>
      <c r="Q119">
        <f>-430.983256686102 -266.825440629476 -305.855411017302</f>
        <v>-1003.66410833288</v>
      </c>
      <c r="R119">
        <f>-584.059286247974 -96.7508936252352 -101.855808941058</f>
        <v>-782.66598881426717</v>
      </c>
      <c r="S119" t="s">
        <v>880</v>
      </c>
      <c r="T119" t="s">
        <v>881</v>
      </c>
      <c r="U119" t="s">
        <v>882</v>
      </c>
      <c r="V119">
        <f>-513.358944224483 -277.114431761495 -94.7863197674411</f>
        <v>-885.25969575341912</v>
      </c>
      <c r="W119" t="s">
        <v>883</v>
      </c>
      <c r="X119" t="s">
        <v>884</v>
      </c>
      <c r="Y119" t="s">
        <v>885</v>
      </c>
    </row>
    <row r="120" spans="1:25" x14ac:dyDescent="0.3">
      <c r="A120">
        <v>5950</v>
      </c>
      <c r="B120" t="s">
        <v>886</v>
      </c>
      <c r="C120">
        <f>-548.548432801947 -186.816619497601 -97.3187682300168</f>
        <v>-832.68382052956474</v>
      </c>
      <c r="D120">
        <f>-573.901781046923 -201.151665393857 -209.42548318324</f>
        <v>-984.47892962402</v>
      </c>
      <c r="E120">
        <f>-582.9063427725 -206.944898128155 -307.466368064131</f>
        <v>-1097.3176089647861</v>
      </c>
      <c r="F120">
        <f>-586.379298035252 -209.935223212353 -396.445199730802</f>
        <v>-1192.7597209784069</v>
      </c>
      <c r="G120">
        <f>-584.786689483427 -210.682071150994 -485.524824782322</f>
        <v>-1280.9935854167431</v>
      </c>
      <c r="H120">
        <f>-577.204331199322 -209.480976853657 -609.870478487339</f>
        <v>-1396.555786540318</v>
      </c>
      <c r="I120">
        <f>-540.122728254382 -198.798073521863 -683.462929114355</f>
        <v>-1422.3837308906</v>
      </c>
      <c r="J120">
        <f>-587.358383647766 -183.152665093945 -555.308348306623</f>
        <v>-1325.8193970483339</v>
      </c>
      <c r="K120">
        <f>-626.114606096339 -52.4369570635681 -537.726672717694</f>
        <v>-1216.2782358776012</v>
      </c>
      <c r="L120">
        <f>-711.243338010344 -41.0079025447869 -256.277446044533</f>
        <v>-1008.528686599664</v>
      </c>
      <c r="M120">
        <f>-472.087106408579 -11.7655757308319 -256.537055386959</f>
        <v>-740.38973752637003</v>
      </c>
      <c r="N120">
        <f>-573.723628971413 -236.866420623102 -554.995833598664</f>
        <v>-1365.5858831931791</v>
      </c>
      <c r="O120">
        <f>-551.428054320559 -369.675569462489 -527.377219605327</f>
        <v>-1448.480843388375</v>
      </c>
      <c r="P120">
        <f>-594.646397284671 -431.91268793156 -243.035985077792</f>
        <v>-1269.5950702940231</v>
      </c>
      <c r="Q120">
        <f>-430.765828486358 -266.867951950698 -305.918662760303</f>
        <v>-1003.552443197359</v>
      </c>
      <c r="R120">
        <f>-583.947919077445 -96.7403131180624 -101.880546204938</f>
        <v>-782.56877840044547</v>
      </c>
      <c r="S120" t="s">
        <v>887</v>
      </c>
      <c r="T120" t="s">
        <v>888</v>
      </c>
      <c r="U120" t="s">
        <v>889</v>
      </c>
      <c r="V120">
        <f>-513.382128689324 -277.07399383948 -94.7797157693399</f>
        <v>-885.23583829814379</v>
      </c>
      <c r="W120" t="s">
        <v>890</v>
      </c>
      <c r="X120" t="s">
        <v>891</v>
      </c>
      <c r="Y120" t="s">
        <v>892</v>
      </c>
    </row>
    <row r="121" spans="1:25" x14ac:dyDescent="0.3">
      <c r="A121">
        <v>6000</v>
      </c>
      <c r="B121" t="s">
        <v>893</v>
      </c>
      <c r="C121">
        <f>-548.521872997265 -186.477775252225 -97.34696740139</f>
        <v>-832.34661565087993</v>
      </c>
      <c r="D121">
        <f>-573.815951723565 -200.798461598286 -209.468994039128</f>
        <v>-984.08340736097909</v>
      </c>
      <c r="E121">
        <f>-582.703227745478 -206.577783681159 -307.521525451386</f>
        <v>-1096.8025368780229</v>
      </c>
      <c r="F121">
        <f>-586.042822530812 -209.556253405221 -396.50579520394</f>
        <v>-1192.1048711399731</v>
      </c>
      <c r="G121">
        <f>-584.290241045057 -210.293064619906 -485.582213719238</f>
        <v>-1280.1655193842009</v>
      </c>
      <c r="H121">
        <f>-576.456179651467 -209.0807424683 -609.912378238742</f>
        <v>-1395.4493003585089</v>
      </c>
      <c r="I121">
        <f>-539.198720101258 -198.276301263184 -683.398357362893</f>
        <v>-1420.873378727335</v>
      </c>
      <c r="J121">
        <f>-586.701642343756 -182.75256074912 -555.367332855265</f>
        <v>-1324.821535948141</v>
      </c>
      <c r="K121">
        <f>-625.486823764398 -52.0435682523469 -537.756746303975</f>
        <v>-1215.2871383207198</v>
      </c>
      <c r="L121">
        <f>-710.821862066417 -41.0181387281941 -256.353869418815</f>
        <v>-1008.1938702134262</v>
      </c>
      <c r="M121">
        <f>-471.677796963384 -11.675415577073 -256.534131877877</f>
        <v>-739.88734441833401</v>
      </c>
      <c r="N121">
        <f>-573.105384744526 -236.475993235045 -555.034420829634</f>
        <v>-1364.615798809205</v>
      </c>
      <c r="O121">
        <f>-550.925881942432 -369.276872113809 -527.299912763339</f>
        <v>-1447.5026668195801</v>
      </c>
      <c r="P121">
        <f>-594.429291836127 -431.23294014267 -242.940672250492</f>
        <v>-1268.6029042292892</v>
      </c>
      <c r="Q121">
        <f>-430.181888466661 -266.604160188135 -305.95674747809</f>
        <v>-1002.742796132886</v>
      </c>
      <c r="R121">
        <f>-583.862339296892 -96.4702978875937 -101.932891647888</f>
        <v>-782.26552883237366</v>
      </c>
      <c r="S121" t="s">
        <v>894</v>
      </c>
      <c r="T121" t="s">
        <v>895</v>
      </c>
      <c r="U121" t="s">
        <v>896</v>
      </c>
      <c r="V121">
        <f>-513.44457975731 -276.61774903668 -94.8004619984084</f>
        <v>-884.86279079239841</v>
      </c>
      <c r="W121" t="s">
        <v>897</v>
      </c>
      <c r="X121" t="s">
        <v>898</v>
      </c>
      <c r="Y121" t="s">
        <v>899</v>
      </c>
    </row>
    <row r="122" spans="1:25" x14ac:dyDescent="0.3">
      <c r="A122">
        <v>6050</v>
      </c>
      <c r="B122" t="s">
        <v>900</v>
      </c>
      <c r="C122">
        <f>-548.601229119402 -186.357512640963 -97.3649077360612</f>
        <v>-832.32364949642624</v>
      </c>
      <c r="D122">
        <f>-573.858842976452 -200.674129675326 -209.495699847739</f>
        <v>-984.02867249951692</v>
      </c>
      <c r="E122">
        <f>-582.689636729979 -206.443080019859 -307.553756978811</f>
        <v>-1096.6864737286489</v>
      </c>
      <c r="F122">
        <f>-585.967649473415 -209.41014479188 -396.540945705281</f>
        <v>-1191.9187399705761</v>
      </c>
      <c r="G122">
        <f>-584.14281115191 -210.134541267764 -485.616037965344</f>
        <v>-1279.8933903850179</v>
      </c>
      <c r="H122">
        <f>-576.196689175663 -208.904184116576 -609.938829042336</f>
        <v>-1395.0397023345749</v>
      </c>
      <c r="I122">
        <f>-538.87278871173 -198.087872417817 -683.389176858945</f>
        <v>-1420.349837988492</v>
      </c>
      <c r="J122">
        <f>-586.482285089191 -182.581674404237 -555.398474077503</f>
        <v>-1324.4624335709309</v>
      </c>
      <c r="K122">
        <f>-625.295069745993 -51.8888252244867 -537.744498588032</f>
        <v>-1214.9283935585117</v>
      </c>
      <c r="L122">
        <f>-710.625483982519 -41.1266729835554 -256.329980128757</f>
        <v>-1008.0821370948313</v>
      </c>
      <c r="M122">
        <f>-471.48189031842 -11.7809810990705 -256.62099471791</f>
        <v>-739.88386613540047</v>
      </c>
      <c r="N122">
        <f>-572.904424342231 -236.309554880263 -555.062489192965</f>
        <v>-1364.276468415459</v>
      </c>
      <c r="O122">
        <f>-550.770664759217 -369.1141536583 -527.3225043183</f>
        <v>-1447.2073227358169</v>
      </c>
      <c r="P122">
        <f>-594.345367504532 -431.188849764006 -243.000273545479</f>
        <v>-1268.5344908140169</v>
      </c>
      <c r="Q122">
        <f>-430.059010640987 -266.580888715755 -305.969062292679</f>
        <v>-1002.608961649421</v>
      </c>
      <c r="R122">
        <f>-583.954720506128 -96.3334520756764 -101.957623831142</f>
        <v>-782.24579641294633</v>
      </c>
      <c r="S122" t="s">
        <v>901</v>
      </c>
      <c r="T122" t="s">
        <v>902</v>
      </c>
      <c r="U122" t="s">
        <v>903</v>
      </c>
      <c r="V122">
        <f>-513.53526191822 -276.551344310869 -94.8100329102123</f>
        <v>-884.89663913930133</v>
      </c>
      <c r="W122" t="s">
        <v>904</v>
      </c>
      <c r="X122" t="s">
        <v>905</v>
      </c>
      <c r="Y122" t="s">
        <v>906</v>
      </c>
    </row>
    <row r="123" spans="1:25" x14ac:dyDescent="0.3">
      <c r="A123">
        <v>6100</v>
      </c>
      <c r="B123" t="s">
        <v>907</v>
      </c>
      <c r="C123">
        <f>-548.699262775549 -186.161815032329 -97.3769504589063</f>
        <v>-832.23802826678434</v>
      </c>
      <c r="D123">
        <f>-573.975870478777 -200.480811134408 -209.503049912546</f>
        <v>-983.95973152573094</v>
      </c>
      <c r="E123">
        <f>-582.763638099623 -206.226864621303 -307.566468337487</f>
        <v>-1096.556971058413</v>
      </c>
      <c r="F123">
        <f>-585.977454084858 -209.165121292276 -396.556847889496</f>
        <v>-1191.69942326663</v>
      </c>
      <c r="G123">
        <f>-584.062784186328 -209.853949485281 -485.630449235713</f>
        <v>-1279.5471829073219</v>
      </c>
      <c r="H123">
        <f>-575.964507170916 -208.568261932088 -609.942802361992</f>
        <v>-1394.4755714649959</v>
      </c>
      <c r="I123">
        <f>-538.573058052583 -197.767910699083 -683.361276684855</f>
        <v>-1419.702245436521</v>
      </c>
      <c r="J123">
        <f>-586.301392168798 -182.266125121248 -555.402357142761</f>
        <v>-1323.969874432807</v>
      </c>
      <c r="K123">
        <f>-625.08047487848 -51.5837794123397 -537.60769490677</f>
        <v>-1214.2719491975897</v>
      </c>
      <c r="L123">
        <f>-710.34700613143 -41.1069101850665 -256.163030608405</f>
        <v>-1007.6169469249014</v>
      </c>
      <c r="M123">
        <f>-471.193101677764 -11.8510879821265 -256.778435259257</f>
        <v>-739.82262491914753</v>
      </c>
      <c r="N123">
        <f>-572.754969779498 -236.00203090492 -555.075707569416</f>
        <v>-1363.832708253834</v>
      </c>
      <c r="O123">
        <f>-550.682550649593 -368.83106790688 -527.394317658045</f>
        <v>-1446.907936214518</v>
      </c>
      <c r="P123">
        <f>-594.247200834577 -431.130488292303 -243.119490029407</f>
        <v>-1268.4971791562871</v>
      </c>
      <c r="Q123">
        <f>-429.945517657167 -266.520066666939 -306.041712456779</f>
        <v>-1002.507296780885</v>
      </c>
      <c r="R123">
        <f>-584.024336286501 -96.1964901759748 -101.988591390459</f>
        <v>-782.20941785293473</v>
      </c>
      <c r="S123" t="s">
        <v>908</v>
      </c>
      <c r="T123" t="s">
        <v>909</v>
      </c>
      <c r="U123" t="s">
        <v>910</v>
      </c>
      <c r="V123">
        <f>-513.636770330572 -276.305976177383 -94.8270765806615</f>
        <v>-884.76982308861648</v>
      </c>
      <c r="W123" t="s">
        <v>911</v>
      </c>
      <c r="X123" t="s">
        <v>912</v>
      </c>
      <c r="Y123" t="s">
        <v>913</v>
      </c>
    </row>
    <row r="124" spans="1:25" x14ac:dyDescent="0.3">
      <c r="A124">
        <v>6150</v>
      </c>
      <c r="B124" t="s">
        <v>914</v>
      </c>
      <c r="C124">
        <f>-548.709965834291 -186.131984318351 -97.3800537771252</f>
        <v>-832.2220039297672</v>
      </c>
      <c r="D124">
        <f>-574.014281526168 -200.45647236563 -209.499247369389</f>
        <v>-983.97000126118701</v>
      </c>
      <c r="E124">
        <f>-582.798006953616 -206.192646782354 -307.563536933128</f>
        <v>-1096.554190669098</v>
      </c>
      <c r="F124">
        <f>-585.996695191363 -209.116986699873 -396.554907005962</f>
        <v>-1191.6685888971979</v>
      </c>
      <c r="G124">
        <f>-584.054821513466 -209.787058003558 -485.628084099356</f>
        <v>-1279.46996361638</v>
      </c>
      <c r="H124">
        <f>-575.905745604538 -208.471272169873 -609.936837972423</f>
        <v>-1394.313855746834</v>
      </c>
      <c r="I124">
        <f>-538.492439252422 -197.683534367923 -683.345993626829</f>
        <v>-1419.521967247174</v>
      </c>
      <c r="J124">
        <f>-586.254661703119 -182.179751264439 -555.393513938166</f>
        <v>-1323.8279269057241</v>
      </c>
      <c r="K124">
        <f>-624.996763900008 -51.4971978447334 -537.541868550847</f>
        <v>-1214.0358302955883</v>
      </c>
      <c r="L124">
        <f>-710.183397551387 -41.1079822203894 -256.069876769521</f>
        <v>-1007.3612565412974</v>
      </c>
      <c r="M124">
        <f>-471.030645117312 -11.8481736941353 -256.893901719219</f>
        <v>-739.77272053066633</v>
      </c>
      <c r="N124">
        <f>-572.728826371275 -235.920953012971 -555.075668027357</f>
        <v>-1363.725447411603</v>
      </c>
      <c r="O124">
        <f>-550.701128267267 -368.762695808135 -527.412442986074</f>
        <v>-1446.876267061476</v>
      </c>
      <c r="P124">
        <f>-594.22441300031 -431.108112359252 -243.141603335759</f>
        <v>-1268.4741286953213</v>
      </c>
      <c r="Q124">
        <f>-429.896673927168 -266.547863106307 -306.127412148539</f>
        <v>-1002.5719491820139</v>
      </c>
      <c r="R124">
        <f>-583.989361197441 -96.1566607558473 -101.992313095311</f>
        <v>-782.13833504859929</v>
      </c>
      <c r="S124" t="s">
        <v>915</v>
      </c>
      <c r="T124" t="s">
        <v>916</v>
      </c>
      <c r="U124" t="s">
        <v>917</v>
      </c>
      <c r="V124">
        <f>-513.672427518324 -276.322373732741 -94.8305619382766</f>
        <v>-884.82536318934149</v>
      </c>
      <c r="W124" t="s">
        <v>918</v>
      </c>
      <c r="X124" t="s">
        <v>919</v>
      </c>
      <c r="Y124" t="s">
        <v>920</v>
      </c>
    </row>
    <row r="125" spans="1:25" x14ac:dyDescent="0.3">
      <c r="A125">
        <v>6200</v>
      </c>
      <c r="B125" t="s">
        <v>921</v>
      </c>
      <c r="C125">
        <f>-548.490535824812 -186.27806418428 -97.3607573819212</f>
        <v>-832.12935739101317</v>
      </c>
      <c r="D125">
        <f>-573.900531518415 -200.583847794457 -209.458448786214</f>
        <v>-983.94282809908611</v>
      </c>
      <c r="E125">
        <f>-582.728190968154 -206.317466053139 -307.51894414572</f>
        <v>-1096.5646011670131</v>
      </c>
      <c r="F125">
        <f>-585.947577949112 -209.245226846327 -396.509507442021</f>
        <v>-1191.7023122374599</v>
      </c>
      <c r="G125">
        <f>-584.007340081309 -209.925438210938 -485.58250201605</f>
        <v>-1279.5152803082972</v>
      </c>
      <c r="H125">
        <f>-575.840493053702 -208.630805102392 -609.890383022099</f>
        <v>-1394.3616811781931</v>
      </c>
      <c r="I125">
        <f>-538.424464855975 -197.879163512012 -683.303395480404</f>
        <v>-1419.607023848391</v>
      </c>
      <c r="J125">
        <f>-586.165175624796 -182.321820720086 -555.350897893722</f>
        <v>-1323.8378942386041</v>
      </c>
      <c r="K125">
        <f>-624.77863014984 -51.6091182447606 -537.442293570108</f>
        <v>-1213.8300419647085</v>
      </c>
      <c r="L125">
        <f>-709.742701957633 -41.3017874884551 -255.899960799096</f>
        <v>-1006.9444502451842</v>
      </c>
      <c r="M125">
        <f>-470.605045295551 -11.926355719401 -256.944985158092</f>
        <v>-739.47638617304392</v>
      </c>
      <c r="N125">
        <f>-572.703483786311 -236.079097477899 -555.02638624552</f>
        <v>-1363.8089675097301</v>
      </c>
      <c r="O125">
        <f>-550.813199389111 -368.941435307466 -527.338063510623</f>
        <v>-1447.0926982072001</v>
      </c>
      <c r="P125">
        <f>-594.255201791931 -431.235010439802 -243.043350144491</f>
        <v>-1268.5335623762239</v>
      </c>
      <c r="Q125">
        <f>-429.850868293751 -266.840048672804 -306.260066707292</f>
        <v>-1002.9509836738471</v>
      </c>
      <c r="R125">
        <f>-583.599039918983 -96.3363218807351 -101.958619286703</f>
        <v>-781.89398108642104</v>
      </c>
      <c r="S125" t="s">
        <v>922</v>
      </c>
      <c r="T125" t="s">
        <v>923</v>
      </c>
      <c r="U125" t="s">
        <v>924</v>
      </c>
      <c r="V125">
        <f>-513.641073859915 -276.430072531901 -94.8254850938957</f>
        <v>-884.89663148571174</v>
      </c>
      <c r="W125" t="s">
        <v>925</v>
      </c>
      <c r="X125" t="s">
        <v>926</v>
      </c>
      <c r="Y125" t="s">
        <v>927</v>
      </c>
    </row>
    <row r="126" spans="1:25" x14ac:dyDescent="0.3">
      <c r="A126">
        <v>6250</v>
      </c>
      <c r="B126" t="s">
        <v>928</v>
      </c>
      <c r="C126">
        <f>-548.354105829833 -186.287541812956 -97.3411624354999</f>
        <v>-831.98281007828882</v>
      </c>
      <c r="D126">
        <f>-573.829054966294 -200.583233213032 -209.425406640206</f>
        <v>-983.83769481953209</v>
      </c>
      <c r="E126">
        <f>-582.70700368528 -206.321606168701 -307.481096347493</f>
        <v>-1096.509706201474</v>
      </c>
      <c r="F126">
        <f>-585.970050531736 -209.258057574355 -396.469677540495</f>
        <v>-1191.697785646586</v>
      </c>
      <c r="G126">
        <f>-584.071744219597 -209.9519998745 -485.543559705062</f>
        <v>-1279.5673037991589</v>
      </c>
      <c r="H126">
        <f>-575.961273721585 -208.681877847615 -609.855225826058</f>
        <v>-1394.4983773952581</v>
      </c>
      <c r="I126">
        <f>-538.574090536821 -197.960396992707 -683.287387056164</f>
        <v>-1419.8218745856921</v>
      </c>
      <c r="J126">
        <f>-586.239491463643 -182.356797758441 -555.314947059082</f>
        <v>-1323.9112362811661</v>
      </c>
      <c r="K126">
        <f>-624.724104288229 -51.6092477265177 -537.369420808699</f>
        <v>-1213.7027728234457</v>
      </c>
      <c r="L126">
        <f>-709.610827048199 -41.1659522108546 -255.808918135529</f>
        <v>-1006.5856973945826</v>
      </c>
      <c r="M126">
        <f>-470.469504182006 -11.8179562608336 -256.838739092832</f>
        <v>-739.12619953567162</v>
      </c>
      <c r="N126">
        <f>-572.821072717308 -236.124899591029 -554.988781258942</f>
        <v>-1363.9347535672791</v>
      </c>
      <c r="O126">
        <f>-551.031663726304 -369.002294037385 -527.301575549511</f>
        <v>-1447.3355333131999</v>
      </c>
      <c r="P126">
        <f>-594.412792602488 -431.180000632729 -242.972108985344</f>
        <v>-1268.564902220561</v>
      </c>
      <c r="Q126">
        <f>-429.882299924659 -266.977406034539 -306.360691008572</f>
        <v>-1003.2203969677701</v>
      </c>
      <c r="R126">
        <f>-583.376703708692 -96.3070754529435 -101.939733655403</f>
        <v>-781.62351281703855</v>
      </c>
      <c r="S126" t="s">
        <v>929</v>
      </c>
      <c r="T126" t="s">
        <v>930</v>
      </c>
      <c r="U126" t="s">
        <v>931</v>
      </c>
      <c r="V126">
        <f>-513.598818313573 -276.436054291959 -94.817346539676</f>
        <v>-884.85221914520798</v>
      </c>
      <c r="W126" t="s">
        <v>932</v>
      </c>
      <c r="X126" t="s">
        <v>933</v>
      </c>
      <c r="Y126" t="s">
        <v>934</v>
      </c>
    </row>
    <row r="127" spans="1:25" x14ac:dyDescent="0.3">
      <c r="A127">
        <v>6300</v>
      </c>
      <c r="B127" t="s">
        <v>935</v>
      </c>
      <c r="C127">
        <f>-548.180228302052 -186.140015014774 -97.335200413779</f>
        <v>-831.65544373060504</v>
      </c>
      <c r="D127">
        <f>-573.805540523632 -200.431807968579 -209.385695337952</f>
        <v>-983.62304383016294</v>
      </c>
      <c r="E127">
        <f>-582.773683637296 -206.174995561981 -307.432862103688</f>
        <v>-1096.3815413029649</v>
      </c>
      <c r="F127">
        <f>-586.102292622895 -209.118411267279 -396.418860197908</f>
        <v>-1191.6395640880819</v>
      </c>
      <c r="G127">
        <f>-584.253628560659 -209.822240035749 -485.493576555325</f>
        <v>-1279.5694451517329</v>
      </c>
      <c r="H127">
        <f>-576.195973691332 -208.569375633256 -609.808962747396</f>
        <v>-1394.574312071984</v>
      </c>
      <c r="I127">
        <f>-538.898942785028 -197.929183003768 -683.298790524105</f>
        <v>-1420.1269163129009</v>
      </c>
      <c r="J127">
        <f>-586.399938470658 -182.224022361031 -555.264442606643</f>
        <v>-1323.8884034383318</v>
      </c>
      <c r="K127">
        <f>-624.550344422987 -51.384040124165 -537.28067949225</f>
        <v>-1213.215064039402</v>
      </c>
      <c r="L127">
        <f>-709.397762981991 -40.7593454938965 -255.714982253676</f>
        <v>-1005.8720907295635</v>
      </c>
      <c r="M127">
        <f>-470.261944887735 -11.3640501766595 -256.644232999441</f>
        <v>-738.27022806383548</v>
      </c>
      <c r="N127">
        <f>-573.083435328708 -236.01737451886 -554.943384974512</f>
        <v>-1364.04419482208</v>
      </c>
      <c r="O127">
        <f>-551.575215247613 -368.936033510224 -527.231539997808</f>
        <v>-1447.7427887556451</v>
      </c>
      <c r="P127">
        <f>-594.714396330075 -430.922240448393 -242.823566749445</f>
        <v>-1268.4602035279131</v>
      </c>
      <c r="Q127">
        <f>-429.870487595895 -267.195553736009 -306.627753553677</f>
        <v>-1003.6937948855809</v>
      </c>
      <c r="R127">
        <f>-583.063163917423 -96.0276899986218 -101.930752254751</f>
        <v>-781.02160617079585</v>
      </c>
      <c r="S127" t="s">
        <v>936</v>
      </c>
      <c r="T127" t="s">
        <v>937</v>
      </c>
      <c r="U127" t="s">
        <v>938</v>
      </c>
      <c r="V127">
        <f>-513.57550904186 -276.372288859131 -94.8013905045036</f>
        <v>-884.74918840549458</v>
      </c>
      <c r="W127" t="s">
        <v>939</v>
      </c>
      <c r="X127" t="s">
        <v>940</v>
      </c>
      <c r="Y127" t="s">
        <v>941</v>
      </c>
    </row>
    <row r="128" spans="1:25" x14ac:dyDescent="0.3">
      <c r="A128">
        <v>6350</v>
      </c>
      <c r="B128" t="s">
        <v>942</v>
      </c>
      <c r="C128">
        <f>-548.104187736015 -186.033677324682 -97.3366657814312</f>
        <v>-831.47453084212816</v>
      </c>
      <c r="D128">
        <f>-573.803735756979 -200.320741506152 -209.370631329197</f>
        <v>-983.49510859232805</v>
      </c>
      <c r="E128">
        <f>-582.833047641074 -206.068545042301 -307.41200476747</f>
        <v>-1096.313597450845</v>
      </c>
      <c r="F128">
        <f>-586.215961739466 -209.019204265326 -396.395684113831</f>
        <v>-1191.6308501186231</v>
      </c>
      <c r="G128">
        <f>-584.420255085446 -209.73406544275 -485.471457392784</f>
        <v>-1279.62577792098</v>
      </c>
      <c r="H128">
        <f>-576.434919541156 -208.500338155781 -609.791791164437</f>
        <v>-1394.727048861374</v>
      </c>
      <c r="I128">
        <f>-539.185548353397 -197.908629399389 -683.312614175109</f>
        <v>-1420.406791927895</v>
      </c>
      <c r="J128">
        <f>-586.575349083381 -182.13867084201 -555.243169400414</f>
        <v>-1323.9571893258048</v>
      </c>
      <c r="K128">
        <f>-624.578162622807 -51.2625191834734 -537.235145578857</f>
        <v>-1213.0758273851375</v>
      </c>
      <c r="L128">
        <f>-709.359412919859 -40.6381473026156 -255.649515573465</f>
        <v>-1005.6470757959396</v>
      </c>
      <c r="M128">
        <f>-470.231749925448 -11.1793466818181 -256.663359214812</f>
        <v>-738.07445582207811</v>
      </c>
      <c r="N128">
        <f>-573.322311665766 -235.947724026681 -554.925986423225</f>
        <v>-1364.1960221156719</v>
      </c>
      <c r="O128">
        <f>-551.971939063245 -368.895928708831 -527.227087030687</f>
        <v>-1448.0949548027629</v>
      </c>
      <c r="P128">
        <f>-595.093604288797 -430.780289737019 -242.794232627794</f>
        <v>-1268.66812665361</v>
      </c>
      <c r="Q128">
        <f>-430.010418679979 -267.362489272009 -306.771515198528</f>
        <v>-1004.1444231505161</v>
      </c>
      <c r="R128">
        <f>-582.910526169582 -95.9136752075244 -101.922313601722</f>
        <v>-780.74651497882837</v>
      </c>
      <c r="S128" t="s">
        <v>943</v>
      </c>
      <c r="T128" t="s">
        <v>944</v>
      </c>
      <c r="U128" t="s">
        <v>945</v>
      </c>
      <c r="V128">
        <f>-513.562999707706 -276.339141991153 -94.7956113832059</f>
        <v>-884.69775308206488</v>
      </c>
      <c r="W128" t="s">
        <v>946</v>
      </c>
      <c r="X128" t="s">
        <v>947</v>
      </c>
      <c r="Y128" t="s">
        <v>948</v>
      </c>
    </row>
    <row r="129" spans="1:25" x14ac:dyDescent="0.3">
      <c r="A129">
        <v>6400</v>
      </c>
      <c r="B129" t="s">
        <v>949</v>
      </c>
      <c r="C129">
        <f>-547.89135480558 -185.851213167876 -97.3326734937675</f>
        <v>-831.07524146722358</v>
      </c>
      <c r="D129">
        <f>-573.699065140433 -200.123946118725 -209.343660453631</f>
        <v>-983.16667171278914</v>
      </c>
      <c r="E129">
        <f>-582.878835470899 -205.895601376922 -307.369664097166</f>
        <v>-1096.144100944987</v>
      </c>
      <c r="F129">
        <f>-586.421963213806 -208.880274365984 -396.345815200027</f>
        <v>-1191.6480527798171</v>
      </c>
      <c r="G129">
        <f>-584.809982436289 -209.642063023721 -485.424897161112</f>
        <v>-1279.876942621122</v>
      </c>
      <c r="H129">
        <f>-577.10635574179 -208.486956254516 -609.763646772998</f>
        <v>-1395.3569587693041</v>
      </c>
      <c r="I129">
        <f>-539.944202423964 -198.000320440154 -683.343857489228</f>
        <v>-1421.2883803533459</v>
      </c>
      <c r="J129">
        <f>-587.060059462902 -182.075159733912 -555.204934987496</f>
        <v>-1324.34015418431</v>
      </c>
      <c r="K129">
        <f>-624.791018253354 -51.1237591172242 -537.150089206381</f>
        <v>-1213.064866576959</v>
      </c>
      <c r="L129">
        <f>-709.132665209731 -40.4269112103518 -255.435338484164</f>
        <v>-1004.9949149042468</v>
      </c>
      <c r="M129">
        <f>-469.991758178818 -11.0924672801539 -256.842109495263</f>
        <v>-737.9263349542349</v>
      </c>
      <c r="N129">
        <f>-573.932675871007 -235.915144797429 -554.891647644425</f>
        <v>-1364.7394683128609</v>
      </c>
      <c r="O129">
        <f>-552.838590063495 -368.905708442387 -527.214403800227</f>
        <v>-1448.958702306109</v>
      </c>
      <c r="P129">
        <f>-595.634161607903 -430.643649187771 -242.700483970361</f>
        <v>-1268.9782947660351</v>
      </c>
      <c r="Q129">
        <f>-430.198150043934 -267.650800323618 -306.849675140602</f>
        <v>-1004.698625508154</v>
      </c>
      <c r="R129">
        <f>-582.464761912854 -95.7992855156131 -101.900667885354</f>
        <v>-780.16471531382103</v>
      </c>
      <c r="S129" t="s">
        <v>950</v>
      </c>
      <c r="T129" t="s">
        <v>951</v>
      </c>
      <c r="U129" t="s">
        <v>952</v>
      </c>
      <c r="V129">
        <f>-513.589321082543 -276.078915019397 -94.7967680231434</f>
        <v>-884.4650041250834</v>
      </c>
      <c r="W129" t="s">
        <v>953</v>
      </c>
      <c r="X129" t="s">
        <v>954</v>
      </c>
      <c r="Y129" t="s">
        <v>955</v>
      </c>
    </row>
    <row r="130" spans="1:25" x14ac:dyDescent="0.3">
      <c r="A130">
        <v>6450</v>
      </c>
      <c r="B130" t="s">
        <v>956</v>
      </c>
      <c r="C130">
        <f>-547.810938125092 -185.711936269352 -97.3211061497716</f>
        <v>-830.84398054421558</v>
      </c>
      <c r="D130">
        <f>-573.676310786384 -199.98243998318 -209.319075270688</f>
        <v>-982.97782604025201</v>
      </c>
      <c r="E130">
        <f>-582.948011406243 -205.770361653841 -307.335360485003</f>
        <v>-1096.0537335450872</v>
      </c>
      <c r="F130">
        <f>-586.591833694552 -208.776207842878 -396.306865280451</f>
        <v>-1191.674906817881</v>
      </c>
      <c r="G130">
        <f>-585.097723708438 -209.565479137471 -485.3877554146</f>
        <v>-1280.0509582605091</v>
      </c>
      <c r="H130">
        <f>-577.576638413598 -208.455072727523 -609.738095603764</f>
        <v>-1395.769806744885</v>
      </c>
      <c r="I130">
        <f>-540.489770915507 -198.007000048241 -683.361529619438</f>
        <v>-1421.8583005831861</v>
      </c>
      <c r="J130">
        <f>-587.418714135708 -182.016121360517 -555.172217895788</f>
        <v>-1324.6070533920129</v>
      </c>
      <c r="K130">
        <f>-624.99713516782 -51.0252710874838 -537.098495896583</f>
        <v>-1213.1209021518869</v>
      </c>
      <c r="L130">
        <f>-709.014828819123 -40.1895330187706 -255.292157913126</f>
        <v>-1004.4965197510196</v>
      </c>
      <c r="M130">
        <f>-469.846109325408 -11.0959266301452 -256.943026586738</f>
        <v>-737.88506254229117</v>
      </c>
      <c r="N130">
        <f>-574.354132617301 -235.871264894139 -554.862963823432</f>
        <v>-1365.0883613348719</v>
      </c>
      <c r="O130">
        <f>-553.358347871115 -368.877367472199 -527.181661394453</f>
        <v>-1449.417376737767</v>
      </c>
      <c r="P130">
        <f>-595.945922804212 -430.508766299278 -242.613465296786</f>
        <v>-1269.0681544002762</v>
      </c>
      <c r="Q130">
        <f>-430.422427814564 -267.658881038972 -306.899921463928</f>
        <v>-1004.981230317464</v>
      </c>
      <c r="R130">
        <f>-582.299958157917 -95.6493314675245 -101.901962199313</f>
        <v>-779.8512518247544</v>
      </c>
      <c r="S130" t="s">
        <v>957</v>
      </c>
      <c r="T130" t="s">
        <v>958</v>
      </c>
      <c r="U130" t="s">
        <v>959</v>
      </c>
      <c r="V130">
        <f>-513.589792800013 -275.930249174423 -94.783947435611</f>
        <v>-884.30398941004705</v>
      </c>
      <c r="W130" t="s">
        <v>960</v>
      </c>
      <c r="X130" t="s">
        <v>961</v>
      </c>
      <c r="Y130" t="s">
        <v>962</v>
      </c>
    </row>
    <row r="131" spans="1:25" x14ac:dyDescent="0.3">
      <c r="A131">
        <v>6500</v>
      </c>
      <c r="B131" t="s">
        <v>963</v>
      </c>
      <c r="C131">
        <f>-547.630369066219 -185.324357566633 -97.317878161559</f>
        <v>-830.272604794411</v>
      </c>
      <c r="D131">
        <f>-573.626064240783 -199.594307846041 -209.285832229645</f>
        <v>-982.50620431646894</v>
      </c>
      <c r="E131">
        <f>-583.084947261836 -205.424833677793 -307.281707743476</f>
        <v>-1095.7914886831049</v>
      </c>
      <c r="F131">
        <f>-586.928536623394 -208.485189800816 -396.242946575753</f>
        <v>-1191.6566729999631</v>
      </c>
      <c r="G131">
        <f>-585.664801524833 -209.345775030297 -485.32663056898</f>
        <v>-1280.3372071241101</v>
      </c>
      <c r="H131">
        <f>-578.496477324412 -208.352602492608 -609.698803364491</f>
        <v>-1396.5478831815112</v>
      </c>
      <c r="I131">
        <f>-541.568126945311 -197.969635137975 -683.411143425281</f>
        <v>-1422.9489055085669</v>
      </c>
      <c r="J131">
        <f>-588.118176987434 -181.846505408651 -555.126381766889</f>
        <v>-1325.0910641629739</v>
      </c>
      <c r="K131">
        <f>-625.407616767104 -50.7705869830836 -537.049683726774</f>
        <v>-1213.2278874769615</v>
      </c>
      <c r="L131">
        <f>-708.734510619609 -39.6221963076089 -255.050303208685</f>
        <v>-1003.4070101359029</v>
      </c>
      <c r="M131">
        <f>-469.503530494477 -11.081213124098 -257.249324198077</f>
        <v>-737.8340678166519</v>
      </c>
      <c r="N131">
        <f>-575.183509379136 -235.732980052275 -554.811090231911</f>
        <v>-1365.7275796633221</v>
      </c>
      <c r="O131">
        <f>-554.385414199509 -368.754796387129 -527.063238569744</f>
        <v>-1450.203449156382</v>
      </c>
      <c r="P131">
        <f>-596.595645518969 -430.049855828214 -242.366155754633</f>
        <v>-1269.0116571018159</v>
      </c>
      <c r="Q131">
        <f>-430.880799450219 -267.539287540617 -307.017680384877</f>
        <v>-1005.4377673757131</v>
      </c>
      <c r="R131">
        <f>-582.053820958147 -95.1944682244216 -101.907982769033</f>
        <v>-779.15627195160152</v>
      </c>
      <c r="S131" t="s">
        <v>964</v>
      </c>
      <c r="T131" t="s">
        <v>965</v>
      </c>
      <c r="U131" t="s">
        <v>966</v>
      </c>
      <c r="V131">
        <f>-513.461986387168 -275.610173268379 -94.7771668069236</f>
        <v>-883.84932646247057</v>
      </c>
      <c r="W131" t="s">
        <v>967</v>
      </c>
      <c r="X131" t="s">
        <v>968</v>
      </c>
      <c r="Y131" t="s">
        <v>969</v>
      </c>
    </row>
    <row r="132" spans="1:25" x14ac:dyDescent="0.3">
      <c r="A132">
        <v>6550</v>
      </c>
      <c r="B132" t="s">
        <v>970</v>
      </c>
      <c r="C132">
        <f>-547.554594754658 -185.332224816402 -97.3225941983992</f>
        <v>-830.20941376945916</v>
      </c>
      <c r="D132">
        <f>-573.621219861176 -199.615035693031 -209.272299926631</f>
        <v>-982.50855548083803</v>
      </c>
      <c r="E132">
        <f>-583.173445669317 -205.482265841566 -307.257053452615</f>
        <v>-1095.9127649634979</v>
      </c>
      <c r="F132">
        <f>-587.114655701604 -208.585917764449 -396.212480237848</f>
        <v>-1191.9130537039009</v>
      </c>
      <c r="G132">
        <f>-585.961030423031 -209.500637600854 -485.297104233688</f>
        <v>-1280.7587722575731</v>
      </c>
      <c r="H132">
        <f>-578.960027752786 -208.593790535406 -609.679527997484</f>
        <v>-1397.2333462856759</v>
      </c>
      <c r="I132">
        <f>-542.085877485291 -198.264521019594 -683.426539448522</f>
        <v>-1423.776937953407</v>
      </c>
      <c r="J132">
        <f>-588.476554876651 -182.042028812566 -555.110796533341</f>
        <v>-1325.629380222558</v>
      </c>
      <c r="K132">
        <f>-625.645213622763 -50.9238270305227 -537.045582351153</f>
        <v>-1213.6146230044387</v>
      </c>
      <c r="L132">
        <f>-708.63878686193 -39.6413830445063 -254.95347981784</f>
        <v>-1003.2336497242763</v>
      </c>
      <c r="M132">
        <f>-469.38011984226 -11.3541982338636 -257.399698752038</f>
        <v>-738.13401682816152</v>
      </c>
      <c r="N132">
        <f>-575.605013987367 -235.943676312543 -554.779244501574</f>
        <v>-1366.3279348014839</v>
      </c>
      <c r="O132">
        <f>-554.891584187658 -368.96592373001 -526.991036462792</f>
        <v>-1450.84854438046</v>
      </c>
      <c r="P132">
        <f>-596.956201201401 -429.980554946815 -242.21229687657</f>
        <v>-1269.1490530247859</v>
      </c>
      <c r="Q132">
        <f>-431.133277575752 -267.65526769635 -307.051356051601</f>
        <v>-1005.8399013237031</v>
      </c>
      <c r="R132">
        <f>-581.893788136941 -95.171549330398 -101.909124785864</f>
        <v>-778.974462253203</v>
      </c>
      <c r="S132" t="s">
        <v>971</v>
      </c>
      <c r="T132" t="s">
        <v>972</v>
      </c>
      <c r="U132" t="s">
        <v>973</v>
      </c>
      <c r="V132">
        <f>-513.493772597702 -275.695452020939 -94.7677430362811</f>
        <v>-883.9569676549221</v>
      </c>
      <c r="W132" t="s">
        <v>974</v>
      </c>
      <c r="X132" t="s">
        <v>975</v>
      </c>
      <c r="Y132" t="s">
        <v>976</v>
      </c>
    </row>
    <row r="133" spans="1:25" x14ac:dyDescent="0.3">
      <c r="A133">
        <v>6600</v>
      </c>
      <c r="B133" t="s">
        <v>977</v>
      </c>
      <c r="C133">
        <f>-547.405422181875 -185.174807307956 -97.3106344073643</f>
        <v>-829.89086389719535</v>
      </c>
      <c r="D133">
        <f>-573.600333243521 -199.485281016741 -209.226958347752</f>
        <v>-982.31257260801397</v>
      </c>
      <c r="E133">
        <f>-583.316327919165 -205.427036922356 -307.190974480098</f>
        <v>-1095.9343393216191</v>
      </c>
      <c r="F133">
        <f>-587.427821676346 -208.617848115941 -396.135635394148</f>
        <v>-1192.1813051864349</v>
      </c>
      <c r="G133">
        <f>-586.466593527066 -209.639071911976 -485.221444140248</f>
        <v>-1281.32710957929</v>
      </c>
      <c r="H133">
        <f>-579.757206875792 -208.901738909071 -609.620940462815</f>
        <v>-1398.279886247678</v>
      </c>
      <c r="I133">
        <f>-542.981645945241 -198.725561675389 -683.438599035797</f>
        <v>-1425.1458066564269</v>
      </c>
      <c r="J133">
        <f>-589.100737647323 -182.26483385002 -555.063875710489</f>
        <v>-1326.4294472078318</v>
      </c>
      <c r="K133">
        <f>-626.091075211121 -51.1025810589626 -537.016719836874</f>
        <v>-1214.2103761069577</v>
      </c>
      <c r="L133">
        <f>-708.485855610042 -39.5240981953355 -254.760943152795</f>
        <v>-1002.7708969581724</v>
      </c>
      <c r="M133">
        <f>-469.192274264284 -11.5781204795496 -257.675337170312</f>
        <v>-738.44573191414565</v>
      </c>
      <c r="N133">
        <f>-576.318590813447 -236.187480979232 -554.693987932347</f>
        <v>-1367.200059725026</v>
      </c>
      <c r="O133">
        <f>-555.728279264171 -369.21662399967 -526.804542021858</f>
        <v>-1451.749445285699</v>
      </c>
      <c r="P133">
        <f>-597.457844697482 -429.800232861397 -241.884431603569</f>
        <v>-1269.1425091624481</v>
      </c>
      <c r="Q133">
        <f>-431.431904983521 -267.839345054687 -307.114134752118</f>
        <v>-1006.385384790326</v>
      </c>
      <c r="R133">
        <f>-581.638571997186 -95.0060300380674 -101.915546669748</f>
        <v>-778.56014870500132</v>
      </c>
      <c r="S133" t="s">
        <v>978</v>
      </c>
      <c r="T133" t="s">
        <v>979</v>
      </c>
      <c r="U133" t="s">
        <v>980</v>
      </c>
      <c r="V133">
        <f>-513.44320527993 -275.487838772625 -94.7546016617705</f>
        <v>-883.68564571432557</v>
      </c>
      <c r="W133" t="s">
        <v>981</v>
      </c>
      <c r="X133" t="s">
        <v>982</v>
      </c>
      <c r="Y133" t="s">
        <v>983</v>
      </c>
    </row>
    <row r="134" spans="1:25" x14ac:dyDescent="0.3">
      <c r="A134">
        <v>6650</v>
      </c>
      <c r="B134" t="s">
        <v>984</v>
      </c>
      <c r="C134">
        <f>-547.41868840061 -185.204608292551 -97.3048004609554</f>
        <v>-829.92809715411647</v>
      </c>
      <c r="D134">
        <f>-573.689412540021 -199.538180986744 -209.200317320336</f>
        <v>-982.42791084710097</v>
      </c>
      <c r="E134">
        <f>-583.485297723397 -205.509439973623 -307.154590405834</f>
        <v>-1096.149328102854</v>
      </c>
      <c r="F134">
        <f>-587.675052403795 -208.730185285367 -396.094686300873</f>
        <v>-1192.4999239900351</v>
      </c>
      <c r="G134">
        <f>-586.797902690672 -209.785070108108 -485.180889557408</f>
        <v>-1281.7638623561879</v>
      </c>
      <c r="H134">
        <f>-580.212040594622 -209.097868176816 -609.587308293875</f>
        <v>-1398.8972170653128</v>
      </c>
      <c r="I134">
        <f>-543.474131570835 -198.987535612227 -683.432711273105</f>
        <v>-1425.894378456167</v>
      </c>
      <c r="J134">
        <f>-589.488094306805 -182.435727469068 -555.03089597316</f>
        <v>-1326.9547177490331</v>
      </c>
      <c r="K134">
        <f>-626.400741023617 -51.2509064602214 -536.990426822817</f>
        <v>-1214.6420743066553</v>
      </c>
      <c r="L134">
        <f>-708.575484865474 -39.5749073138629 -254.674587364026</f>
        <v>-1002.8249795433629</v>
      </c>
      <c r="M134">
        <f>-469.2725343481 -11.7244716568862 -257.737503558969</f>
        <v>-738.73450956395527</v>
      </c>
      <c r="N134">
        <f>-576.732228461524 -236.364486456248 -554.653587247909</f>
        <v>-1367.7503021656808</v>
      </c>
      <c r="O134">
        <f>-556.167754658034 -369.392737167599 -526.74603274234</f>
        <v>-1452.3065245679732</v>
      </c>
      <c r="P134">
        <f>-597.753077966995 -429.831922674188 -241.77400852063</f>
        <v>-1269.359009161813</v>
      </c>
      <c r="Q134">
        <f>-431.644438222793 -268.02318635791 -307.170763972056</f>
        <v>-1006.8383885527589</v>
      </c>
      <c r="R134">
        <f>-581.594266912863 -94.9701446363051 -101.925851525842</f>
        <v>-778.49026307501003</v>
      </c>
      <c r="S134" t="s">
        <v>985</v>
      </c>
      <c r="T134" t="s">
        <v>986</v>
      </c>
      <c r="U134" t="s">
        <v>987</v>
      </c>
      <c r="V134">
        <f>-513.526098763076 -275.627450123028 -94.7431042375503</f>
        <v>-883.89665312365423</v>
      </c>
      <c r="W134" t="s">
        <v>988</v>
      </c>
      <c r="X134" t="s">
        <v>989</v>
      </c>
      <c r="Y134" t="s">
        <v>990</v>
      </c>
    </row>
    <row r="135" spans="1:25" x14ac:dyDescent="0.3">
      <c r="A135">
        <v>6700</v>
      </c>
      <c r="B135" t="s">
        <v>991</v>
      </c>
      <c r="C135">
        <f>-547.549870432435 -185.106238311737 -97.3306586397744</f>
        <v>-829.98676738394636</v>
      </c>
      <c r="D135">
        <f>-573.976401009092 -199.525553210936 -209.178501568783</f>
        <v>-982.68045578881095</v>
      </c>
      <c r="E135">
        <f>-583.904371173382 -205.571531386598 -307.11485018833</f>
        <v>-1096.59075274831</v>
      </c>
      <c r="F135">
        <f>-588.211834496499 -208.860120160273 -396.046733219748</f>
        <v>-1193.11868787652</v>
      </c>
      <c r="G135">
        <f>-587.45064833277 -209.983505891443 -485.133199040797</f>
        <v>-1282.5673532650101</v>
      </c>
      <c r="H135">
        <f>-581.024175650956 -209.393207924169 -609.54854367627</f>
        <v>-1399.965927251395</v>
      </c>
      <c r="I135">
        <f>-544.336140621551 -199.405558840077 -683.435393438083</f>
        <v>-1427.1770928997109</v>
      </c>
      <c r="J135">
        <f>-590.20435316148 -182.682613712147 -554.999718893695</f>
        <v>-1327.886685767322</v>
      </c>
      <c r="K135">
        <f>-627.023429084539 -51.4722860708184 -536.966196541049</f>
        <v>-1215.4619116964063</v>
      </c>
      <c r="L135">
        <f>-708.887273253854 -39.699681981785 -254.564123564125</f>
        <v>-1003.151078799764</v>
      </c>
      <c r="M135">
        <f>-469.593822984423 -11.7886691110941 -257.794963902265</f>
        <v>-739.17745599778209</v>
      </c>
      <c r="N135">
        <f>-577.499901878395 -236.623361660486 -554.599427960984</f>
        <v>-1368.722691499865</v>
      </c>
      <c r="O135">
        <f>-557.03975795682 -369.660955570924 -526.654644366159</f>
        <v>-1453.3553578939031</v>
      </c>
      <c r="P135">
        <f>-598.362442083791 -429.864984032697 -241.594661575208</f>
        <v>-1269.8220876916969</v>
      </c>
      <c r="Q135">
        <f>-432.071976444899 -268.354791027792 -307.266733973601</f>
        <v>-1007.693501446292</v>
      </c>
      <c r="R135">
        <f>-581.698753719661 -94.7679881465572 -101.971548435012</f>
        <v>-778.43829030123015</v>
      </c>
      <c r="S135" t="s">
        <v>992</v>
      </c>
      <c r="T135" t="s">
        <v>993</v>
      </c>
      <c r="U135" t="s">
        <v>994</v>
      </c>
      <c r="V135">
        <f>-513.671255813468 -275.637610328889 -94.7281928362742</f>
        <v>-884.03705897863108</v>
      </c>
      <c r="W135" t="s">
        <v>995</v>
      </c>
      <c r="X135" t="s">
        <v>996</v>
      </c>
      <c r="Y135" t="s">
        <v>997</v>
      </c>
    </row>
    <row r="136" spans="1:25" x14ac:dyDescent="0.3">
      <c r="A136">
        <v>6750</v>
      </c>
      <c r="B136" t="s">
        <v>998</v>
      </c>
      <c r="C136">
        <f>-547.664195081077 -184.904199772119 -97.3500454146589</f>
        <v>-829.91844026785486</v>
      </c>
      <c r="D136">
        <f>-574.1515440612 -199.37303820197 -209.17720449462</f>
        <v>-982.70178675778993</v>
      </c>
      <c r="E136">
        <f>-584.110577529629 -205.44607292749 -307.108630465082</f>
        <v>-1096.665280922201</v>
      </c>
      <c r="F136">
        <f>-588.437188280564 -208.753311976401 -396.038900418887</f>
        <v>-1193.229400675852</v>
      </c>
      <c r="G136">
        <f>-587.685655940176 -209.889595397915 -485.125324956126</f>
        <v>-1282.7005762942169</v>
      </c>
      <c r="H136">
        <f>-581.262791654974 -209.311826780226 -609.540848541999</f>
        <v>-1400.115466977199</v>
      </c>
      <c r="I136">
        <f>-544.560879092568 -199.348298278123 -683.424051128983</f>
        <v>-1427.3332284996741</v>
      </c>
      <c r="J136">
        <f>-590.430808172928 -182.59330082446 -554.993864137614</f>
        <v>-1328.017973135002</v>
      </c>
      <c r="K136">
        <f>-627.204195646772 -51.3685463620641 -536.951782863534</f>
        <v>-1215.52452487237</v>
      </c>
      <c r="L136">
        <f>-709.028314130469 -39.5682270416289 -254.539434293466</f>
        <v>-1003.1359754655639</v>
      </c>
      <c r="M136">
        <f>-469.743502028603 -11.58469834523 -257.784449904463</f>
        <v>-739.11265027829597</v>
      </c>
      <c r="N136">
        <f>-577.74760114143 -236.539042786044 -554.589532253061</f>
        <v>-1368.8761761805349</v>
      </c>
      <c r="O136">
        <f>-557.34457194041 -369.573281992061 -526.607035744453</f>
        <v>-1453.524889676924</v>
      </c>
      <c r="P136">
        <f>-598.644128108264 -429.666654214259 -241.520505899622</f>
        <v>-1269.8312882221451</v>
      </c>
      <c r="Q136">
        <f>-432.260514183458 -268.299569377941 -307.308045101424</f>
        <v>-1007.868128662823</v>
      </c>
      <c r="R136">
        <f>-581.84960629528 -94.4994083820197 -102.011748595812</f>
        <v>-778.36076327311173</v>
      </c>
      <c r="S136" t="s">
        <v>999</v>
      </c>
      <c r="T136" t="s">
        <v>1000</v>
      </c>
      <c r="U136" t="s">
        <v>1001</v>
      </c>
      <c r="V136">
        <f>-513.7492990731 -275.438821642048 -94.7202387361586</f>
        <v>-883.90835945130664</v>
      </c>
      <c r="W136" t="s">
        <v>1002</v>
      </c>
      <c r="X136" t="s">
        <v>1003</v>
      </c>
      <c r="Y136" t="s">
        <v>1004</v>
      </c>
    </row>
    <row r="137" spans="1:25" x14ac:dyDescent="0.3">
      <c r="A137">
        <v>6800</v>
      </c>
      <c r="B137" t="s">
        <v>1005</v>
      </c>
      <c r="C137">
        <f>-548.032834775982 -184.828453514594 -97.4010203011383</f>
        <v>-830.26230859171426</v>
      </c>
      <c r="D137">
        <f>-574.578876021419 -199.360241257534 -209.205959169447</f>
        <v>-983.1450764484</v>
      </c>
      <c r="E137">
        <f>-584.52594122079 -205.489037181617 -307.135342456574</f>
        <v>-1097.1503208589811</v>
      </c>
      <c r="F137">
        <f>-588.815569342218 -208.849323206219 -396.065365319104</f>
        <v>-1193.730257867541</v>
      </c>
      <c r="G137">
        <f>-588.000233982219 -210.043280316032 -485.15041208919</f>
        <v>-1283.193926387441</v>
      </c>
      <c r="H137">
        <f>-581.460001396496 -209.552010608323 -609.560227772219</f>
        <v>-1400.572239777038</v>
      </c>
      <c r="I137">
        <f>-544.667939125235 -199.601858207312 -683.400313757648</f>
        <v>-1427.670111090195</v>
      </c>
      <c r="J137">
        <f>-590.656382849261 -182.790122046681 -555.039213209271</f>
        <v>-1328.485718105213</v>
      </c>
      <c r="K137">
        <f>-627.320572344468 -51.5327571125279 -536.983538684211</f>
        <v>-1215.8368681412069</v>
      </c>
      <c r="L137">
        <f>-709.233828782581 -39.6947875279009 -254.598440198334</f>
        <v>-1003.5270565088158</v>
      </c>
      <c r="M137">
        <f>-469.921091654161 -11.9077272847201 -257.46075157664</f>
        <v>-739.28957051552106</v>
      </c>
      <c r="N137">
        <f>-578.019606721586 -236.746334003384 -554.587918470481</f>
        <v>-1369.3538591954512</v>
      </c>
      <c r="O137">
        <f>-557.751756284206 -369.784768458205 -526.547569442435</f>
        <v>-1454.084094184846</v>
      </c>
      <c r="P137">
        <f>-599.236686385401 -429.567198948712 -241.422566251044</f>
        <v>-1270.2264515851568</v>
      </c>
      <c r="Q137">
        <f>-432.701714190776 -268.403119258719 -307.325044409597</f>
        <v>-1008.429877859092</v>
      </c>
      <c r="R137">
        <f>-582.207020129347 -94.4139134756749 -102.068790789305</f>
        <v>-778.68972439432696</v>
      </c>
      <c r="S137" t="s">
        <v>1006</v>
      </c>
      <c r="T137" t="s">
        <v>1007</v>
      </c>
      <c r="U137" t="s">
        <v>1008</v>
      </c>
      <c r="V137">
        <f>-514.144095237567 -275.416539554891 -94.7141962225774</f>
        <v>-884.27483101503526</v>
      </c>
      <c r="W137" t="s">
        <v>1009</v>
      </c>
      <c r="X137" t="s">
        <v>1010</v>
      </c>
      <c r="Y137" t="s">
        <v>1011</v>
      </c>
    </row>
    <row r="138" spans="1:25" x14ac:dyDescent="0.3">
      <c r="A138">
        <v>6850</v>
      </c>
      <c r="B138" t="s">
        <v>1012</v>
      </c>
      <c r="C138">
        <f>-548.242227917143 -184.797149160507 -97.4069302721728</f>
        <v>-830.44630734982275</v>
      </c>
      <c r="D138">
        <f>-574.768163504671 -199.347835902538 -209.214187395451</f>
        <v>-983.33018680265991</v>
      </c>
      <c r="E138">
        <f>-584.672807827112 -205.496808406093 -307.146515316917</f>
        <v>-1097.316131550122</v>
      </c>
      <c r="F138">
        <f>-588.913538487576 -208.878005893508 -396.078102826499</f>
        <v>-1193.8696472075831</v>
      </c>
      <c r="G138">
        <f>-588.038664842883 -210.096453781799 -485.162310695912</f>
        <v>-1283.2974293205941</v>
      </c>
      <c r="H138">
        <f>-581.404012878464 -209.644112879903 -609.567266599715</f>
        <v>-1400.6153923580819</v>
      </c>
      <c r="I138">
        <f>-544.586921053687 -199.704881983187 -683.396353351685</f>
        <v>-1427.688156388559</v>
      </c>
      <c r="J138">
        <f>-590.629043325281 -182.862207479944 -555.061012269941</f>
        <v>-1328.5522630751661</v>
      </c>
      <c r="K138">
        <f>-627.22254060458 -51.5910324819113 -537.003624337436</f>
        <v>-1215.8171974239272</v>
      </c>
      <c r="L138">
        <f>-709.36440807604 -39.609022492363 -254.691150270637</f>
        <v>-1003.66458083904</v>
      </c>
      <c r="M138">
        <f>-470.02888865642 -11.989026969768 -257.239472613014</f>
        <v>-739.2573882392021</v>
      </c>
      <c r="N138">
        <f>-578.018185225642 -236.824196387401 -554.58460117456</f>
        <v>-1369.426982787603</v>
      </c>
      <c r="O138">
        <f>-557.82675649168 -369.87387673294 -526.5187037313</f>
        <v>-1454.21933695592</v>
      </c>
      <c r="P138">
        <f>-599.452077572083 -429.557819143379 -241.393520684377</f>
        <v>-1270.4034173998389</v>
      </c>
      <c r="Q138">
        <f>-432.856833526114 -268.470417338385 -307.33081028247</f>
        <v>-1008.658061146969</v>
      </c>
      <c r="R138">
        <f>-582.414244285997 -94.4127199733546 -102.099149705865</f>
        <v>-778.92611396521659</v>
      </c>
      <c r="S138" t="s">
        <v>1013</v>
      </c>
      <c r="T138" t="s">
        <v>1014</v>
      </c>
      <c r="U138" t="s">
        <v>1015</v>
      </c>
      <c r="V138">
        <f>-514.349946236514 -275.340810333132 -94.711906524653</f>
        <v>-884.4026630942991</v>
      </c>
      <c r="W138" t="s">
        <v>1016</v>
      </c>
      <c r="X138" t="s">
        <v>1017</v>
      </c>
      <c r="Y138" t="s">
        <v>1018</v>
      </c>
    </row>
    <row r="139" spans="1:25" x14ac:dyDescent="0.3">
      <c r="A139">
        <v>6900</v>
      </c>
      <c r="B139" t="s">
        <v>1019</v>
      </c>
      <c r="C139">
        <f>-548.76432416588 -184.921091839296 -97.3904262856324</f>
        <v>-831.0758422908084</v>
      </c>
      <c r="D139">
        <f>-575.208267016344 -199.437603384251 -209.221542621641</f>
        <v>-983.86741302223606</v>
      </c>
      <c r="E139">
        <f>-584.967012329901 -205.566333226319 -307.169848182775</f>
        <v>-1097.703193738995</v>
      </c>
      <c r="F139">
        <f>-589.044608454986 -208.936649548672 -396.109356549304</f>
        <v>-1194.0906145529621</v>
      </c>
      <c r="G139">
        <f>-587.974765828684 -210.154257047724 -485.191600590667</f>
        <v>-1283.3206234670752</v>
      </c>
      <c r="H139">
        <f>-581.034730666362 -209.713723253193 -609.579937066925</f>
        <v>-1400.3283909864799</v>
      </c>
      <c r="I139">
        <f>-544.152317600845 -199.821557041951 -683.382666591421</f>
        <v>-1427.3565412342168</v>
      </c>
      <c r="J139">
        <f>-590.3499024567 -182.916401461957 -555.096445185453</f>
        <v>-1328.36274910411</v>
      </c>
      <c r="K139">
        <f>-626.792314941792 -51.594694463847 -537.076848504585</f>
        <v>-1215.4638579102239</v>
      </c>
      <c r="L139">
        <f>-709.973907585046 -39.4199986719507 -255.077054253832</f>
        <v>-1004.4709605108287</v>
      </c>
      <c r="M139">
        <f>-470.618490427727 -11.9178723864745 -256.948876608118</f>
        <v>-739.48523942231952</v>
      </c>
      <c r="N139">
        <f>-577.827633383138 -236.898814217033 -554.588949217896</f>
        <v>-1369.315396818067</v>
      </c>
      <c r="O139">
        <f>-557.912392526715 -369.98679441876 -526.497315637681</f>
        <v>-1454.3965025831562</v>
      </c>
      <c r="P139">
        <f>-599.904722433449 -429.695034624801 -241.431046475666</f>
        <v>-1271.0308035339158</v>
      </c>
      <c r="Q139">
        <f>-433.118970565421 -268.797879576319 -307.351410466657</f>
        <v>-1009.268260608397</v>
      </c>
      <c r="R139">
        <f>-582.881351175032 -94.5332539695278 -102.127535984151</f>
        <v>-779.5421411287108</v>
      </c>
      <c r="S139" t="s">
        <v>1020</v>
      </c>
      <c r="T139" t="s">
        <v>1021</v>
      </c>
      <c r="U139" t="s">
        <v>1022</v>
      </c>
      <c r="V139">
        <f>-514.936467509624 -275.531453774326 -94.7094836855927</f>
        <v>-885.17740496954264</v>
      </c>
      <c r="W139" t="s">
        <v>1023</v>
      </c>
      <c r="X139" t="s">
        <v>1024</v>
      </c>
      <c r="Y139" t="s">
        <v>1025</v>
      </c>
    </row>
    <row r="140" spans="1:25" x14ac:dyDescent="0.3">
      <c r="A140">
        <v>6950</v>
      </c>
      <c r="B140" t="s">
        <v>1026</v>
      </c>
      <c r="C140">
        <f>-548.993810590678 -184.928549650178 -97.3799650478832</f>
        <v>-831.30232528873921</v>
      </c>
      <c r="D140">
        <f>-575.384079515165 -199.378635723109 -209.232355834922</f>
        <v>-983.99507107319607</v>
      </c>
      <c r="E140">
        <f>-585.057068873835 -205.470505385334 -307.191522086136</f>
        <v>-1097.7190963453049</v>
      </c>
      <c r="F140">
        <f>-589.041059533737 -208.816742642429 -396.136233075575</f>
        <v>-1193.994035251741</v>
      </c>
      <c r="G140">
        <f>-587.862046503886 -210.02110197129 -485.21711706644</f>
        <v>-1283.100265541616</v>
      </c>
      <c r="H140">
        <f>-580.752992929692 -209.574204480586 -609.595753447447</f>
        <v>-1399.922950857725</v>
      </c>
      <c r="I140">
        <f>-543.840417966343 -199.728765431234 -683.389843509182</f>
        <v>-1426.9590269067589</v>
      </c>
      <c r="J140">
        <f>-590.121698107703 -182.774862952735 -555.122658398798</f>
        <v>-1328.019219459236</v>
      </c>
      <c r="K140">
        <f>-626.518077607015 -51.4342507958336 -537.139464646896</f>
        <v>-1215.0917930497446</v>
      </c>
      <c r="L140">
        <f>-710.258689641217 -39.2140838466578 -255.307206647747</f>
        <v>-1004.7799801356217</v>
      </c>
      <c r="M140">
        <f>-470.90185484087 -11.7047460828162 -256.849732000422</f>
        <v>-739.45633292410821</v>
      </c>
      <c r="N140">
        <f>-577.641125452598 -236.766744338614 -554.603211087472</f>
        <v>-1369.011080878684</v>
      </c>
      <c r="O140">
        <f>-557.867499241435 -369.870502746699 -526.513697010283</f>
        <v>-1454.2516989984169</v>
      </c>
      <c r="P140">
        <f>-600.159027816044 -429.638389758273 -241.504182806142</f>
        <v>-1271.3016003804591</v>
      </c>
      <c r="Q140">
        <f>-433.227022311338 -268.850740200188 -307.321297288688</f>
        <v>-1009.399059800214</v>
      </c>
      <c r="R140">
        <f>-583.120281860157 -94.5366691543466 -102.102975868412</f>
        <v>-779.75992688291558</v>
      </c>
      <c r="S140" t="s">
        <v>1027</v>
      </c>
      <c r="T140" t="s">
        <v>1028</v>
      </c>
      <c r="U140" t="s">
        <v>1029</v>
      </c>
      <c r="V140">
        <f>-515.142041781891 -275.485474991407 -94.7343346875642</f>
        <v>-885.36185146086211</v>
      </c>
      <c r="W140" t="s">
        <v>1030</v>
      </c>
      <c r="X140" t="s">
        <v>1031</v>
      </c>
      <c r="Y140" t="s">
        <v>1032</v>
      </c>
    </row>
    <row r="141" spans="1:25" x14ac:dyDescent="0.3">
      <c r="A141">
        <v>7000</v>
      </c>
      <c r="B141" t="s">
        <v>1033</v>
      </c>
      <c r="C141">
        <f>-549.312510421504 -185.295989155357 -97.3523447351922</f>
        <v>-831.96084431205327</v>
      </c>
      <c r="D141">
        <f>-575.630641520369 -199.643585774559 -209.234988599765</f>
        <v>-984.50921589469294</v>
      </c>
      <c r="E141">
        <f>-585.175158884041 -205.652878195231 -307.211778359173</f>
        <v>-1098.039815438445</v>
      </c>
      <c r="F141">
        <f>-589.01621801039 -208.928057628933 -396.165417669917</f>
        <v>-1194.1096933092399</v>
      </c>
      <c r="G141">
        <f>-587.667930672486 -210.066414212893 -485.2447863917</f>
        <v>-1282.979131277079</v>
      </c>
      <c r="H141">
        <f>-580.294707255125 -209.533810313985 -609.60774376845</f>
        <v>-1399.4362613375599</v>
      </c>
      <c r="I141">
        <f>-543.309164112965 -199.78857535664 -683.37860071492</f>
        <v>-1426.476340184525</v>
      </c>
      <c r="J141">
        <f>-589.755679768015 -182.766683021004 -555.134670228032</f>
        <v>-1327.6570330170512</v>
      </c>
      <c r="K141">
        <f>-626.093526573888 -51.4173510598484 -537.134063456643</f>
        <v>-1214.6449410903795</v>
      </c>
      <c r="L141">
        <f>-710.506705420522 -39.1401995924687 -255.505119661538</f>
        <v>-1005.1520246745288</v>
      </c>
      <c r="M141">
        <f>-471.163297486977 -11.4978310825743 -256.727132073688</f>
        <v>-739.38826064323928</v>
      </c>
      <c r="N141">
        <f>-577.322842324026 -236.769738068298 -554.628921344685</f>
        <v>-1368.721501737009</v>
      </c>
      <c r="O141">
        <f>-557.782941549399 -369.921447522453 -526.574665853398</f>
        <v>-1454.27905492525</v>
      </c>
      <c r="P141">
        <f>-600.517959261051 -429.865384693428 -241.66827151222</f>
        <v>-1272.0516154666989</v>
      </c>
      <c r="Q141">
        <f>-433.247729309412 -269.356089240285 -307.305671245317</f>
        <v>-1009.909489795014</v>
      </c>
      <c r="R141">
        <f>-583.334759468661 -94.9071250625648 -102.02815742999</f>
        <v>-780.27004196121572</v>
      </c>
      <c r="S141" t="s">
        <v>1034</v>
      </c>
      <c r="T141" t="s">
        <v>1035</v>
      </c>
      <c r="U141" t="s">
        <v>1036</v>
      </c>
      <c r="V141">
        <f>-515.569069437454 -275.88393744452 -94.7438355686659</f>
        <v>-886.19684245063991</v>
      </c>
      <c r="W141" t="s">
        <v>1037</v>
      </c>
      <c r="X141" t="s">
        <v>1038</v>
      </c>
      <c r="Y141" t="s">
        <v>1039</v>
      </c>
    </row>
    <row r="142" spans="1:25" x14ac:dyDescent="0.3">
      <c r="A142">
        <v>7050</v>
      </c>
      <c r="B142" t="s">
        <v>1040</v>
      </c>
      <c r="C142">
        <f>-549.463620718557 -185.367464894824 -97.3482520340336</f>
        <v>-832.17933764741463</v>
      </c>
      <c r="D142">
        <f>-575.75622137019 -199.665077890141 -209.243393604798</f>
        <v>-984.66469286512904</v>
      </c>
      <c r="E142">
        <f>-585.252120652819 -205.620931914463 -307.228073996036</f>
        <v>-1098.1011265633181</v>
      </c>
      <c r="F142">
        <f>-589.038571393188 -208.844036472293 -396.186114533406</f>
        <v>-1194.0687223988871</v>
      </c>
      <c r="G142">
        <f>-587.624723411172 -209.926743854687 -485.265100648211</f>
        <v>-1282.81656791407</v>
      </c>
      <c r="H142">
        <f>-580.148723368275 -209.313587405561 -609.621642007011</f>
        <v>-1399.0839527808471</v>
      </c>
      <c r="I142">
        <f>-543.105295842639 -199.601090151805 -683.367697790924</f>
        <v>-1426.074083785368</v>
      </c>
      <c r="J142">
        <f>-589.642217305472 -182.57874143244 -555.138213529175</f>
        <v>-1327.3591722670869</v>
      </c>
      <c r="K142">
        <f>-625.961971131847 -51.2344756816722 -537.082522866656</f>
        <v>-1214.2789696801751</v>
      </c>
      <c r="L142">
        <f>-710.523288702308 -39.0113623390159 -255.49558946747</f>
        <v>-1005.030240508794</v>
      </c>
      <c r="M142">
        <f>-471.206834959785 -11.1348058755955 -256.690976520212</f>
        <v>-739.03261735559249</v>
      </c>
      <c r="N142">
        <f>-577.234793045408 -236.587952683026 -554.658672758109</f>
        <v>-1368.4814184865431</v>
      </c>
      <c r="O142">
        <f>-557.803730162041 -369.769734099425 -526.648874722821</f>
        <v>-1454.222338984287</v>
      </c>
      <c r="P142">
        <f>-600.64336208485 -429.784035337482 -241.773028420302</f>
        <v>-1272.2004258426341</v>
      </c>
      <c r="Q142">
        <f>-433.217244444482 -269.427700892991 -307.387094002432</f>
        <v>-1010.0320393399049</v>
      </c>
      <c r="R142">
        <f>-583.42397054937 -94.9270463955743 -101.998895806557</f>
        <v>-780.34991275150128</v>
      </c>
      <c r="S142" t="s">
        <v>1041</v>
      </c>
      <c r="T142" t="s">
        <v>1042</v>
      </c>
      <c r="U142" t="s">
        <v>1043</v>
      </c>
      <c r="V142">
        <f>-515.799325650104 -275.953813787632 -94.74746284686</f>
        <v>-886.50060228459608</v>
      </c>
      <c r="W142" t="s">
        <v>1044</v>
      </c>
      <c r="X142" t="s">
        <v>1045</v>
      </c>
      <c r="Y142" t="s">
        <v>1046</v>
      </c>
    </row>
    <row r="143" spans="1:25" x14ac:dyDescent="0.3">
      <c r="A143">
        <v>7100</v>
      </c>
      <c r="B143" t="s">
        <v>1047</v>
      </c>
      <c r="C143">
        <f>-549.6375315377 -185.353856556059 -97.3327939662464</f>
        <v>-832.32418206000546</v>
      </c>
      <c r="D143">
        <f>-575.909641818849 -199.583087055837 -209.241378283856</f>
        <v>-984.73410715854197</v>
      </c>
      <c r="E143">
        <f>-585.355381391302 -205.446455743283 -307.236544752313</f>
        <v>-1098.0383818868979</v>
      </c>
      <c r="F143">
        <f>-589.082791629284 -208.572070979125 -396.200494414604</f>
        <v>-1193.8553570230129</v>
      </c>
      <c r="G143">
        <f>-587.596204395786 -209.543898450843 -485.279597433824</f>
        <v>-1282.4197002804531</v>
      </c>
      <c r="H143">
        <f>-580.004591031293 -208.761596086116 -609.6281799208</f>
        <v>-1398.3943670382091</v>
      </c>
      <c r="I143">
        <f>-542.872627435748 -199.076487533893 -683.333286444453</f>
        <v>-1425.282401414094</v>
      </c>
      <c r="J143">
        <f>-589.530772388697 -182.096796836518 -555.11611904383</f>
        <v>-1326.7436882690449</v>
      </c>
      <c r="K143">
        <f>-625.79670063508 -50.7511918454552 -536.941871251627</f>
        <v>-1213.4897637321624</v>
      </c>
      <c r="L143">
        <f>-710.29990643277 -38.8402531559479 -255.324056049835</f>
        <v>-1004.4642156385529</v>
      </c>
      <c r="M143">
        <f>-471.040224214268 -10.4885411448799 -256.677631249442</f>
        <v>-738.2063966085899</v>
      </c>
      <c r="N143">
        <f>-577.159718672296 -236.114825703668 -554.700825601823</f>
        <v>-1367.9753699777871</v>
      </c>
      <c r="O143">
        <f>-557.838275266597 -369.325098423908 -526.78717892956</f>
        <v>-1453.9505526200651</v>
      </c>
      <c r="P143">
        <f>-600.835969002035 -429.729849720365 -242.017725879891</f>
        <v>-1272.5835446022909</v>
      </c>
      <c r="Q143">
        <f>-433.355665731758 -269.385162360712 -307.522093475442</f>
        <v>-1010.2629215679119</v>
      </c>
      <c r="R143">
        <f>-583.45575328517 -95.0020922176789 -101.957038505726</f>
        <v>-780.41488400857486</v>
      </c>
      <c r="S143" t="s">
        <v>1048</v>
      </c>
      <c r="T143" t="s">
        <v>1049</v>
      </c>
      <c r="U143" t="s">
        <v>1050</v>
      </c>
      <c r="V143">
        <f>-516.087975726703 -275.905758372847 -94.7551053832339</f>
        <v>-886.74883948278386</v>
      </c>
      <c r="W143" t="s">
        <v>1051</v>
      </c>
      <c r="X143" t="s">
        <v>1052</v>
      </c>
      <c r="Y143" t="s">
        <v>1053</v>
      </c>
    </row>
    <row r="144" spans="1:25" x14ac:dyDescent="0.3">
      <c r="A144">
        <v>7150</v>
      </c>
      <c r="B144" t="s">
        <v>1054</v>
      </c>
      <c r="C144">
        <f>-549.678746342957 -185.302979773692 -97.320499898547</f>
        <v>-832.30222601519597</v>
      </c>
      <c r="D144">
        <f>-575.960982941918 -199.524771911515 -209.227690152743</f>
        <v>-984.71344500617602</v>
      </c>
      <c r="E144">
        <f>-585.403081852593 -205.361312367922 -307.2247384017</f>
        <v>-1097.989132622215</v>
      </c>
      <c r="F144">
        <f>-589.122282865563 -208.453919026623 -396.190147270349</f>
        <v>-1193.7663491625349</v>
      </c>
      <c r="G144">
        <f>-587.622376889357 -209.383890279961 -485.269515670525</f>
        <v>-1282.275782839843</v>
      </c>
      <c r="H144">
        <f>-580.006537806672 -208.534007938545 -609.616073737635</f>
        <v>-1398.156619482852</v>
      </c>
      <c r="I144">
        <f>-542.851510955245 -198.840927837242 -683.308740824252</f>
        <v>-1425.0011796167391</v>
      </c>
      <c r="J144">
        <f>-589.53737736061 -181.897470068273 -555.09118641552</f>
        <v>-1326.5260338444032</v>
      </c>
      <c r="K144">
        <f>-625.779681649198 -50.5489678648403 -536.860043142144</f>
        <v>-1213.1886926561824</v>
      </c>
      <c r="L144">
        <f>-710.209137783821 -38.8197510530904 -255.212633581333</f>
        <v>-1004.2415224182444</v>
      </c>
      <c r="M144">
        <f>-470.9741296033 -10.2672211880692 -256.711123892079</f>
        <v>-737.95247468344814</v>
      </c>
      <c r="N144">
        <f>-577.178327188214 -235.918500392798 -554.703501934282</f>
        <v>-1367.8003295152939</v>
      </c>
      <c r="O144">
        <f>-557.908174406581 -369.147119918443 -526.849072277385</f>
        <v>-1453.904366602409</v>
      </c>
      <c r="P144">
        <f>-600.919145183717 -429.726087338056 -242.118520968709</f>
        <v>-1272.7637534904818</v>
      </c>
      <c r="Q144">
        <f>-433.441324792832 -269.334618025802 -307.514591719735</f>
        <v>-1010.290534538369</v>
      </c>
      <c r="R144">
        <f>-583.475094790886 -94.9174234832744 -101.943706786544</f>
        <v>-780.33622506070446</v>
      </c>
      <c r="S144" t="s">
        <v>1055</v>
      </c>
      <c r="T144" t="s">
        <v>1056</v>
      </c>
      <c r="U144" t="s">
        <v>1057</v>
      </c>
      <c r="V144">
        <f>-516.154262236221 -275.878220703237 -94.7502236228036</f>
        <v>-886.78270656226164</v>
      </c>
      <c r="W144" t="s">
        <v>1058</v>
      </c>
      <c r="X144" t="s">
        <v>1059</v>
      </c>
      <c r="Y144" t="s">
        <v>1060</v>
      </c>
    </row>
    <row r="145" spans="1:25" x14ac:dyDescent="0.3">
      <c r="A145">
        <v>7200</v>
      </c>
      <c r="B145" t="s">
        <v>1061</v>
      </c>
      <c r="C145">
        <f>-549.61651204229 -185.350143617709 -97.2868236966759</f>
        <v>-832.25347935667492</v>
      </c>
      <c r="D145">
        <f>-575.895623159217 -199.563582051462 -209.195671088062</f>
        <v>-984.6548762987411</v>
      </c>
      <c r="E145">
        <f>-585.327173984953 -205.3801337556 -307.194919875559</f>
        <v>-1097.902227616112</v>
      </c>
      <c r="F145">
        <f>-589.033525585086 -208.449649579769 -396.161830157412</f>
        <v>-1193.645005322267</v>
      </c>
      <c r="G145">
        <f>-587.517159345689 -209.351693664507 -485.241111491058</f>
        <v>-1282.1099645012541</v>
      </c>
      <c r="H145">
        <f>-579.874570139828 -208.457688290496 -609.585893798458</f>
        <v>-1397.918152228782</v>
      </c>
      <c r="I145">
        <f>-542.707311135138 -198.748414891948 -683.269975671719</f>
        <v>-1424.7257016988049</v>
      </c>
      <c r="J145">
        <f>-589.412539902111 -181.8394856893 -555.053223217589</f>
        <v>-1326.305248809</v>
      </c>
      <c r="K145">
        <f>-625.660047037671 -50.4951500986072 -536.787830065442</f>
        <v>-1212.9430272017203</v>
      </c>
      <c r="L145">
        <f>-709.966113261241 -39.0035861941808 -255.093601212222</f>
        <v>-1004.0633006676438</v>
      </c>
      <c r="M145">
        <f>-470.731533174661 -10.4663709627328 -256.922324916408</f>
        <v>-738.12022905380184</v>
      </c>
      <c r="N145">
        <f>-577.062860145999 -235.862748490312 -554.682506535665</f>
        <v>-1367.6081151719759</v>
      </c>
      <c r="O145">
        <f>-557.828105701288 -369.104378888402 -526.871973740128</f>
        <v>-1453.8044583298179</v>
      </c>
      <c r="P145">
        <f>-600.915220596664 -429.925010723099 -242.204582545831</f>
        <v>-1273.0448138655941</v>
      </c>
      <c r="Q145">
        <f>-433.533676265593 -269.4163065212 -307.559342627874</f>
        <v>-1010.509325414667</v>
      </c>
      <c r="R145">
        <f>-583.313548441012 -94.9990466892934 -101.912109749634</f>
        <v>-780.22470487993951</v>
      </c>
      <c r="S145" t="s">
        <v>1062</v>
      </c>
      <c r="T145" t="s">
        <v>1063</v>
      </c>
      <c r="U145" t="s">
        <v>1064</v>
      </c>
      <c r="V145">
        <f>-516.174592392166 -275.897949771718 -94.7211743024114</f>
        <v>-886.79371646629545</v>
      </c>
      <c r="W145" t="s">
        <v>1065</v>
      </c>
      <c r="X145" t="s">
        <v>1066</v>
      </c>
      <c r="Y145" t="s">
        <v>1067</v>
      </c>
    </row>
    <row r="146" spans="1:25" x14ac:dyDescent="0.3">
      <c r="A146">
        <v>7250</v>
      </c>
      <c r="B146" t="s">
        <v>1068</v>
      </c>
      <c r="C146">
        <f>-549.460388947624 -185.296503152422 -97.2698853619934</f>
        <v>-832.02677746203938</v>
      </c>
      <c r="D146">
        <f>-575.717104618671 -199.5139222454 -209.183572288516</f>
        <v>-984.41459915258702</v>
      </c>
      <c r="E146">
        <f>-585.13563118314 -205.338556986137 -307.183689757031</f>
        <v>-1097.6578779263082</v>
      </c>
      <c r="F146">
        <f>-588.832304252175 -208.418000486632 -396.150451511954</f>
        <v>-1193.4007562507609</v>
      </c>
      <c r="G146">
        <f>-587.308632228865 -209.332801336893 -485.22955452585</f>
        <v>-1281.8709880916081</v>
      </c>
      <c r="H146">
        <f>-579.657875250567 -208.460099453458 -609.57385780794</f>
        <v>-1397.691832511965</v>
      </c>
      <c r="I146">
        <f>-542.47734196252 -198.748038996913 -683.251018505114</f>
        <v>-1424.4763994645468</v>
      </c>
      <c r="J146">
        <f>-589.197345948198 -181.832069183709 -555.046261942101</f>
        <v>-1326.0756770740079</v>
      </c>
      <c r="K146">
        <f>-625.411366776899 -50.4825903838002 -536.775077934411</f>
        <v>-1212.6690350951103</v>
      </c>
      <c r="L146">
        <f>-709.760579529895 -38.9984577589996 -255.093455216135</f>
        <v>-1003.8524925050297</v>
      </c>
      <c r="M146">
        <f>-470.50872273603 -10.6128652276007 -256.998010195308</f>
        <v>-738.11959815893874</v>
      </c>
      <c r="N146">
        <f>-576.851740822201 -235.856247428987 -554.665850404086</f>
        <v>-1367.3738386552741</v>
      </c>
      <c r="O146">
        <f>-557.604136364122 -369.096127644439 -526.843102505167</f>
        <v>-1453.543366513728</v>
      </c>
      <c r="P146">
        <f>-600.721788046737 -429.868614235036 -242.170077096984</f>
        <v>-1272.7604793787568</v>
      </c>
      <c r="Q146">
        <f>-433.365016189052 -269.339243616195 -307.537549464232</f>
        <v>-1010.2418092694791</v>
      </c>
      <c r="R146">
        <f>-583.189064039423 -94.9841719753176 -101.894096972309</f>
        <v>-780.06733298704967</v>
      </c>
      <c r="S146" t="s">
        <v>1069</v>
      </c>
      <c r="T146" t="s">
        <v>1070</v>
      </c>
      <c r="U146" t="s">
        <v>1071</v>
      </c>
      <c r="V146">
        <f>-515.974407365418 -275.797381253271 -94.7111364681996</f>
        <v>-886.4829250868886</v>
      </c>
      <c r="W146" t="s">
        <v>1072</v>
      </c>
      <c r="X146" t="s">
        <v>1073</v>
      </c>
      <c r="Y146" t="s">
        <v>1074</v>
      </c>
    </row>
    <row r="147" spans="1:25" x14ac:dyDescent="0.3">
      <c r="A147">
        <v>7300</v>
      </c>
      <c r="B147" t="s">
        <v>1075</v>
      </c>
      <c r="C147">
        <f>-549.025205588675 -185.238406532598 -97.2584694382912</f>
        <v>-831.52208155956419</v>
      </c>
      <c r="D147">
        <f>-575.257335463978 -199.500272315 -209.172235864609</f>
        <v>-983.92984364358699</v>
      </c>
      <c r="E147">
        <f>-584.671078761353 -205.370489124929 -307.170063720696</f>
        <v>-1097.211631606978</v>
      </c>
      <c r="F147">
        <f>-588.369715400299 -208.495225962422 -396.13528460984</f>
        <v>-1193.0002259725611</v>
      </c>
      <c r="G147">
        <f>-586.853676486379 -209.460056797951 -485.213877010902</f>
        <v>-1281.5276102952321</v>
      </c>
      <c r="H147">
        <f>-579.219824278866 -208.662777023171 -609.559780356532</f>
        <v>-1397.442381658569</v>
      </c>
      <c r="I147">
        <f>-542.018352837632 -198.995152816416 -683.232189376061</f>
        <v>-1424.2456950301089</v>
      </c>
      <c r="J147">
        <f>-588.753262431093 -182.001899361147 -555.047247993393</f>
        <v>-1325.802409785633</v>
      </c>
      <c r="K147">
        <f>-624.943628942203 -50.6462331758064 -536.781440095663</f>
        <v>-1212.3713022136724</v>
      </c>
      <c r="L147">
        <f>-709.166627690607 -39.0747826452025 -255.065672904481</f>
        <v>-1003.3070832402905</v>
      </c>
      <c r="M147">
        <f>-469.886784714377 -10.9361419536804 -257.12938862854</f>
        <v>-737.95231529659736</v>
      </c>
      <c r="N147">
        <f>-576.40497188452 -236.025350995515 -554.635547470957</f>
        <v>-1367.0658703509921</v>
      </c>
      <c r="O147">
        <f>-557.112386451766 -369.239706202097 -526.71700515114</f>
        <v>-1453.0690978050031</v>
      </c>
      <c r="P147">
        <f>-600.123327183513 -429.888682073339 -242.001362469155</f>
        <v>-1272.0133717260071</v>
      </c>
      <c r="Q147">
        <f>-432.887068243348 -269.283868328078 -307.491701237363</f>
        <v>-1009.662637808789</v>
      </c>
      <c r="R147">
        <f>-582.822398203333 -95.0098521742252 -101.89009327188</f>
        <v>-779.72234364943824</v>
      </c>
      <c r="S147" t="s">
        <v>1076</v>
      </c>
      <c r="T147" t="s">
        <v>1077</v>
      </c>
      <c r="U147" t="s">
        <v>1078</v>
      </c>
      <c r="V147">
        <f>-515.479091765405 -275.676507963627 -94.6921746550872</f>
        <v>-885.84777438411925</v>
      </c>
      <c r="W147" t="s">
        <v>1079</v>
      </c>
      <c r="X147" t="s">
        <v>1080</v>
      </c>
      <c r="Y147" t="s">
        <v>1081</v>
      </c>
    </row>
    <row r="148" spans="1:25" x14ac:dyDescent="0.3">
      <c r="A148">
        <v>7350</v>
      </c>
      <c r="B148" t="s">
        <v>1082</v>
      </c>
      <c r="C148">
        <f>-548.844281091871 -185.099527495888 -97.273130069483</f>
        <v>-831.21693865724205</v>
      </c>
      <c r="D148">
        <f>-575.06974469417 -199.380692895037 -209.185986289303</f>
        <v>-983.63642387850996</v>
      </c>
      <c r="E148">
        <f>-584.48431190873 -205.266630800318 -307.182790663258</f>
        <v>-1096.9337333723061</v>
      </c>
      <c r="F148">
        <f>-588.185993972761 -208.405892569875 -396.147306189738</f>
        <v>-1192.739192732374</v>
      </c>
      <c r="G148">
        <f>-586.675259767085 -209.385530355542 -485.225840485451</f>
        <v>-1281.286630608078</v>
      </c>
      <c r="H148">
        <f>-579.051322273178 -208.609492610252 -609.572589357816</f>
        <v>-1397.233404241246</v>
      </c>
      <c r="I148">
        <f>-541.843258808675 -198.98161050269 -683.246824330985</f>
        <v>-1424.0716936423501</v>
      </c>
      <c r="J148">
        <f>-588.582022752027 -181.939789294579 -555.063789181904</f>
        <v>-1325.5856012285099</v>
      </c>
      <c r="K148">
        <f>-624.776190730105 -50.5891715195062 -536.785873636241</f>
        <v>-1212.1512358858522</v>
      </c>
      <c r="L148">
        <f>-708.86575900558 -38.9890519566302 -255.031361312581</f>
        <v>-1002.8861722747912</v>
      </c>
      <c r="M148">
        <f>-469.591102667202 -10.8103731344936 -257.143523873758</f>
        <v>-737.5449996754536</v>
      </c>
      <c r="N148">
        <f>-576.230532269424 -235.962222829498 -554.643672646096</f>
        <v>-1366.8364277450178</v>
      </c>
      <c r="O148">
        <f>-556.934989669284 -369.168547073326 -526.681811036818</f>
        <v>-1452.7853477794279</v>
      </c>
      <c r="P148">
        <f>-599.832842598088 -429.767975588059 -241.938584932773</f>
        <v>-1271.5394031189201</v>
      </c>
      <c r="Q148">
        <f>-432.627549446662 -269.167461786333 -307.518517309529</f>
        <v>-1009.313528542524</v>
      </c>
      <c r="R148">
        <f>-582.719869310406 -94.8627534800803 -101.91003482044</f>
        <v>-779.49265761092636</v>
      </c>
      <c r="S148" t="s">
        <v>1083</v>
      </c>
      <c r="T148" t="s">
        <v>1084</v>
      </c>
      <c r="U148" t="s">
        <v>1085</v>
      </c>
      <c r="V148">
        <f>-515.244736791367 -275.506875634301 -94.692286582535</f>
        <v>-885.44389900820306</v>
      </c>
      <c r="W148" t="s">
        <v>1086</v>
      </c>
      <c r="X148" t="s">
        <v>1087</v>
      </c>
      <c r="Y148" t="s">
        <v>1088</v>
      </c>
    </row>
    <row r="149" spans="1:25" x14ac:dyDescent="0.3">
      <c r="A149">
        <v>7400</v>
      </c>
      <c r="B149" t="s">
        <v>1089</v>
      </c>
      <c r="C149">
        <f>-548.449794414832 -185.043705619087 -97.2830233574548</f>
        <v>-830.77652339137376</v>
      </c>
      <c r="D149">
        <f>-574.68785335788 -199.349333247253 -209.189832860333</f>
        <v>-983.22701946546601</v>
      </c>
      <c r="E149">
        <f>-584.122825407701 -205.238680911002 -307.184374825116</f>
        <v>-1096.5458811438191</v>
      </c>
      <c r="F149">
        <f>-587.846501283123 -208.373505410355 -396.14823015685</f>
        <v>-1192.3682368503278</v>
      </c>
      <c r="G149">
        <f>-586.361417077232 -209.340765165954 -485.227392164588</f>
        <v>-1280.929574407774</v>
      </c>
      <c r="H149">
        <f>-578.776644786094 -208.538639528117 -609.576341718497</f>
        <v>-1396.891626032708</v>
      </c>
      <c r="I149">
        <f>-541.563603520766 -199.017860953094 -683.261942465764</f>
        <v>-1423.8434069396239</v>
      </c>
      <c r="J149">
        <f>-588.298621820978 -181.88235097757 -555.059454920838</f>
        <v>-1325.2404277193859</v>
      </c>
      <c r="K149">
        <f>-624.513382109144 -50.5426724909009 -536.719950921797</f>
        <v>-1211.7760055218419</v>
      </c>
      <c r="L149">
        <f>-708.376155660993 -38.9467533973327 -254.897630688003</f>
        <v>-1002.2205397463288</v>
      </c>
      <c r="M149">
        <f>-469.131318938485 -10.5237935038751 -257.106717130534</f>
        <v>-736.76182957289404</v>
      </c>
      <c r="N149">
        <f>-575.930020772547 -235.901006968477 -554.653468416294</f>
        <v>-1366.4844961573181</v>
      </c>
      <c r="O149">
        <f>-556.614292434982 -369.094665813422 -526.657677525609</f>
        <v>-1452.366635774013</v>
      </c>
      <c r="P149">
        <f>-599.320516170734 -429.664191090943 -241.879236200242</f>
        <v>-1270.863943461919</v>
      </c>
      <c r="Q149">
        <f>-432.12784921195 -269.097197723052 -307.573248092808</f>
        <v>-1008.7982950278099</v>
      </c>
      <c r="R149">
        <f>-582.301842439297 -94.8559943961234 -101.926456165605</f>
        <v>-779.08429300102546</v>
      </c>
      <c r="S149" t="s">
        <v>1090</v>
      </c>
      <c r="T149" t="s">
        <v>1091</v>
      </c>
      <c r="U149" t="s">
        <v>1092</v>
      </c>
      <c r="V149">
        <f>-514.875260390576 -275.429759611637 -94.6844760619606</f>
        <v>-884.98949606417364</v>
      </c>
      <c r="W149" t="s">
        <v>1093</v>
      </c>
      <c r="X149" t="s">
        <v>1094</v>
      </c>
      <c r="Y149" t="s">
        <v>1095</v>
      </c>
    </row>
    <row r="150" spans="1:25" x14ac:dyDescent="0.3">
      <c r="A150">
        <v>7450</v>
      </c>
      <c r="B150" t="s">
        <v>1096</v>
      </c>
      <c r="C150">
        <f>-548.264421032584 -185.024394653864 -97.2826413167958</f>
        <v>-830.57145700324372</v>
      </c>
      <c r="D150">
        <f>-574.518953056825 -199.336583348134 -209.184805242185</f>
        <v>-983.04034164714403</v>
      </c>
      <c r="E150">
        <f>-583.964022644604 -205.222812132593 -307.178703969204</f>
        <v>-1096.3655387464009</v>
      </c>
      <c r="F150">
        <f>-587.695435500812 -208.350471169956 -396.142341695225</f>
        <v>-1192.1882483659929</v>
      </c>
      <c r="G150">
        <f>-586.216787847347 -209.306046875193 -485.221808389632</f>
        <v>-1280.7446431121721</v>
      </c>
      <c r="H150">
        <f>-578.639757598561 -208.482160082429 -609.570896474036</f>
        <v>-1396.6928141550261</v>
      </c>
      <c r="I150">
        <f>-541.421879695144 -199.030286026004 -683.262925889417</f>
        <v>-1423.715091610565</v>
      </c>
      <c r="J150">
        <f>-588.162257561712 -181.836236743764 -555.049095482233</f>
        <v>-1325.0475897877091</v>
      </c>
      <c r="K150">
        <f>-624.387636735201 -50.5040426214264 -536.672994281273</f>
        <v>-1211.5646736379003</v>
      </c>
      <c r="L150">
        <f>-708.23516166056 -38.8786357546346 -254.847406031027</f>
        <v>-1001.9612034462216</v>
      </c>
      <c r="M150">
        <f>-468.998662467342 -10.3857079137895 -257.055343407263</f>
        <v>-736.43971378839456</v>
      </c>
      <c r="N150">
        <f>-575.785951949666 -235.85324143338 -554.652948636551</f>
        <v>-1366.2921420195969</v>
      </c>
      <c r="O150">
        <f>-556.470913719404 -369.04758998943 -526.653573540826</f>
        <v>-1452.1720772496601</v>
      </c>
      <c r="P150">
        <f>-599.11491202449 -429.571286990717 -241.856066143555</f>
        <v>-1270.5422651587619</v>
      </c>
      <c r="Q150">
        <f>-431.896584707474 -269.029601855799 -307.546569226922</f>
        <v>-1008.4727557901949</v>
      </c>
      <c r="R150">
        <f>-582.088649866543 -94.8373725161621 -101.925379928701</f>
        <v>-778.8514023114061</v>
      </c>
      <c r="S150" t="s">
        <v>1097</v>
      </c>
      <c r="T150" t="s">
        <v>1098</v>
      </c>
      <c r="U150" t="s">
        <v>1099</v>
      </c>
      <c r="V150">
        <f>-514.726325099806 -275.395334651402 -94.6739039819272</f>
        <v>-884.79556373313517</v>
      </c>
      <c r="W150" t="s">
        <v>1100</v>
      </c>
      <c r="X150" t="s">
        <v>1101</v>
      </c>
      <c r="Y150" t="s">
        <v>1102</v>
      </c>
    </row>
    <row r="151" spans="1:25" x14ac:dyDescent="0.3">
      <c r="A151">
        <v>7500</v>
      </c>
      <c r="B151" t="s">
        <v>1103</v>
      </c>
      <c r="C151">
        <f>-547.948987751821 -185.025949013786 -97.2758480337532</f>
        <v>-830.25078479936019</v>
      </c>
      <c r="D151">
        <f>-574.217190929462 -199.342184059618 -209.174319855222</f>
        <v>-982.73369484430214</v>
      </c>
      <c r="E151">
        <f>-583.628191264494 -205.203248631395 -307.172955708179</f>
        <v>-1096.0043956040681</v>
      </c>
      <c r="F151">
        <f>-587.310275476157 -208.296187210148 -396.139775608154</f>
        <v>-1191.7462382944591</v>
      </c>
      <c r="G151">
        <f>-585.763627190806 -209.204820406633 -485.218610224064</f>
        <v>-1280.187057821503</v>
      </c>
      <c r="H151">
        <f>-578.071963138049 -208.30240410827 -609.560303230001</f>
        <v>-1395.93467047632</v>
      </c>
      <c r="I151">
        <f>-540.822651482697 -199.039236426423 -683.26030930855</f>
        <v>-1423.12219721767</v>
      </c>
      <c r="J151">
        <f>-587.64811369307 -181.691740788574 -555.030635169949</f>
        <v>-1324.3704896515928</v>
      </c>
      <c r="K151">
        <f>-623.91462194112 -50.3740874180749 -536.624395816432</f>
        <v>-1210.9131051756267</v>
      </c>
      <c r="L151">
        <f>-707.904762727393 -38.7223134467931 -254.842362907902</f>
        <v>-1001.469439082088</v>
      </c>
      <c r="M151">
        <f>-468.675637253235 -10.1640185738504 -257.012662591901</f>
        <v>-735.85231841898644</v>
      </c>
      <c r="N151">
        <f>-575.265140858732 -235.707333358354 -554.656626193957</f>
        <v>-1365.6291004110431</v>
      </c>
      <c r="O151">
        <f>-555.982947461449 -368.901667143296 -526.651827438362</f>
        <v>-1451.5364420431069</v>
      </c>
      <c r="P151">
        <f>-598.642332926738 -429.461345197032 -241.864266846457</f>
        <v>-1269.9679449702271</v>
      </c>
      <c r="Q151">
        <f>-431.282733389258 -269.039709903838 -307.488842925575</f>
        <v>-1007.8112862186711</v>
      </c>
      <c r="R151">
        <f>-581.721145976731 -94.7921039540197 -101.935600005973</f>
        <v>-778.44884993672372</v>
      </c>
      <c r="S151" t="s">
        <v>1104</v>
      </c>
      <c r="T151" t="s">
        <v>1105</v>
      </c>
      <c r="U151" t="s">
        <v>1106</v>
      </c>
      <c r="V151">
        <f>-514.456757665821 -275.439152451406 -94.6622770277825</f>
        <v>-884.55818714500947</v>
      </c>
      <c r="W151" t="s">
        <v>1107</v>
      </c>
      <c r="X151" t="s">
        <v>1108</v>
      </c>
      <c r="Y151" t="s">
        <v>1109</v>
      </c>
    </row>
    <row r="152" spans="1:25" x14ac:dyDescent="0.3">
      <c r="A152">
        <v>7550</v>
      </c>
      <c r="B152" t="s">
        <v>1110</v>
      </c>
      <c r="C152">
        <f>-547.807395054504 -184.995539569679 -97.2860586981868</f>
        <v>-830.0889933223699</v>
      </c>
      <c r="D152">
        <f>-574.067775239533 -199.311508145843 -209.186398734593</f>
        <v>-982.5656821199691</v>
      </c>
      <c r="E152">
        <f>-583.449804886374 -205.167959923664 -307.18811440225</f>
        <v>-1095.8058792122879</v>
      </c>
      <c r="F152">
        <f>-587.096610812677 -208.255041083847 -396.156676548976</f>
        <v>-1191.5083284455</v>
      </c>
      <c r="G152">
        <f>-585.505695306342 -209.155948012138 -485.234680782264</f>
        <v>-1279.8963241007439</v>
      </c>
      <c r="H152">
        <f>-577.742804869743 -208.241414466288 -609.57182755387</f>
        <v>-1395.5560468899012</v>
      </c>
      <c r="I152">
        <f>-540.474121329867 -199.108385333403 -683.278374970713</f>
        <v>-1422.8608816339829</v>
      </c>
      <c r="J152">
        <f>-587.348264250782 -181.635615957857 -555.044926407075</f>
        <v>-1324.0288066157141</v>
      </c>
      <c r="K152">
        <f>-623.629130182387 -50.3238723938359 -536.616292842786</f>
        <v>-1210.569295419009</v>
      </c>
      <c r="L152">
        <f>-707.683709226266 -38.7405831097071 -254.850740692974</f>
        <v>-1001.2750330289472</v>
      </c>
      <c r="M152">
        <f>-468.455229619057 -10.1723280997505 -256.969944870945</f>
        <v>-735.59750258975248</v>
      </c>
      <c r="N152">
        <f>-574.96938440676 -235.65210523753 -554.669408528437</f>
        <v>-1365.2908981727269</v>
      </c>
      <c r="O152">
        <f>-555.708542243014 -368.854025345187 -526.67467481323</f>
        <v>-1451.2372424014311</v>
      </c>
      <c r="P152">
        <f>-598.465434276575 -429.409631305567 -241.9009118711</f>
        <v>-1269.7759774532419</v>
      </c>
      <c r="Q152">
        <f>-431.020256425766 -269.048679791474 -307.454665597628</f>
        <v>-1007.523601814868</v>
      </c>
      <c r="R152">
        <f>-581.552392827494 -94.7910080584352 -101.944089216994</f>
        <v>-778.28749010292324</v>
      </c>
      <c r="S152" t="s">
        <v>1111</v>
      </c>
      <c r="T152" t="s">
        <v>1112</v>
      </c>
      <c r="U152" t="s">
        <v>1113</v>
      </c>
      <c r="V152">
        <f>-514.338146779748 -275.379972042503 -94.6610241657036</f>
        <v>-884.37914298795454</v>
      </c>
      <c r="W152" t="s">
        <v>1114</v>
      </c>
      <c r="X152" t="s">
        <v>1115</v>
      </c>
      <c r="Y152" t="s">
        <v>1116</v>
      </c>
    </row>
    <row r="153" spans="1:25" x14ac:dyDescent="0.3">
      <c r="A153">
        <v>7600</v>
      </c>
      <c r="B153" t="s">
        <v>1117</v>
      </c>
      <c r="C153">
        <f>-547.520475019885 -184.890079998664 -97.2854633312788</f>
        <v>-829.6960183498278</v>
      </c>
      <c r="D153">
        <f>-573.739329002282 -199.203747814525 -209.195741062772</f>
        <v>-982.13881787957894</v>
      </c>
      <c r="E153">
        <f>-583.047421864638 -205.056295432506 -307.204778458199</f>
        <v>-1095.3084957553428</v>
      </c>
      <c r="F153">
        <f>-586.610763503071 -208.141180895271 -396.176799380546</f>
        <v>-1190.928743778888</v>
      </c>
      <c r="G153">
        <f>-584.919748897503 -209.043380599344 -485.253015975211</f>
        <v>-1279.2161454720581</v>
      </c>
      <c r="H153">
        <f>-576.999577544132 -208.135411705796 -609.580225629507</f>
        <v>-1394.7152148794348</v>
      </c>
      <c r="I153">
        <f>-539.768725934491 -199.25772541844 -683.337131491941</f>
        <v>-1422.3635828448721</v>
      </c>
      <c r="J153">
        <f>-586.644207351959 -181.519871301618 -555.065144794897</f>
        <v>-1323.2292234484739</v>
      </c>
      <c r="K153">
        <f>-622.818046622239 -50.1830441200934 -536.605797361361</f>
        <v>-1209.6068881036936</v>
      </c>
      <c r="L153">
        <f>-707.14377897781 -38.7032812702821 -254.917068836368</f>
        <v>-1000.7641290844601</v>
      </c>
      <c r="M153">
        <f>-467.892636608441 -10.3122204716435 -256.856920518023</f>
        <v>-735.06177759810748</v>
      </c>
      <c r="N153">
        <f>-574.325404905952 -235.550040332761 -554.67485341304</f>
        <v>-1364.5502986517531</v>
      </c>
      <c r="O153">
        <f>-555.204609261122 -368.777393126868 -526.705883633913</f>
        <v>-1450.6878860219031</v>
      </c>
      <c r="P153">
        <f>-597.989165496926 -429.465888995516 -241.964686428909</f>
        <v>-1269.4197409213511</v>
      </c>
      <c r="Q153">
        <f>-430.403889561397 -269.188749967635 -307.365508504502</f>
        <v>-1006.9581480335339</v>
      </c>
      <c r="R153">
        <f>-581.215792737409 -94.7770897471937 -101.957534628172</f>
        <v>-777.95041711277463</v>
      </c>
      <c r="S153" t="s">
        <v>1118</v>
      </c>
      <c r="T153" t="s">
        <v>1119</v>
      </c>
      <c r="U153" t="s">
        <v>1120</v>
      </c>
      <c r="V153">
        <f>-514.07671614995 -275.18789719701 -94.6610416999723</f>
        <v>-883.92565504693232</v>
      </c>
      <c r="W153" t="s">
        <v>1121</v>
      </c>
      <c r="X153" t="s">
        <v>1122</v>
      </c>
      <c r="Y153" t="s">
        <v>1123</v>
      </c>
    </row>
    <row r="154" spans="1:25" x14ac:dyDescent="0.3">
      <c r="A154">
        <v>7650</v>
      </c>
      <c r="B154" t="s">
        <v>1124</v>
      </c>
      <c r="C154">
        <f>-547.41011099611 -184.985406554597 -97.282655161193</f>
        <v>-829.67817271190006</v>
      </c>
      <c r="D154">
        <f>-573.619348263908 -199.313061934246 -209.193355091298</f>
        <v>-982.12576528945203</v>
      </c>
      <c r="E154">
        <f>-582.886322056562 -205.174254664191 -307.205817503576</f>
        <v>-1095.2663942243289</v>
      </c>
      <c r="F154">
        <f>-586.398773017227 -208.267614028371 -396.179531986913</f>
        <v>-1190.8459190325109</v>
      </c>
      <c r="G154">
        <f>-584.642498219691 -209.180384756566 -485.25447198118</f>
        <v>-1279.0773549574369</v>
      </c>
      <c r="H154">
        <f>-576.615793893704 -208.290540161482 -609.574942852533</f>
        <v>-1394.4812769077189</v>
      </c>
      <c r="I154">
        <f>-539.433701345565 -199.510466424267 -683.36808179717</f>
        <v>-1422.3122495670023</v>
      </c>
      <c r="J154">
        <f>-586.281456804914 -181.661151421022 -555.070339260732</f>
        <v>-1323.0129474866681</v>
      </c>
      <c r="K154">
        <f>-622.33521653686 -50.2940299812551 -536.610429101539</f>
        <v>-1209.239675619654</v>
      </c>
      <c r="L154">
        <f>-706.917788631591 -38.7282364423083 -255.002063505675</f>
        <v>-1000.6480885795743</v>
      </c>
      <c r="M154">
        <f>-467.647128350503 -10.4919096167578 -256.765078185821</f>
        <v>-734.90411615308176</v>
      </c>
      <c r="N154">
        <f>-574.014418515987 -235.70300498467 -554.665002662809</f>
        <v>-1364.3824261634659</v>
      </c>
      <c r="O154">
        <f>-555.017784886823 -368.944876165609 -526.682542885694</f>
        <v>-1450.6452039381261</v>
      </c>
      <c r="P154">
        <f>-597.760420191174 -429.694782900126 -241.948153472133</f>
        <v>-1269.4033565634331</v>
      </c>
      <c r="Q154">
        <f>-430.137594919779 -269.441134705613 -307.310127456048</f>
        <v>-1006.8888570814401</v>
      </c>
      <c r="R154">
        <f>-581.081920189597 -94.8839149126693 -101.969867846267</f>
        <v>-777.93570294853328</v>
      </c>
      <c r="S154" t="s">
        <v>1125</v>
      </c>
      <c r="T154" t="s">
        <v>1126</v>
      </c>
      <c r="U154" t="s">
        <v>1127</v>
      </c>
      <c r="V154">
        <f>-514.000136116543 -275.303817519022 -94.6514186855484</f>
        <v>-883.95537232111337</v>
      </c>
      <c r="W154" t="s">
        <v>1128</v>
      </c>
      <c r="X154" t="s">
        <v>1129</v>
      </c>
      <c r="Y154" t="s">
        <v>1130</v>
      </c>
    </row>
    <row r="155" spans="1:25" x14ac:dyDescent="0.3">
      <c r="A155">
        <v>7700</v>
      </c>
      <c r="B155" t="s">
        <v>1131</v>
      </c>
      <c r="C155">
        <f>-547.239474953857 -184.95703048031 -97.318328355435</f>
        <v>-829.51483378960199</v>
      </c>
      <c r="D155">
        <f>-573.418198291645 -199.281580435917 -209.236584839011</f>
        <v>-981.93636356657305</v>
      </c>
      <c r="E155">
        <f>-582.610842208466 -205.167083933134 -307.254472114427</f>
        <v>-1095.0323982560271</v>
      </c>
      <c r="F155">
        <f>-586.036127744218 -208.296016974757 -396.230363941871</f>
        <v>-1190.5625086608461</v>
      </c>
      <c r="G155">
        <f>-584.172543353554 -209.260361456067 -485.302540780442</f>
        <v>-1278.7354455900631</v>
      </c>
      <c r="H155">
        <f>-575.974988780559 -208.461394795474 -609.612467856535</f>
        <v>-1394.048851432568</v>
      </c>
      <c r="I155">
        <f>-538.853312155301 -199.801566360113 -683.450410178724</f>
        <v>-1422.1052886941379</v>
      </c>
      <c r="J155">
        <f>-585.664894939281 -181.780806410271 -555.137223976531</f>
        <v>-1322.5829253260831</v>
      </c>
      <c r="K155">
        <f>-621.491864277695 -50.3376187801398 -536.807321639966</f>
        <v>-1208.6368046978007</v>
      </c>
      <c r="L155">
        <f>-706.482117058447 -38.5085298348797 -255.332746255174</f>
        <v>-1000.3233931485007</v>
      </c>
      <c r="M155">
        <f>-467.167437051801 -10.6210362277841 -256.613132053305</f>
        <v>-734.40160533289009</v>
      </c>
      <c r="N155">
        <f>-573.499821089257 -235.845277548314 -554.682443133427</f>
        <v>-1364.0275417709981</v>
      </c>
      <c r="O155">
        <f>-554.732981669971 -369.098731463033 -526.587817031657</f>
        <v>-1450.419530164661</v>
      </c>
      <c r="P155">
        <f>-597.505252877231 -429.928245001301 -241.874884920214</f>
        <v>-1269.3083827987459</v>
      </c>
      <c r="Q155">
        <f>-429.908701757875 -269.637420884358 -307.213145221576</f>
        <v>-1006.7592678638091</v>
      </c>
      <c r="R155">
        <f>-580.91038385487 -94.8354903425529 -102.013942611734</f>
        <v>-777.75981680915697</v>
      </c>
      <c r="S155" t="s">
        <v>1132</v>
      </c>
      <c r="T155" t="s">
        <v>1133</v>
      </c>
      <c r="U155" t="s">
        <v>1134</v>
      </c>
      <c r="V155">
        <f>-513.844528482348 -275.247216020766 -94.6709446101129</f>
        <v>-883.76268911322688</v>
      </c>
      <c r="W155" t="s">
        <v>1135</v>
      </c>
      <c r="X155" t="s">
        <v>1136</v>
      </c>
      <c r="Y155" t="s">
        <v>1137</v>
      </c>
    </row>
    <row r="156" spans="1:25" x14ac:dyDescent="0.3">
      <c r="A156">
        <v>7750</v>
      </c>
      <c r="B156" t="s">
        <v>1138</v>
      </c>
      <c r="C156">
        <f>-547.155910792647 -184.847634802096 -97.3282563154647</f>
        <v>-829.33180191020767</v>
      </c>
      <c r="D156">
        <f>-573.313934823139 -199.160940087311 -209.252825471791</f>
        <v>-981.72770038224098</v>
      </c>
      <c r="E156">
        <f>-582.473802888356 -205.056556189142 -307.273199500803</f>
        <v>-1094.8035585783009</v>
      </c>
      <c r="F156">
        <f>-585.863876984559 -208.202424032539 -396.249786106212</f>
        <v>-1190.3160871233101</v>
      </c>
      <c r="G156">
        <f>-583.959388912323 -209.192324025665 -485.32081345586</f>
        <v>-1278.4725263938481</v>
      </c>
      <c r="H156">
        <f>-575.699242452503 -208.438323117218 -609.626942688083</f>
        <v>-1393.764508257804</v>
      </c>
      <c r="I156">
        <f>-538.584777446478 -199.8261350531 -683.473977591498</f>
        <v>-1421.8848900910762</v>
      </c>
      <c r="J156">
        <f>-585.400219007655 -181.734290704434 -555.165079866591</f>
        <v>-1322.2995895786798</v>
      </c>
      <c r="K156">
        <f>-621.16877992249 -50.2638456540385 -536.905938784475</f>
        <v>-1208.3385643610036</v>
      </c>
      <c r="L156">
        <f>-706.262371108708 -38.2795018222116 -255.469174410894</f>
        <v>-1000.0110473418135</v>
      </c>
      <c r="M156">
        <f>-466.9382039334 -10.4700087528818 -256.669425063776</f>
        <v>-734.07763775005787</v>
      </c>
      <c r="N156">
        <f>-573.268014886184 -235.805973647733 -554.686859627822</f>
        <v>-1363.760848161739</v>
      </c>
      <c r="O156">
        <f>-554.603488672301 -369.059346636537 -526.522316055246</f>
        <v>-1450.185151364084</v>
      </c>
      <c r="P156">
        <f>-597.382206390285 -429.939041350694 -241.821007037508</f>
        <v>-1269.1422547784871</v>
      </c>
      <c r="Q156">
        <f>-429.80076603919 -269.637272358687 -307.171102454446</f>
        <v>-1006.6091408523231</v>
      </c>
      <c r="R156">
        <f>-580.809089136342 -94.7754423942076 -102.030738485118</f>
        <v>-777.61527001566765</v>
      </c>
      <c r="S156" t="s">
        <v>1139</v>
      </c>
      <c r="T156" t="s">
        <v>1140</v>
      </c>
      <c r="U156" t="s">
        <v>1141</v>
      </c>
      <c r="V156">
        <f>-513.78330844469 -275.062243691063 -94.6786990031831</f>
        <v>-883.52425113893605</v>
      </c>
      <c r="W156" t="s">
        <v>1142</v>
      </c>
      <c r="X156" t="s">
        <v>1143</v>
      </c>
      <c r="Y156" t="s">
        <v>1144</v>
      </c>
    </row>
    <row r="157" spans="1:25" x14ac:dyDescent="0.3">
      <c r="A157">
        <v>7800</v>
      </c>
      <c r="B157" t="s">
        <v>1145</v>
      </c>
      <c r="C157">
        <f>-547.088261576329 -184.707406600277 -97.3461393613886</f>
        <v>-829.14180753799474</v>
      </c>
      <c r="D157">
        <f>-573.224778471401 -198.993531580078 -209.279210068804</f>
        <v>-981.49752012028296</v>
      </c>
      <c r="E157">
        <f>-582.33265035243 -204.904176155292 -307.303477718396</f>
        <v>-1094.540304226118</v>
      </c>
      <c r="F157">
        <f>-585.663426896187 -208.078622552994 -396.281438661742</f>
        <v>-1190.0234881109232</v>
      </c>
      <c r="G157">
        <f>-583.687677332699 -209.112196997087 -485.350346621255</f>
        <v>-1278.1502209510411</v>
      </c>
      <c r="H157">
        <f>-575.316257614523 -208.434967033803 -609.649570644247</f>
        <v>-1393.4007952925731</v>
      </c>
      <c r="I157">
        <f>-538.158682711663 -199.928586195715 -683.486976245359</f>
        <v>-1421.5742451527371</v>
      </c>
      <c r="J157">
        <f>-585.041651485621 -181.691825358869 -555.21114596594</f>
        <v>-1321.9446228104298</v>
      </c>
      <c r="K157">
        <f>-620.70972071805 -50.1789021491793 -537.055886580197</f>
        <v>-1207.9445094474263</v>
      </c>
      <c r="L157">
        <f>-705.85827404402 -37.8646565680774 -255.649935916947</f>
        <v>-999.37286652904447</v>
      </c>
      <c r="M157">
        <f>-466.534412596144 -10.0556417077958 -256.929948509607</f>
        <v>-733.52000281354685</v>
      </c>
      <c r="N157">
        <f>-572.958543433459 -235.77412388219 -554.691975249341</f>
        <v>-1363.4246425649899</v>
      </c>
      <c r="O157">
        <f>-554.421377401594 -369.021067133444 -526.416962933177</f>
        <v>-1449.8594074682151</v>
      </c>
      <c r="P157">
        <f>-597.236434145468 -429.843596297734 -241.708937532086</f>
        <v>-1268.788967975288</v>
      </c>
      <c r="Q157">
        <f>-429.691149895254 -269.531952613028 -307.127776070007</f>
        <v>-1006.350878578289</v>
      </c>
      <c r="R157">
        <f>-580.627784489534 -94.6964717903281 -102.062154895336</f>
        <v>-777.38641117519808</v>
      </c>
      <c r="S157" t="s">
        <v>1146</v>
      </c>
      <c r="T157" t="s">
        <v>1147</v>
      </c>
      <c r="U157" t="s">
        <v>1148</v>
      </c>
      <c r="V157">
        <f>-513.820646000002 -274.883003000382 -94.679326374018</f>
        <v>-883.38297537440201</v>
      </c>
      <c r="W157" t="s">
        <v>1149</v>
      </c>
      <c r="X157" t="s">
        <v>1150</v>
      </c>
      <c r="Y157" t="s">
        <v>1151</v>
      </c>
    </row>
    <row r="158" spans="1:25" x14ac:dyDescent="0.3">
      <c r="A158">
        <v>7850</v>
      </c>
      <c r="B158" t="s">
        <v>1152</v>
      </c>
      <c r="C158">
        <f>-547.061462193816 -184.711806428726 -97.3501450988734</f>
        <v>-829.12341372141543</v>
      </c>
      <c r="D158">
        <f>-573.180764899815 -198.988757430738 -209.288317610342</f>
        <v>-981.45783994089504</v>
      </c>
      <c r="E158">
        <f>-582.27400952978 -204.906175760857 -307.313541915844</f>
        <v>-1094.4937272064808</v>
      </c>
      <c r="F158">
        <f>-585.592029587759 -208.09282764524 -396.291528458411</f>
        <v>-1189.9763856914101</v>
      </c>
      <c r="G158">
        <f>-583.604339023319 -209.144401810646 -485.359925528553</f>
        <v>-1278.1086663625181</v>
      </c>
      <c r="H158">
        <f>-575.216727863196 -208.499086976043 -609.658203115004</f>
        <v>-1393.3740179542428</v>
      </c>
      <c r="I158">
        <f>-538.031233657128 -200.051399307666 -683.488431492267</f>
        <v>-1421.5710644570609</v>
      </c>
      <c r="J158">
        <f>-584.937622320265 -181.739424954828 -555.227303281546</f>
        <v>-1321.904350556639</v>
      </c>
      <c r="K158">
        <f>-620.549363307635 -50.2011419065871 -537.121548799002</f>
        <v>-1207.872054013224</v>
      </c>
      <c r="L158">
        <f>-705.632188862857 -37.7687640883269 -255.700985347865</f>
        <v>-999.10193829904881</v>
      </c>
      <c r="M158">
        <f>-466.303364387817 -10.0040792337372 -257.003547950259</f>
        <v>-733.31099157181325</v>
      </c>
      <c r="N158">
        <f>-572.877772692414 -235.826731156269 -554.694246406611</f>
        <v>-1363.3987502552941</v>
      </c>
      <c r="O158">
        <f>-554.389952026452 -369.0683475891 -526.375243018251</f>
        <v>-1449.8335426338031</v>
      </c>
      <c r="P158">
        <f>-597.171524956774 -429.88473505629 -241.660840143993</f>
        <v>-1268.7171001570571</v>
      </c>
      <c r="Q158">
        <f>-429.622808459007 -269.579398125177 -307.086608977441</f>
        <v>-1006.2888155616251</v>
      </c>
      <c r="R158">
        <f>-580.549985071068 -94.7327417447834 -102.074617731125</f>
        <v>-777.35734454697649</v>
      </c>
      <c r="S158" t="s">
        <v>1153</v>
      </c>
      <c r="T158" t="s">
        <v>1154</v>
      </c>
      <c r="U158" t="s">
        <v>1155</v>
      </c>
      <c r="V158">
        <f>-513.834272984752 -274.873613713217 -94.6821950461544</f>
        <v>-883.39008174412356</v>
      </c>
      <c r="W158" t="s">
        <v>1156</v>
      </c>
      <c r="X158" t="s">
        <v>1157</v>
      </c>
      <c r="Y158" t="s">
        <v>1158</v>
      </c>
    </row>
    <row r="159" spans="1:25" x14ac:dyDescent="0.3">
      <c r="A159">
        <v>7900</v>
      </c>
      <c r="B159" t="s">
        <v>1159</v>
      </c>
      <c r="C159">
        <f>-546.964572126351 -184.684602310884 -97.3546835152487</f>
        <v>-829.0038579524836</v>
      </c>
      <c r="D159">
        <f>-573.069920905099 -198.964633902336 -209.295834211885</f>
        <v>-981.33038901932002</v>
      </c>
      <c r="E159">
        <f>-582.163797168144 -204.911883768666 -307.319208562505</f>
        <v>-1094.394889499315</v>
      </c>
      <c r="F159">
        <f>-585.487512086417 -208.137069600059 -396.295566689222</f>
        <v>-1189.9201483756981</v>
      </c>
      <c r="G159">
        <f>-583.510903372164 -209.239928798169 -485.363668543975</f>
        <v>-1278.114500714308</v>
      </c>
      <c r="H159">
        <f>-575.144236675004 -208.679574724748 -609.663660902184</f>
        <v>-1393.4874723019361</v>
      </c>
      <c r="I159">
        <f>-537.92651921174 -200.354354422718 -683.491536816664</f>
        <v>-1421.7724104511221</v>
      </c>
      <c r="J159">
        <f>-584.830576524753 -181.877037689071 -555.247599825466</f>
        <v>-1321.95521403929</v>
      </c>
      <c r="K159">
        <f>-620.284726437431 -50.2898738837007 -537.19338573829</f>
        <v>-1207.7679860594217</v>
      </c>
      <c r="L159">
        <f>-705.380203427075 -37.6671884035638 -255.784967819958</f>
        <v>-998.8323596505968</v>
      </c>
      <c r="M159">
        <f>-466.02717660637 -10.1159789973553 -257.169058060305</f>
        <v>-733.31221366403031</v>
      </c>
      <c r="N159">
        <f>-572.821276487083 -235.975326754532 -554.683185028421</f>
        <v>-1363.4797882700359</v>
      </c>
      <c r="O159">
        <f>-554.457271313607 -369.222327876443 -526.30804113738</f>
        <v>-1449.9876403274297</v>
      </c>
      <c r="P159">
        <f>-597.098015446149 -430.047107493138 -241.574284611298</f>
        <v>-1268.7194075505849</v>
      </c>
      <c r="Q159">
        <f>-429.548368754264 -269.725527910492 -306.95784124253</f>
        <v>-1006.2317379072859</v>
      </c>
      <c r="R159">
        <f>-580.43170362605 -94.6731639231127 -102.099876370772</f>
        <v>-777.20474391993469</v>
      </c>
      <c r="S159" t="s">
        <v>1160</v>
      </c>
      <c r="T159" t="s">
        <v>1161</v>
      </c>
      <c r="U159" t="s">
        <v>1162</v>
      </c>
      <c r="V159">
        <f>-513.73646771871 -274.890279215273 -94.6765919912708</f>
        <v>-883.3033389252538</v>
      </c>
      <c r="W159" t="s">
        <v>1163</v>
      </c>
      <c r="X159" t="s">
        <v>1164</v>
      </c>
      <c r="Y159" t="s">
        <v>1165</v>
      </c>
    </row>
    <row r="160" spans="1:25" x14ac:dyDescent="0.3">
      <c r="A160">
        <v>7950</v>
      </c>
      <c r="B160" t="s">
        <v>1166</v>
      </c>
      <c r="C160">
        <f>-546.886336600998 -184.677948563898 -97.3667432780546</f>
        <v>-828.93102844295061</v>
      </c>
      <c r="D160">
        <f>-572.997680857031 -198.96076561931 -209.30615030462</f>
        <v>-981.26459678096103</v>
      </c>
      <c r="E160">
        <f>-582.10901441227 -204.924844035381 -307.326915477067</f>
        <v>-1094.3607739247182</v>
      </c>
      <c r="F160">
        <f>-585.453715175614 -208.171072803973 -396.301660058315</f>
        <v>-1189.926448037902</v>
      </c>
      <c r="G160">
        <f>-583.502926120198 -209.300920601247 -485.369911395136</f>
        <v>-1278.173758116581</v>
      </c>
      <c r="H160">
        <f>-575.177664607224 -208.784726843935 -609.672999236096</f>
        <v>-1393.635390687255</v>
      </c>
      <c r="I160">
        <f>-537.971139202356 -200.511724348655 -683.512404885584</f>
        <v>-1421.9952684365949</v>
      </c>
      <c r="J160">
        <f>-584.836486173119 -181.960810940706 -555.262575781182</f>
        <v>-1322.0598728950072</v>
      </c>
      <c r="K160">
        <f>-620.235519668993 -50.3521297682905 -537.241602536734</f>
        <v>-1207.8292519740176</v>
      </c>
      <c r="L160">
        <f>-705.276287052374 -37.7315320360779 -255.816595986162</f>
        <v>-998.82441507461385</v>
      </c>
      <c r="M160">
        <f>-465.917710719636 -10.2318125898723 -257.24898434489</f>
        <v>-733.39850765439826</v>
      </c>
      <c r="N160">
        <f>-572.845919817441 -236.063087773085 -554.684213467484</f>
        <v>-1363.5932210580099</v>
      </c>
      <c r="O160">
        <f>-554.495662128898 -369.307604540199 -526.282747448119</f>
        <v>-1450.0860141172161</v>
      </c>
      <c r="P160">
        <f>-597.090272024903 -430.117654993788 -241.538988784447</f>
        <v>-1268.7469158031379</v>
      </c>
      <c r="Q160">
        <f>-429.532288289293 -269.810882353445 -306.937137001596</f>
        <v>-1006.280307644334</v>
      </c>
      <c r="R160">
        <f>-580.340205631102 -94.6629095797043 -102.115480894048</f>
        <v>-777.1185961048543</v>
      </c>
      <c r="S160" t="s">
        <v>1167</v>
      </c>
      <c r="T160" t="s">
        <v>1168</v>
      </c>
      <c r="U160" t="s">
        <v>1169</v>
      </c>
      <c r="V160">
        <f>-513.682352569762 -274.887426674739 -94.6786136361407</f>
        <v>-883.24839288064163</v>
      </c>
      <c r="W160" t="s">
        <v>1170</v>
      </c>
      <c r="X160" t="s">
        <v>1171</v>
      </c>
      <c r="Y160" t="s">
        <v>1172</v>
      </c>
    </row>
    <row r="161" spans="1:25" x14ac:dyDescent="0.3">
      <c r="A161">
        <v>8000</v>
      </c>
      <c r="B161" t="s">
        <v>1173</v>
      </c>
      <c r="C161">
        <f>-546.702222419855 -184.599860413933 -97.3844909373403</f>
        <v>-828.68657377112834</v>
      </c>
      <c r="D161">
        <f>-572.82767663956 -198.900128063325 -209.318336035244</f>
        <v>-981.046140738129</v>
      </c>
      <c r="E161">
        <f>-582.00694559713 -204.912473877724 -307.329806548118</f>
        <v>-1094.2492260229719</v>
      </c>
      <c r="F161">
        <f>-585.435896867762 -208.215260969501 -396.299249045002</f>
        <v>-1189.950406882265</v>
      </c>
      <c r="G161">
        <f>-583.592337108728 -209.41427366756 -485.368907201387</f>
        <v>-1278.3755179776749</v>
      </c>
      <c r="H161">
        <f>-575.440623874065 -209.007758810866 -609.683901947073</f>
        <v>-1394.132284632004</v>
      </c>
      <c r="I161">
        <f>-538.313678922772 -200.805668844718 -683.571333625229</f>
        <v>-1422.6906813927192</v>
      </c>
      <c r="J161">
        <f>-585.010883308402 -182.133108065987 -555.282821049577</f>
        <v>-1322.4268124239661</v>
      </c>
      <c r="K161">
        <f>-620.287191409393 -50.4878911208723 -537.305148575143</f>
        <v>-1208.0802311054083</v>
      </c>
      <c r="L161">
        <f>-705.308082392447 -37.7292606275828 -255.880418623637</f>
        <v>-998.91776164366684</v>
      </c>
      <c r="M161">
        <f>-465.927613532824 -10.4173510542348 -257.279052724175</f>
        <v>-733.62401731123384</v>
      </c>
      <c r="N161">
        <f>-573.044665210211 -236.24034311674 -554.675140877465</f>
        <v>-1363.9601492044158</v>
      </c>
      <c r="O161">
        <f>-554.683554458548 -369.473397938927 -526.228515967798</f>
        <v>-1450.385468365273</v>
      </c>
      <c r="P161">
        <f>-597.162771558771 -430.081211653888 -241.424327561293</f>
        <v>-1268.668310773952</v>
      </c>
      <c r="Q161">
        <f>-429.620661355828 -269.788373646268 -306.897333261265</f>
        <v>-1006.306368263361</v>
      </c>
      <c r="R161">
        <f>-580.125882738183 -94.6204028922891 -102.142823447848</f>
        <v>-776.88910907832019</v>
      </c>
      <c r="S161" t="s">
        <v>1174</v>
      </c>
      <c r="T161" t="s">
        <v>1175</v>
      </c>
      <c r="U161" t="s">
        <v>1176</v>
      </c>
      <c r="V161">
        <f>-513.525210762761 -274.717269961689 -94.6916184432132</f>
        <v>-882.93409916766325</v>
      </c>
      <c r="W161" t="s">
        <v>1177</v>
      </c>
      <c r="X161" t="s">
        <v>1178</v>
      </c>
      <c r="Y161" t="s">
        <v>1179</v>
      </c>
    </row>
    <row r="162" spans="1:25" x14ac:dyDescent="0.3">
      <c r="A162">
        <v>8050</v>
      </c>
      <c r="B162" t="s">
        <v>1180</v>
      </c>
      <c r="C162">
        <f>-546.626878286286 -184.575650617632 -97.3891808366379</f>
        <v>-828.59170974055587</v>
      </c>
      <c r="D162">
        <f>-572.755079769469 -198.891768010111 -209.32034375028</f>
        <v>-980.96719152986009</v>
      </c>
      <c r="E162">
        <f>-581.976834385436 -204.931474001964 -307.326118532993</f>
        <v>-1094.2344269203929</v>
      </c>
      <c r="F162">
        <f>-585.461015829714 -208.264216649932 -396.292411144805</f>
        <v>-1190.017643624451</v>
      </c>
      <c r="G162">
        <f>-583.689048356895 -209.498282200882 -485.362988312274</f>
        <v>-1278.5503188700509</v>
      </c>
      <c r="H162">
        <f>-575.654732417604 -209.145360932324 -609.685768132795</f>
        <v>-1394.4858614827231</v>
      </c>
      <c r="I162">
        <f>-538.572115250511 -200.958752481488 -683.597053174848</f>
        <v>-1423.1279209068471</v>
      </c>
      <c r="J162">
        <f>-585.170941316793 -182.24651195025 -555.287288808539</f>
        <v>-1322.7047420755821</v>
      </c>
      <c r="K162">
        <f>-620.402995789891 -50.5873061570176 -537.343882171361</f>
        <v>-1208.3341841182696</v>
      </c>
      <c r="L162">
        <f>-705.391944703359 -37.698860336315 -255.91537347707</f>
        <v>-999.00617851674394</v>
      </c>
      <c r="M162">
        <f>-466.003949226965 -10.4520592490062 -257.275904605604</f>
        <v>-733.73191308157516</v>
      </c>
      <c r="N162">
        <f>-573.20947384366 -236.354777846596 -554.667688081334</f>
        <v>-1364.2319397715901</v>
      </c>
      <c r="O162">
        <f>-554.827516531036 -369.581305407657 -526.189206396447</f>
        <v>-1450.59802833514</v>
      </c>
      <c r="P162">
        <f>-597.215572376124 -430.047385915986 -241.341324773067</f>
        <v>-1268.604283065177</v>
      </c>
      <c r="Q162">
        <f>-429.679568213521 -269.759421390751 -306.841611082312</f>
        <v>-1006.280600686584</v>
      </c>
      <c r="R162">
        <f>-580.065089951011 -94.6176143065361 -102.158272429843</f>
        <v>-776.84097668739014</v>
      </c>
      <c r="S162" t="s">
        <v>1181</v>
      </c>
      <c r="T162" t="s">
        <v>1182</v>
      </c>
      <c r="U162" t="s">
        <v>1183</v>
      </c>
      <c r="V162">
        <f>-513.440327617533 -274.711940507523 -94.6876280672908</f>
        <v>-882.83989619234683</v>
      </c>
      <c r="W162" t="s">
        <v>1184</v>
      </c>
      <c r="X162" t="s">
        <v>1185</v>
      </c>
      <c r="Y162" t="s">
        <v>1186</v>
      </c>
    </row>
    <row r="163" spans="1:25" x14ac:dyDescent="0.3">
      <c r="A163">
        <v>8100</v>
      </c>
      <c r="B163" t="s">
        <v>1187</v>
      </c>
      <c r="C163">
        <f>-546.465947758931 -184.709474450798 -97.4139574558885</f>
        <v>-828.58937966561746</v>
      </c>
      <c r="D163">
        <f>-572.594482457672 -199.050505071984 -209.341873644349</f>
        <v>-980.98686117400496</v>
      </c>
      <c r="E163">
        <f>-581.903014078169 -205.12857239536 -307.337081956028</f>
        <v>-1094.3686684295571</v>
      </c>
      <c r="F163">
        <f>-585.500713300744 -208.501656977556 -396.297323509138</f>
        <v>-1190.2996937874379</v>
      </c>
      <c r="G163">
        <f>-583.87782975597 -209.780332534566 -485.370154966952</f>
        <v>-1279.028317257488</v>
      </c>
      <c r="H163">
        <f>-576.088533290198 -209.493690894019 -609.70877975443</f>
        <v>-1395.291003938647</v>
      </c>
      <c r="I163">
        <f>-539.107127259257 -201.321199796006 -683.672264744657</f>
        <v>-1424.10059179992</v>
      </c>
      <c r="J163">
        <f>-585.506740713918 -182.567879755499 -555.306319093963</f>
        <v>-1323.38093956338</v>
      </c>
      <c r="K163">
        <f>-620.712533645617 -50.8945787017876 -537.418544812297</f>
        <v>-1209.0256571597015</v>
      </c>
      <c r="L163">
        <f>-705.484316072539 -37.7336332597722 -255.937077133143</f>
        <v>-999.15502646545417</v>
      </c>
      <c r="M163">
        <f>-466.089332774213 -10.5509029151863 -257.334164484565</f>
        <v>-733.97440017396434</v>
      </c>
      <c r="N163">
        <f>-573.525715015242 -236.671678935287 -554.680546496</f>
        <v>-1364.877940446529</v>
      </c>
      <c r="O163">
        <f>-555.032411911268 -369.875843317849 -526.169724914834</f>
        <v>-1451.077980143951</v>
      </c>
      <c r="P163">
        <f>-597.259214184613 -430.20334048824 -241.268426443933</f>
        <v>-1268.7309811167861</v>
      </c>
      <c r="Q163">
        <f>-429.819380181507 -269.817139425938 -306.774470463736</f>
        <v>-1006.410990071181</v>
      </c>
      <c r="R163">
        <f>-579.882184740209 -94.7745860311159 -102.190155043392</f>
        <v>-776.84692581471688</v>
      </c>
      <c r="S163" t="s">
        <v>1188</v>
      </c>
      <c r="T163" t="s">
        <v>1189</v>
      </c>
      <c r="U163" t="s">
        <v>1190</v>
      </c>
      <c r="V163">
        <f>-513.312756237049 -274.837217286861 -94.6889663544347</f>
        <v>-882.83893987834472</v>
      </c>
      <c r="W163" t="s">
        <v>1191</v>
      </c>
      <c r="X163" t="s">
        <v>1192</v>
      </c>
      <c r="Y163" t="s">
        <v>1193</v>
      </c>
    </row>
    <row r="164" spans="1:25" x14ac:dyDescent="0.3">
      <c r="A164">
        <v>8150</v>
      </c>
      <c r="B164" t="s">
        <v>1194</v>
      </c>
      <c r="C164">
        <f>-546.402361474684 -184.740828667733 -97.4333745230637</f>
        <v>-828.57656466548065</v>
      </c>
      <c r="D164">
        <f>-572.540423429849 -199.087199604912 -209.358261632327</f>
        <v>-980.98588466708804</v>
      </c>
      <c r="E164">
        <f>-581.905879028133 -205.169090105352 -307.347966474441</f>
        <v>-1094.4229356079259</v>
      </c>
      <c r="F164">
        <f>-585.574903488119 -208.544374480777 -396.305173320464</f>
        <v>-1190.4244512893601</v>
      </c>
      <c r="G164">
        <f>-584.043386704001 -209.822874152118 -485.379581556075</f>
        <v>-1279.245842412194</v>
      </c>
      <c r="H164">
        <f>-576.40258636576 -209.532861454941 -609.727395011192</f>
        <v>-1395.6628428318932</v>
      </c>
      <c r="I164">
        <f>-539.487671116761 -201.354352882503 -683.723402997604</f>
        <v>-1424.5654269968682</v>
      </c>
      <c r="J164">
        <f>-585.767325074133 -182.611131476079 -555.313874028412</f>
        <v>-1323.692330578624</v>
      </c>
      <c r="K164">
        <f>-620.969287016047 -50.9343418471797 -537.432427832794</f>
        <v>-1209.3360566960207</v>
      </c>
      <c r="L164">
        <f>-705.606616325781 -37.7210440382689 -255.913073279664</f>
        <v>-999.24073364371395</v>
      </c>
      <c r="M164">
        <f>-466.215721583546 -10.5088920701007 -257.444768744914</f>
        <v>-734.16938239856063</v>
      </c>
      <c r="N164">
        <f>-573.762313230583 -236.709884328905 -554.702380504126</f>
        <v>-1365.174578063614</v>
      </c>
      <c r="O164">
        <f>-555.196384439195 -369.90539540289 -526.204937651736</f>
        <v>-1451.306717493821</v>
      </c>
      <c r="P164">
        <f>-597.33587931981 -430.237651270244 -241.291789827089</f>
        <v>-1268.8653204171428</v>
      </c>
      <c r="Q164">
        <f>-429.939037217206 -269.789773381783 -306.756784401308</f>
        <v>-1006.4855950002969</v>
      </c>
      <c r="R164">
        <f>-579.819250199585 -94.8319949144197 -102.208791103971</f>
        <v>-776.86003621797568</v>
      </c>
      <c r="S164" t="s">
        <v>1195</v>
      </c>
      <c r="T164" t="s">
        <v>1196</v>
      </c>
      <c r="U164" t="s">
        <v>1197</v>
      </c>
      <c r="V164">
        <f>-513.242240464641 -274.843227980905 -94.6988588479146</f>
        <v>-882.78432729346059</v>
      </c>
      <c r="W164" t="s">
        <v>1198</v>
      </c>
      <c r="X164" t="s">
        <v>1199</v>
      </c>
      <c r="Y164" t="s">
        <v>1200</v>
      </c>
    </row>
    <row r="165" spans="1:25" x14ac:dyDescent="0.3">
      <c r="A165">
        <v>8200</v>
      </c>
      <c r="B165" t="s">
        <v>1201</v>
      </c>
      <c r="C165">
        <f>-546.385806339983 -184.898190923002 -97.4492327920044</f>
        <v>-828.73323005498935</v>
      </c>
      <c r="D165">
        <f>-572.552991381405 -199.262250126753 -209.36515631753</f>
        <v>-981.18039782568803</v>
      </c>
      <c r="E165">
        <f>-582.008374630449 -205.371144194481 -307.344461865307</f>
        <v>-1094.7239806902369</v>
      </c>
      <c r="F165">
        <f>-585.785763383947 -208.773310995425 -396.296126304471</f>
        <v>-1190.8552006838431</v>
      </c>
      <c r="G165">
        <f>-584.389522276067 -210.080244219647 -485.372322235152</f>
        <v>-1279.8420887308662</v>
      </c>
      <c r="H165">
        <f>-576.966157271588 -209.829875124985 -609.733318419058</f>
        <v>-1396.529350815631</v>
      </c>
      <c r="I165">
        <f>-540.150323318931 -201.660742732794 -683.779883800628</f>
        <v>-1425.5909498523529</v>
      </c>
      <c r="J165">
        <f>-586.256841303689 -182.895398115029 -555.313288324202</f>
        <v>-1324.4655277429201</v>
      </c>
      <c r="K165">
        <f>-621.485531185559 -51.2174531870467 -537.464658391358</f>
        <v>-1210.1676427639636</v>
      </c>
      <c r="L165">
        <f>-705.859739331306 -37.934708256103 -255.869566859901</f>
        <v>-999.66401444730991</v>
      </c>
      <c r="M165">
        <f>-466.472521975152 -10.6974795342612 -257.54934084706</f>
        <v>-734.71934235647325</v>
      </c>
      <c r="N165">
        <f>-574.208799145018 -236.984640188181 -554.703041840301</f>
        <v>-1365.8964811735</v>
      </c>
      <c r="O165">
        <f>-555.49826484832 -370.161954550479 -526.2247803745</f>
        <v>-1451.8849997732991</v>
      </c>
      <c r="P165">
        <f>-597.398131828028 -430.54904129243 -241.287877548169</f>
        <v>-1269.2350506686271</v>
      </c>
      <c r="Q165">
        <f>-430.172821282794 -269.894216482127 -306.683631147629</f>
        <v>-1006.7506689125501</v>
      </c>
      <c r="R165">
        <f>-579.808395496643 -94.9343795839475 -102.227808298997</f>
        <v>-776.97058337958754</v>
      </c>
      <c r="S165" t="s">
        <v>1202</v>
      </c>
      <c r="T165" t="s">
        <v>1203</v>
      </c>
      <c r="U165" t="s">
        <v>1204</v>
      </c>
      <c r="V165">
        <f>-513.236393982517 -275.047952289143 -94.7000522431732</f>
        <v>-882.98439851483329</v>
      </c>
      <c r="W165" t="s">
        <v>1205</v>
      </c>
      <c r="X165" t="s">
        <v>1206</v>
      </c>
      <c r="Y165" t="s">
        <v>1207</v>
      </c>
    </row>
    <row r="166" spans="1:25" x14ac:dyDescent="0.3">
      <c r="A166">
        <v>8250</v>
      </c>
      <c r="B166" t="s">
        <v>1208</v>
      </c>
      <c r="C166">
        <f>-546.378757568494 -184.869587361469 -97.4499940978731</f>
        <v>-828.69833902783614</v>
      </c>
      <c r="D166">
        <f>-572.557590403618 -199.248302704982 -209.361304125388</f>
        <v>-981.16719723398796</v>
      </c>
      <c r="E166">
        <f>-582.037848995491 -205.3600238717 -307.337960915058</f>
        <v>-1094.7358337822491</v>
      </c>
      <c r="F166">
        <f>-585.843172664654 -208.760823768675 -396.28843824583</f>
        <v>-1190.8924346791591</v>
      </c>
      <c r="G166">
        <f>-584.48050862676 -210.062073975041 -485.365432362821</f>
        <v>-1279.908014964622</v>
      </c>
      <c r="H166">
        <f>-577.109468696113 -209.798922422771 -609.729432929786</f>
        <v>-1396.6378240486702</v>
      </c>
      <c r="I166">
        <f>-540.327002228201 -201.622091224034 -683.791759132337</f>
        <v>-1425.7408525845719</v>
      </c>
      <c r="J166">
        <f>-586.382971412732 -182.871392763343 -555.302991447636</f>
        <v>-1324.5573556237109</v>
      </c>
      <c r="K166">
        <f>-621.59122632228 -51.1905183491845 -537.469320093053</f>
        <v>-1210.2510647645177</v>
      </c>
      <c r="L166">
        <f>-705.939995554345 -37.8509152577717 -255.869418986257</f>
        <v>-999.66032979837371</v>
      </c>
      <c r="M166">
        <f>-466.550626883984 -10.6339033317665 -257.557816014834</f>
        <v>-734.74234623058442</v>
      </c>
      <c r="N166">
        <f>-574.323222666916 -236.958166159098 -554.702866598335</f>
        <v>-1365.9842554243492</v>
      </c>
      <c r="O166">
        <f>-555.57067178682 -370.132595600679 -526.225044092988</f>
        <v>-1451.9283114804871</v>
      </c>
      <c r="P166">
        <f>-597.353221773407 -430.501423597821 -241.267028306153</f>
        <v>-1269.1216736773808</v>
      </c>
      <c r="Q166">
        <f>-430.399330893715 -269.490337904183 -306.480067198145</f>
        <v>-1006.3697359960429</v>
      </c>
      <c r="R166">
        <f>-579.836257755109 -94.9108463976418 -102.236878259427</f>
        <v>-776.98398241217785</v>
      </c>
      <c r="S166" t="s">
        <v>1209</v>
      </c>
      <c r="T166" t="s">
        <v>1210</v>
      </c>
      <c r="U166" t="s">
        <v>1211</v>
      </c>
      <c r="V166">
        <f>-513.186577871122 -274.983419686064 -94.7019021509554</f>
        <v>-882.87189970814143</v>
      </c>
      <c r="W166" t="s">
        <v>1212</v>
      </c>
      <c r="X166" t="s">
        <v>1213</v>
      </c>
      <c r="Y166" t="s">
        <v>1214</v>
      </c>
    </row>
    <row r="167" spans="1:25" x14ac:dyDescent="0.3">
      <c r="A167">
        <v>8300</v>
      </c>
      <c r="B167" t="s">
        <v>1215</v>
      </c>
      <c r="C167">
        <f>-546.462265593538 -184.786930026744 -97.4670545987199</f>
        <v>-828.71625021900184</v>
      </c>
      <c r="D167">
        <f>-572.642795953424 -199.174392538216 -209.37686996125</f>
        <v>-981.19405845288998</v>
      </c>
      <c r="E167">
        <f>-582.161624853729 -205.307377240659 -307.348361027591</f>
        <v>-1094.817363121979</v>
      </c>
      <c r="F167">
        <f>-586.017134299693 -208.733121468473 -396.295864890933</f>
        <v>-1191.046120659099</v>
      </c>
      <c r="G167">
        <f>-584.719681747466 -210.064773619939 -485.37325925081</f>
        <v>-1280.1577146182149</v>
      </c>
      <c r="H167">
        <f>-577.455630131913 -209.84984198821 -609.743707073889</f>
        <v>-1397.0491791940121</v>
      </c>
      <c r="I167">
        <f>-540.72501569616 -201.665547198682 -683.830794770923</f>
        <v>-1426.221357665765</v>
      </c>
      <c r="J167">
        <f>-586.683780436972 -182.901538667064 -555.319968354166</f>
        <v>-1324.9052874582021</v>
      </c>
      <c r="K167">
        <f>-621.841434089849 -51.1944816131522 -537.518149968273</f>
        <v>-1210.5540656712742</v>
      </c>
      <c r="L167">
        <f>-706.15742219254 -37.8125421343573 -255.91040898502</f>
        <v>-999.88037331191731</v>
      </c>
      <c r="M167">
        <f>-466.764139519721 -10.6240589838103 -257.48559529964</f>
        <v>-734.87379380317134</v>
      </c>
      <c r="N167">
        <f>-574.620620877606 -236.987243745239 -554.708870281674</f>
        <v>-1366.3167349045189</v>
      </c>
      <c r="O167">
        <f>-555.798110937301 -370.147679788855 -526.229801950829</f>
        <v>-1452.1755926769852</v>
      </c>
      <c r="P167">
        <f>-597.525092820537 -430.399113454329 -241.238839727871</f>
        <v>-1269.163046002737</v>
      </c>
      <c r="Q167">
        <f>-430.849648691818 -269.064195358644 -306.363550202955</f>
        <v>-1006.277394253417</v>
      </c>
      <c r="R167">
        <f>-579.953205700969 -94.8558038233034 -102.259976834043</f>
        <v>-777.06898635831533</v>
      </c>
      <c r="S167" t="s">
        <v>1216</v>
      </c>
      <c r="T167" t="s">
        <v>1217</v>
      </c>
      <c r="U167" t="s">
        <v>1218</v>
      </c>
      <c r="V167">
        <f>-513.245163933627 -274.877414964044 -94.7161881982258</f>
        <v>-882.83876709589686</v>
      </c>
      <c r="W167" t="s">
        <v>1219</v>
      </c>
      <c r="X167" t="s">
        <v>1220</v>
      </c>
      <c r="Y167" t="s">
        <v>1221</v>
      </c>
    </row>
    <row r="168" spans="1:25" x14ac:dyDescent="0.3">
      <c r="A168">
        <v>8350</v>
      </c>
      <c r="B168" t="s">
        <v>1222</v>
      </c>
      <c r="C168">
        <f>-546.553762882258 -184.88339300933 -97.4620523975406</f>
        <v>-828.89920828912852</v>
      </c>
      <c r="D168">
        <f>-572.736024560246 -199.291337727924 -209.368802533893</f>
        <v>-981.39616482206304</v>
      </c>
      <c r="E168">
        <f>-582.29262891444 -205.449840004199 -307.335173981794</f>
        <v>-1095.0776429004331</v>
      </c>
      <c r="F168">
        <f>-586.196604627031 -208.901799894613 -396.279489063325</f>
        <v>-1191.3778935849689</v>
      </c>
      <c r="G168">
        <f>-584.961931013052 -210.262870692709 -485.357270488653</f>
        <v>-1280.582072194414</v>
      </c>
      <c r="H168">
        <f>-577.800413786953 -210.092300746313 -609.733804481292</f>
        <v>-1397.626519014558</v>
      </c>
      <c r="I168">
        <f>-541.090001387747 -201.913760038086 -683.831530828197</f>
        <v>-1426.8352922540298</v>
      </c>
      <c r="J168">
        <f>-586.978908407312 -183.123503260836 -555.311690256291</f>
        <v>-1325.4141019244389</v>
      </c>
      <c r="K168">
        <f>-622.083681502678 -51.4077434956573 -537.526593839652</f>
        <v>-1211.0180188379873</v>
      </c>
      <c r="L168">
        <f>-706.361408561579 -37.9881386515158 -255.909135533241</f>
        <v>-1000.2586827463358</v>
      </c>
      <c r="M168">
        <f>-466.964294837732 -10.831185857631 -257.456928314893</f>
        <v>-735.25240901025597</v>
      </c>
      <c r="N168">
        <f>-574.924625082052 -237.211142902472 -554.6919264804</f>
        <v>-1366.827694464924</v>
      </c>
      <c r="O168">
        <f>-556.082263140696 -370.365956523448 -526.212589453006</f>
        <v>-1452.6608091171502</v>
      </c>
      <c r="P168">
        <f>-597.729364606468 -430.641619492148 -241.215152096856</f>
        <v>-1269.5861361954719</v>
      </c>
      <c r="Q168">
        <f>-431.107309265708 -269.275282028114 -306.397899732353</f>
        <v>-1006.780491026175</v>
      </c>
      <c r="R168">
        <f>-580.0325972851 -94.9523597462101 -102.267491302054</f>
        <v>-777.2524483333641</v>
      </c>
      <c r="S168" t="s">
        <v>1223</v>
      </c>
      <c r="T168" t="s">
        <v>1224</v>
      </c>
      <c r="U168" t="s">
        <v>1225</v>
      </c>
      <c r="V168">
        <f>-513.347307070007 -275.040410487266 -94.7103505196146</f>
        <v>-883.09806807688756</v>
      </c>
      <c r="W168" t="s">
        <v>1226</v>
      </c>
      <c r="X168" t="s">
        <v>1227</v>
      </c>
      <c r="Y168" t="s">
        <v>1228</v>
      </c>
    </row>
    <row r="169" spans="1:25" x14ac:dyDescent="0.3">
      <c r="A169">
        <v>8400</v>
      </c>
      <c r="B169" t="s">
        <v>1229</v>
      </c>
      <c r="C169">
        <f>-546.665354304952 -184.886130774216 -97.4649284265621</f>
        <v>-829.01641350573004</v>
      </c>
      <c r="D169">
        <f>-572.9088657411 -199.325331798182 -209.353258301926</f>
        <v>-981.587455841208</v>
      </c>
      <c r="E169">
        <f>-582.592330444478 -205.515604029251 -307.305135591899</f>
        <v>-1095.4130700656278</v>
      </c>
      <c r="F169">
        <f>-586.640905838301 -208.997743539325 -396.241828533542</f>
        <v>-1191.8804779111681</v>
      </c>
      <c r="G169">
        <f>-585.580316018972 -210.389851641041 -485.321322031505</f>
        <v>-1281.2914896915181</v>
      </c>
      <c r="H169">
        <f>-578.692459768419 -210.263037463259 -609.713372224273</f>
        <v>-1398.6688694559512</v>
      </c>
      <c r="I169">
        <f>-542.026519151374 -202.069798856422 -683.831529490113</f>
        <v>-1427.9278474979092</v>
      </c>
      <c r="J169">
        <f>-587.747924950233 -183.27439373614 -555.280646617428</f>
        <v>-1326.3029653038011</v>
      </c>
      <c r="K169">
        <f>-622.765772554141 -51.5355267986174 -537.506849103069</f>
        <v>-1211.8081484558274</v>
      </c>
      <c r="L169">
        <f>-706.753271068186 -37.8954077795879 -255.81340165118</f>
        <v>-1000.4620804989539</v>
      </c>
      <c r="M169">
        <f>-467.347162579048 -10.8258197893929 -257.499517753903</f>
        <v>-735.67250012234388</v>
      </c>
      <c r="N169">
        <f>-575.699053966895 -237.363300744974 -554.668604556991</f>
        <v>-1367.73095926886</v>
      </c>
      <c r="O169">
        <f>-556.830280447961 -370.524866918496 -526.212995628779</f>
        <v>-1453.568142995236</v>
      </c>
      <c r="P169">
        <f>-598.199781417657 -430.78509933388 -241.171753125026</f>
        <v>-1270.1566338765631</v>
      </c>
      <c r="Q169">
        <f>-431.632472985016 -269.402431116789 -306.454518980611</f>
        <v>-1007.4894230824161</v>
      </c>
      <c r="R169">
        <f>-580.144168416748 -94.9688449913535 -102.28353345183</f>
        <v>-777.3965468599315</v>
      </c>
      <c r="S169" t="s">
        <v>1230</v>
      </c>
      <c r="T169" t="s">
        <v>1231</v>
      </c>
      <c r="U169" t="s">
        <v>1232</v>
      </c>
      <c r="V169">
        <f>-513.452488949333 -274.996792925717 -94.7134825193497</f>
        <v>-883.16276439439969</v>
      </c>
      <c r="W169" t="s">
        <v>1233</v>
      </c>
      <c r="X169" t="s">
        <v>1234</v>
      </c>
      <c r="Y169" t="s">
        <v>1235</v>
      </c>
    </row>
    <row r="170" spans="1:25" x14ac:dyDescent="0.3">
      <c r="A170">
        <v>8450</v>
      </c>
      <c r="B170" t="s">
        <v>1236</v>
      </c>
      <c r="C170">
        <f>-546.751465020817 -184.876941754574 -97.4764390244827</f>
        <v>-829.10484579987371</v>
      </c>
      <c r="D170">
        <f>-573.040621829853 -199.323262349014 -209.3532256402</f>
        <v>-981.71710981906699</v>
      </c>
      <c r="E170">
        <f>-582.800992597592 -205.527780883857 -307.296447524576</f>
        <v>-1095.625221006025</v>
      </c>
      <c r="F170">
        <f>-586.934360679588 -209.025574961763 -396.228573625318</f>
        <v>-1192.1885092666691</v>
      </c>
      <c r="G170">
        <f>-585.973712973165 -210.435655208852 -485.309145585843</f>
        <v>-1281.71851376786</v>
      </c>
      <c r="H170">
        <f>-579.24112557892 -210.336188249813 -609.709642251745</f>
        <v>-1399.2869560804779</v>
      </c>
      <c r="I170">
        <f>-542.60940083461 -202.138616038654 -683.844059447569</f>
        <v>-1428.592076320833</v>
      </c>
      <c r="J170">
        <f>-588.224767296982 -183.334721228217 -555.271308879756</f>
        <v>-1326.8307974049549</v>
      </c>
      <c r="K170">
        <f>-623.198824625876 -51.5781044869102 -537.508638404981</f>
        <v>-1212.285567517767</v>
      </c>
      <c r="L170">
        <f>-706.963709078766 -37.8286734141932 -255.754162210813</f>
        <v>-1000.5465447037722</v>
      </c>
      <c r="M170">
        <f>-467.562911764305 -10.7221264824452 -257.577471331782</f>
        <v>-735.86250957853224</v>
      </c>
      <c r="N170">
        <f>-576.182928397201 -237.425232140407 -554.66289174315</f>
        <v>-1368.2710522807579</v>
      </c>
      <c r="O170">
        <f>-557.302154831695 -370.586093512172 -526.217982549436</f>
        <v>-1454.1062308933028</v>
      </c>
      <c r="P170">
        <f>-598.548557535549 -430.828084287124 -241.155217773834</f>
        <v>-1270.531859596507</v>
      </c>
      <c r="Q170">
        <f>-431.979851725528 -269.475188972564 -306.508048526029</f>
        <v>-1007.9630892241209</v>
      </c>
      <c r="R170">
        <f>-580.237569844852 -94.9440166579327 -102.288634392344</f>
        <v>-777.4702208951287</v>
      </c>
      <c r="S170" t="s">
        <v>1237</v>
      </c>
      <c r="T170" t="s">
        <v>1238</v>
      </c>
      <c r="U170" t="s">
        <v>1239</v>
      </c>
      <c r="V170">
        <f>-513.55171264317 -274.998198779639 -94.7252537223359</f>
        <v>-883.27516514514491</v>
      </c>
      <c r="W170" t="s">
        <v>1240</v>
      </c>
      <c r="X170" t="s">
        <v>1241</v>
      </c>
      <c r="Y170" t="s">
        <v>1242</v>
      </c>
    </row>
    <row r="171" spans="1:25" x14ac:dyDescent="0.3">
      <c r="A171">
        <v>8500</v>
      </c>
      <c r="B171" t="s">
        <v>1243</v>
      </c>
      <c r="C171">
        <f>-546.961824334547 -184.903772216952 -97.4931752423751</f>
        <v>-829.3587717938741</v>
      </c>
      <c r="D171">
        <f>-573.326248552016 -199.381442407016 -209.348178250992</f>
        <v>-982.05586921002396</v>
      </c>
      <c r="E171">
        <f>-583.212954464753 -205.619865754965 -307.276750031614</f>
        <v>-1096.1095702513319</v>
      </c>
      <c r="F171">
        <f>-587.485480065083 -209.149971939347 -396.200903371789</f>
        <v>-1192.836355376219</v>
      </c>
      <c r="G171">
        <f>-586.68875954016 -210.594054207001 -485.282492477642</f>
        <v>-1282.565306224803</v>
      </c>
      <c r="H171">
        <f>-580.210590453635 -210.542920391634 -609.696500182035</f>
        <v>-1400.4500110273038</v>
      </c>
      <c r="I171">
        <f>-543.671634463093 -202.335440582997 -683.875812688207</f>
        <v>-1429.8828877342971</v>
      </c>
      <c r="J171">
        <f>-589.072495764463 -183.517861368776 -555.249923130759</f>
        <v>-1327.840280263998</v>
      </c>
      <c r="K171">
        <f>-623.960291393099 -51.7388743285078 -537.50535251995</f>
        <v>-1213.2045182415568</v>
      </c>
      <c r="L171">
        <f>-707.316832772767 -37.7983317516209 -255.639198639851</f>
        <v>-1000.754363164239</v>
      </c>
      <c r="M171">
        <f>-467.937557993794 -10.5304810594382 -257.859605547229</f>
        <v>-736.32764460046121</v>
      </c>
      <c r="N171">
        <f>-577.050297533871 -237.612912376705 -554.64620701887</f>
        <v>-1369.3094169294459</v>
      </c>
      <c r="O171">
        <f>-558.178427449382 -370.775736450431 -526.204726417496</f>
        <v>-1455.158890317309</v>
      </c>
      <c r="P171">
        <f>-599.147566640974 -430.991714690366 -241.096203787903</f>
        <v>-1271.2354851192431</v>
      </c>
      <c r="Q171">
        <f>-432.59443863329 -269.657816205313 -306.534897262543</f>
        <v>-1008.7871521011459</v>
      </c>
      <c r="R171">
        <f>-580.408724858285 -94.9435119302104 -102.306186006414</f>
        <v>-777.65842279490948</v>
      </c>
      <c r="S171" t="s">
        <v>1244</v>
      </c>
      <c r="T171" t="s">
        <v>1245</v>
      </c>
      <c r="U171" t="s">
        <v>1246</v>
      </c>
      <c r="V171">
        <f>-513.768596467677 -275.07722228252 -94.7270478828719</f>
        <v>-883.57286663306888</v>
      </c>
      <c r="W171" t="s">
        <v>1247</v>
      </c>
      <c r="X171" t="s">
        <v>1248</v>
      </c>
      <c r="Y171" t="s">
        <v>1249</v>
      </c>
    </row>
    <row r="172" spans="1:25" x14ac:dyDescent="0.3">
      <c r="A172">
        <v>8550</v>
      </c>
      <c r="B172" t="s">
        <v>1250</v>
      </c>
      <c r="C172">
        <f>-547.021451087944 -184.893055135635 -97.4953242510373</f>
        <v>-829.40983047461634</v>
      </c>
      <c r="D172">
        <f>-573.428292937556 -199.386132328925 -209.338266836695</f>
        <v>-982.15269210317592</v>
      </c>
      <c r="E172">
        <f>-583.367826805154 -205.636626545202 -307.260666022812</f>
        <v>-1096.2651193731681</v>
      </c>
      <c r="F172">
        <f>-587.69480757608 -209.176887554496 -396.18181339451</f>
        <v>-1193.053508525086</v>
      </c>
      <c r="G172">
        <f>-586.958783232162 -210.629854950878 -485.263752705202</f>
        <v>-1282.8523908882421</v>
      </c>
      <c r="H172">
        <f>-580.572122042007 -210.58979083234 -609.682600979886</f>
        <v>-1400.8445138542329</v>
      </c>
      <c r="I172">
        <f>-544.0912322207 -202.377011211626 -683.889826093021</f>
        <v>-1430.3580695253472</v>
      </c>
      <c r="J172">
        <f>-589.388982021234 -183.558947928333 -555.23163006354</f>
        <v>-1328.179560013107</v>
      </c>
      <c r="K172">
        <f>-624.229631685195 -51.7649564175383 -537.492127670842</f>
        <v>-1213.4867157735753</v>
      </c>
      <c r="L172">
        <f>-707.416717780132 -37.6839945301379 -255.582785025427</f>
        <v>-1000.6834973356969</v>
      </c>
      <c r="M172">
        <f>-468.047846060034 -10.3374964692016 -257.951365770682</f>
        <v>-736.33670829991752</v>
      </c>
      <c r="N172">
        <f>-577.376091616852 -237.656009247014 -554.632304702202</f>
        <v>-1369.6644055660681</v>
      </c>
      <c r="O172">
        <f>-558.511250026088 -370.822055841254 -526.193065643331</f>
        <v>-1455.526371510673</v>
      </c>
      <c r="P172">
        <f>-599.385425222121 -430.966514624341 -241.056129601412</f>
        <v>-1271.4080694478739</v>
      </c>
      <c r="Q172">
        <f>-432.840018164356 -269.647601724577 -306.551612600416</f>
        <v>-1009.039232489349</v>
      </c>
      <c r="R172">
        <f>-580.462786701784 -94.9149838599274 -102.309758449902</f>
        <v>-777.68752901161338</v>
      </c>
      <c r="S172" t="s">
        <v>1251</v>
      </c>
      <c r="T172" t="s">
        <v>1252</v>
      </c>
      <c r="U172" t="s">
        <v>1253</v>
      </c>
      <c r="V172">
        <f>-513.829808366236 -275.055670587416 -94.7248852965812</f>
        <v>-883.61036425023315</v>
      </c>
      <c r="W172" t="s">
        <v>1254</v>
      </c>
      <c r="X172" t="s">
        <v>1255</v>
      </c>
      <c r="Y172" t="s">
        <v>1256</v>
      </c>
    </row>
    <row r="173" spans="1:25" x14ac:dyDescent="0.3">
      <c r="A173">
        <v>8600</v>
      </c>
      <c r="B173" t="s">
        <v>1257</v>
      </c>
      <c r="C173">
        <f>-547.244105936792 -184.824054945083 -97.5131760926121</f>
        <v>-829.58133697448704</v>
      </c>
      <c r="D173">
        <f>-573.703545514071 -199.362273099881 -209.337906147903</f>
        <v>-982.40372476185507</v>
      </c>
      <c r="E173">
        <f>-583.760197228731 -205.646386854587 -307.246228632014</f>
        <v>-1096.6528127153319</v>
      </c>
      <c r="F173">
        <f>-588.221720526013 -209.214521866771 -396.159672846308</f>
        <v>-1193.5959152390919</v>
      </c>
      <c r="G173">
        <f>-587.648723805117 -210.692734731763 -485.242263596093</f>
        <v>-1283.583722132973</v>
      </c>
      <c r="H173">
        <f>-581.518599625256 -210.68457209025 -609.673972560516</f>
        <v>-1401.8771442760219</v>
      </c>
      <c r="I173">
        <f>-545.178874187602 -202.476003509712 -683.950937108563</f>
        <v>-1431.6058148058769</v>
      </c>
      <c r="J173">
        <f>-590.212996843904 -183.637358441644 -555.211430348528</f>
        <v>-1329.0617856340759</v>
      </c>
      <c r="K173">
        <f>-624.921590435491 -51.8096567306584 -537.468568219357</f>
        <v>-1214.1998153855066</v>
      </c>
      <c r="L173">
        <f>-707.704305085061 -37.5692397272821 -255.448346843423</f>
        <v>-1000.7218916557662</v>
      </c>
      <c r="M173">
        <f>-468.351158591416 -10.0980790774884 -257.949422152268</f>
        <v>-736.39865982117249</v>
      </c>
      <c r="N173">
        <f>-578.219237901768 -237.738848089406 -554.624157402868</f>
        <v>-1370.5822433940421</v>
      </c>
      <c r="O173">
        <f>-559.34101480713 -370.903979156386 -526.202880182691</f>
        <v>-1456.4478741462071</v>
      </c>
      <c r="P173">
        <f>-600.030171909802 -430.917810117877 -241.011941661262</f>
        <v>-1271.959923688941</v>
      </c>
      <c r="Q173">
        <f>-433.487393075313 -269.631110525397 -306.593661592043</f>
        <v>-1009.712165192753</v>
      </c>
      <c r="R173">
        <f>-580.679126067284 -94.8160521848765 -102.336197986142</f>
        <v>-777.83137623830248</v>
      </c>
      <c r="S173" t="s">
        <v>1258</v>
      </c>
      <c r="T173" t="s">
        <v>1259</v>
      </c>
      <c r="U173" t="s">
        <v>1260</v>
      </c>
      <c r="V173">
        <f>-514.078867317957 -275.020854071819 -94.708174373221</f>
        <v>-883.80789576299708</v>
      </c>
      <c r="W173" t="s">
        <v>1261</v>
      </c>
      <c r="X173" t="s">
        <v>1262</v>
      </c>
      <c r="Y173" t="s">
        <v>1263</v>
      </c>
    </row>
    <row r="174" spans="1:25" x14ac:dyDescent="0.3">
      <c r="A174">
        <v>8650</v>
      </c>
      <c r="B174" t="s">
        <v>1264</v>
      </c>
      <c r="C174">
        <f>-547.339960278771 -184.802676158818 -97.5187791075493</f>
        <v>-829.66141554513831</v>
      </c>
      <c r="D174">
        <f>-573.819703543904 -199.361961995879 -209.335931972767</f>
        <v>-982.51759751255008</v>
      </c>
      <c r="E174">
        <f>-583.939381324095 -205.664808973904 -307.236463241883</f>
        <v>-1096.8406535398819</v>
      </c>
      <c r="F174">
        <f>-588.475897492588 -209.24995653487 -396.145527712709</f>
        <v>-1193.871381740167</v>
      </c>
      <c r="G174">
        <f>-587.995702641804 -210.744994966312 -485.228374782933</f>
        <v>-1283.9690723910489</v>
      </c>
      <c r="H174">
        <f>-582.014004201757 -210.76004564087 -609.66728189857</f>
        <v>-1402.4413317411968</v>
      </c>
      <c r="I174">
        <f>-545.74445583239 -202.559156472229 -683.979482973731</f>
        <v>-1432.2830952783502</v>
      </c>
      <c r="J174">
        <f>-590.636570614993 -183.701116688481 -555.199227310634</f>
        <v>-1329.5369146141079</v>
      </c>
      <c r="K174">
        <f>-625.290380571124 -51.8587724130714 -537.455704567014</f>
        <v>-1214.6048575512095</v>
      </c>
      <c r="L174">
        <f>-707.867096218104 -37.5210276516073 -255.379934734622</f>
        <v>-1000.7680586043333</v>
      </c>
      <c r="M174">
        <f>-468.514609935034 -10.0471843225098 -257.919172985785</f>
        <v>-736.48096724332879</v>
      </c>
      <c r="N174">
        <f>-578.655912259254 -237.805594932056 -554.616677429619</f>
        <v>-1371.0781846209291</v>
      </c>
      <c r="O174">
        <f>-559.784219768101 -370.973085990282 -526.200123828886</f>
        <v>-1456.957429587269</v>
      </c>
      <c r="P174">
        <f>-600.272209171628 -430.949398635101 -240.97241220638</f>
        <v>-1272.1940200131089</v>
      </c>
      <c r="Q174">
        <f>-433.772423295999 -269.636496511426 -306.598965271629</f>
        <v>-1010.0078850790541</v>
      </c>
      <c r="R174">
        <f>-580.76383638618 -94.8358941110532 -102.353829862279</f>
        <v>-777.95356035951215</v>
      </c>
      <c r="S174" t="s">
        <v>1265</v>
      </c>
      <c r="T174" t="s">
        <v>1266</v>
      </c>
      <c r="U174" t="s">
        <v>1267</v>
      </c>
      <c r="V174">
        <f>-514.179577914059 -274.95775090864 -94.713832105175</f>
        <v>-883.85116092787393</v>
      </c>
      <c r="W174" t="s">
        <v>1268</v>
      </c>
      <c r="X174" t="s">
        <v>1269</v>
      </c>
      <c r="Y174" t="s">
        <v>1270</v>
      </c>
    </row>
    <row r="175" spans="1:25" x14ac:dyDescent="0.3">
      <c r="A175">
        <v>8700</v>
      </c>
      <c r="B175" t="s">
        <v>1271</v>
      </c>
      <c r="C175">
        <f>-547.55786781452 -184.637452016473 -97.5282717478608</f>
        <v>-829.72359157885376</v>
      </c>
      <c r="D175">
        <f>-574.091262890472 -199.237724555835 -209.327276665067</f>
        <v>-982.65626411137396</v>
      </c>
      <c r="E175">
        <f>-584.301559960038 -205.579735750981 -307.215865792391</f>
        <v>-1097.09716150341</v>
      </c>
      <c r="F175">
        <f>-588.937909311758 -209.201185284496 -396.118356372146</f>
        <v>-1194.2574509684</v>
      </c>
      <c r="G175">
        <f>-588.575024675463 -210.733285447979 -485.201209001465</f>
        <v>-1284.509519124907</v>
      </c>
      <c r="H175">
        <f>-582.775554813888 -210.800593990788 -609.648722963001</f>
        <v>-1403.2248717676771</v>
      </c>
      <c r="I175">
        <f>-546.623291293739 -202.632818310884 -684.02162872375</f>
        <v>-1433.2777383283731</v>
      </c>
      <c r="J175">
        <f>-591.311144162036 -183.717343167039 -555.179047530091</f>
        <v>-1330.2075348591661</v>
      </c>
      <c r="K175">
        <f>-625.869467376794 -51.8527214961227 -537.414968938564</f>
        <v>-1215.1371578114808</v>
      </c>
      <c r="L175">
        <f>-708.105504960032 -37.3784804139057 -255.246793817777</f>
        <v>-1000.7307791917146</v>
      </c>
      <c r="M175">
        <f>-468.744686256848 -9.98447250982167 -257.868068359346</f>
        <v>-736.5972271260157</v>
      </c>
      <c r="N175">
        <f>-579.344128664798 -237.824621984299 -554.592042768502</f>
        <v>-1371.760793417599</v>
      </c>
      <c r="O175">
        <f>-560.452320330477 -370.98486117727 -526.1532768602</f>
        <v>-1457.5904583679471</v>
      </c>
      <c r="P175">
        <f>-600.700895703497 -430.847323448456 -240.8679223039</f>
        <v>-1272.4161414558532</v>
      </c>
      <c r="Q175">
        <f>-434.258089982239 -269.56196877928 -306.705873237593</f>
        <v>-1010.525931999112</v>
      </c>
      <c r="R175">
        <f>-581.000188658878 -94.624984539618 -102.393483301505</f>
        <v>-778.01865650000104</v>
      </c>
      <c r="S175" t="s">
        <v>1272</v>
      </c>
      <c r="T175" t="s">
        <v>1273</v>
      </c>
      <c r="U175" t="s">
        <v>1274</v>
      </c>
      <c r="V175">
        <f>-514.39365669262 -274.816316653419 -94.7088269348377</f>
        <v>-883.91880028087667</v>
      </c>
      <c r="W175" t="s">
        <v>1275</v>
      </c>
      <c r="X175" t="s">
        <v>1276</v>
      </c>
      <c r="Y175" t="s">
        <v>1277</v>
      </c>
    </row>
    <row r="176" spans="1:25" x14ac:dyDescent="0.3">
      <c r="A176">
        <v>8750</v>
      </c>
      <c r="B176" t="s">
        <v>1278</v>
      </c>
      <c r="C176">
        <f>-547.64198861748 -184.586789517747 -97.5285851309388</f>
        <v>-829.75736326616584</v>
      </c>
      <c r="D176">
        <f>-574.197393240315 -199.196702120712 -209.321270764367</f>
        <v>-982.71536612539398</v>
      </c>
      <c r="E176">
        <f>-584.435547122598 -205.550665065274 -307.206273294987</f>
        <v>-1097.192485482859</v>
      </c>
      <c r="F176">
        <f>-589.100710845833 -209.184620022144 -396.106474294907</f>
        <v>-1194.3918051628839</v>
      </c>
      <c r="G176">
        <f>-588.770222758159 -210.731138330654 -485.189309103663</f>
        <v>-1284.6906701924759</v>
      </c>
      <c r="H176">
        <f>-583.019242648281 -210.820759352968 -609.638982537907</f>
        <v>-1403.478984539156</v>
      </c>
      <c r="I176">
        <f>-546.906714472989 -202.675867160812 -684.033766536747</f>
        <v>-1433.616348170548</v>
      </c>
      <c r="J176">
        <f>-591.530484473522 -183.726982800024 -555.17065918641</f>
        <v>-1330.428126459956</v>
      </c>
      <c r="K176">
        <f>-626.056028505449 -51.8546457077005 -537.407914331268</f>
        <v>-1215.3185885444175</v>
      </c>
      <c r="L176">
        <f>-708.241358845339 -37.3396094084735 -255.226989941372</f>
        <v>-1000.8079581951846</v>
      </c>
      <c r="M176">
        <f>-468.876291560318 -9.98885140145876 -257.909425142245</f>
        <v>-736.7745681040218</v>
      </c>
      <c r="N176">
        <f>-579.569604350316 -237.835724590156 -554.579005803523</f>
        <v>-1371.9843347439951</v>
      </c>
      <c r="O176">
        <f>-560.671862788485 -370.990388030336 -526.114803108792</f>
        <v>-1457.777053927613</v>
      </c>
      <c r="P176">
        <f>-600.841933239296 -430.767080619722 -240.800441355291</f>
        <v>-1272.409455214309</v>
      </c>
      <c r="Q176">
        <f>-434.405187993872 -269.509342851801 -306.721811331105</f>
        <v>-1010.636342176778</v>
      </c>
      <c r="R176">
        <f>-581.073763915 -94.57614589899 -102.403589687555</f>
        <v>-778.05349950154505</v>
      </c>
      <c r="S176" t="s">
        <v>1279</v>
      </c>
      <c r="T176" t="s">
        <v>1280</v>
      </c>
      <c r="U176" t="s">
        <v>1281</v>
      </c>
      <c r="V176">
        <f>-514.474774413848 -274.780921713994 -94.7088725382254</f>
        <v>-883.96456866606729</v>
      </c>
      <c r="W176" t="s">
        <v>1282</v>
      </c>
      <c r="X176" t="s">
        <v>1283</v>
      </c>
      <c r="Y176" t="s">
        <v>1284</v>
      </c>
    </row>
    <row r="177" spans="1:25" x14ac:dyDescent="0.3">
      <c r="A177">
        <v>8800</v>
      </c>
      <c r="B177" t="s">
        <v>1285</v>
      </c>
      <c r="C177">
        <f>-547.768723554831 -184.347927877317 -97.5309652869809</f>
        <v>-829.64761671912891</v>
      </c>
      <c r="D177">
        <f>-574.353066239211 -198.961107360735 -209.316206580761</f>
        <v>-982.63038018070699</v>
      </c>
      <c r="E177">
        <f>-584.603855049066 -205.324057841586 -307.199326398503</f>
        <v>-1097.1272392891551</v>
      </c>
      <c r="F177">
        <f>-589.275012236457 -208.968927365247 -396.098807160946</f>
        <v>-1194.34274676265</v>
      </c>
      <c r="G177">
        <f>-588.945445633545 -210.529460254216 -485.181389825065</f>
        <v>-1284.656295712826</v>
      </c>
      <c r="H177">
        <f>-583.19013930312 -210.641848700249 -609.630902987448</f>
        <v>-1403.462890990817</v>
      </c>
      <c r="I177">
        <f>-547.103184857143 -202.567234733032 -684.045681244633</f>
        <v>-1433.716100834808</v>
      </c>
      <c r="J177">
        <f>-591.702874127353 -183.538126044034 -555.167779700709</f>
        <v>-1330.4087798720961</v>
      </c>
      <c r="K177">
        <f>-626.25082405484 -51.6677696295767 -537.415932966563</f>
        <v>-1215.3345266509796</v>
      </c>
      <c r="L177">
        <f>-708.319645019201 -37.1501187455935 -255.201267371641</f>
        <v>-1000.6710311364354</v>
      </c>
      <c r="M177">
        <f>-468.955002945936 -9.80695801899037 -257.990288581098</f>
        <v>-736.75224954602436</v>
      </c>
      <c r="N177">
        <f>-579.742505858481 -237.646771451039 -554.565725386777</f>
        <v>-1371.955002696297</v>
      </c>
      <c r="O177">
        <f>-560.84246296409 -370.787180976873 -526.048680090515</f>
        <v>-1457.678324031478</v>
      </c>
      <c r="P177">
        <f>-600.958342437708 -430.407906176546 -240.694079296501</f>
        <v>-1272.0603279107549</v>
      </c>
      <c r="Q177">
        <f>-434.494885227341 -269.226103248662 -306.73341118525</f>
        <v>-1010.454399661253</v>
      </c>
      <c r="R177">
        <f>-581.207454557318 -94.409846267688 -102.401206319183</f>
        <v>-778.0185071441889</v>
      </c>
      <c r="S177" t="s">
        <v>1286</v>
      </c>
      <c r="T177" t="s">
        <v>1287</v>
      </c>
      <c r="U177" t="s">
        <v>1288</v>
      </c>
      <c r="V177">
        <f>-514.571007974928 -274.459369883629 -94.7256999857651</f>
        <v>-883.75607784432202</v>
      </c>
      <c r="W177" t="s">
        <v>1289</v>
      </c>
      <c r="X177" t="s">
        <v>1290</v>
      </c>
      <c r="Y177" t="s">
        <v>1291</v>
      </c>
    </row>
    <row r="178" spans="1:25" x14ac:dyDescent="0.3">
      <c r="A178">
        <v>8850</v>
      </c>
      <c r="B178" t="s">
        <v>1292</v>
      </c>
      <c r="C178">
        <f>-547.869448029022 -184.281090832365 -97.5260228348857</f>
        <v>-829.67656169627276</v>
      </c>
      <c r="D178">
        <f>-574.475434050783 -198.891347089204 -209.306425059801</f>
        <v>-982.67320619978796</v>
      </c>
      <c r="E178">
        <f>-584.722816751364 -205.255750106693 -307.18975061698</f>
        <v>-1097.1683174750369</v>
      </c>
      <c r="F178">
        <f>-589.382427722461 -208.904004606909 -396.089796560421</f>
        <v>-1194.376228889791</v>
      </c>
      <c r="G178">
        <f>-589.032286750203 -210.469914253115 -485.172233798555</f>
        <v>-1284.6744348018728</v>
      </c>
      <c r="H178">
        <f>-583.239511131331 -210.592277765657 -609.620002550741</f>
        <v>-1403.451791447729</v>
      </c>
      <c r="I178">
        <f>-547.146666919836 -202.550183587599 -684.035414542715</f>
        <v>-1433.7322650501501</v>
      </c>
      <c r="J178">
        <f>-591.767511436324 -183.483839269634 -555.161592582985</f>
        <v>-1330.4129432889431</v>
      </c>
      <c r="K178">
        <f>-626.303765528228 -51.612310822261 -537.40480717125</f>
        <v>-1215.320883521739</v>
      </c>
      <c r="L178">
        <f>-708.362817889657 -37.1059764768997 -255.186663400247</f>
        <v>-1000.6554577668037</v>
      </c>
      <c r="M178">
        <f>-469.007357106445 -9.68317522334701 -257.974009102372</f>
        <v>-736.66454143216401</v>
      </c>
      <c r="N178">
        <f>-579.809642732235 -237.592997688095 -554.551740991307</f>
        <v>-1371.9543814116371</v>
      </c>
      <c r="O178">
        <f>-560.934474167007 -370.736506727168 -526.019822206231</f>
        <v>-1457.6908031004059</v>
      </c>
      <c r="P178">
        <f>-601.00494044846 -430.317201435696 -240.650557950962</f>
        <v>-1271.972699835118</v>
      </c>
      <c r="Q178">
        <f>-434.51193867492 -269.192854227222 -306.755619586099</f>
        <v>-1010.460412488241</v>
      </c>
      <c r="R178">
        <f>-581.321227198005 -94.2739810607586 -102.397370880392</f>
        <v>-777.99257913915562</v>
      </c>
      <c r="S178" t="s">
        <v>1293</v>
      </c>
      <c r="T178" t="s">
        <v>1294</v>
      </c>
      <c r="U178" t="s">
        <v>1295</v>
      </c>
      <c r="V178">
        <f>-514.693711726351 -274.47129385749 -94.7283300103135</f>
        <v>-883.89333559415456</v>
      </c>
      <c r="W178" t="s">
        <v>1296</v>
      </c>
      <c r="X178" t="s">
        <v>1297</v>
      </c>
      <c r="Y178" t="s">
        <v>1298</v>
      </c>
    </row>
    <row r="179" spans="1:25" x14ac:dyDescent="0.3">
      <c r="A179">
        <v>8900</v>
      </c>
      <c r="B179" t="s">
        <v>1299</v>
      </c>
      <c r="C179">
        <f>-547.980161222895 -184.187701571516 -97.5335365756534</f>
        <v>-829.70139937006445</v>
      </c>
      <c r="D179">
        <f>-574.650286935562 -198.802366093609 -209.298211148349</f>
        <v>-982.75086417751993</v>
      </c>
      <c r="E179">
        <f>-584.895780536493 -205.167454619876 -307.181708161731</f>
        <v>-1097.2449433181</v>
      </c>
      <c r="F179">
        <f>-589.530094125289 -208.815217625221 -396.083016600384</f>
        <v>-1194.4283283508939</v>
      </c>
      <c r="G179">
        <f>-589.131486149712 -210.380221523277 -485.165214608556</f>
        <v>-1284.6769222815451</v>
      </c>
      <c r="H179">
        <f>-583.246371071631 -210.501309330572 -609.608665841325</f>
        <v>-1403.3563462435279</v>
      </c>
      <c r="I179">
        <f>-547.143158095563 -202.497667268652 -684.023257080321</f>
        <v>-1433.6640824445358</v>
      </c>
      <c r="J179">
        <f>-591.806462165024 -183.391525671351 -555.156009525157</f>
        <v>-1330.353997361532</v>
      </c>
      <c r="K179">
        <f>-626.353198701276 -51.5223244177826 -537.397212663824</f>
        <v>-1215.2727357828826</v>
      </c>
      <c r="L179">
        <f>-708.5003071515 -36.9550508786915 -255.20790276351</f>
        <v>-1000.6632607937015</v>
      </c>
      <c r="M179">
        <f>-469.150608535985 -9.46880230618058 -257.875514481755</f>
        <v>-736.4949253239206</v>
      </c>
      <c r="N179">
        <f>-579.865796307472 -237.50451032403 -554.538499090487</f>
        <v>-1371.908805721989</v>
      </c>
      <c r="O179">
        <f>-561.075554413005 -370.643548091664 -525.936644454303</f>
        <v>-1457.655746958972</v>
      </c>
      <c r="P179">
        <f>-601.171600555416 -430.08058961644 -240.540914150641</f>
        <v>-1271.7931043224969</v>
      </c>
      <c r="Q179">
        <f>-434.575086346187 -269.132955281039 -306.815599351337</f>
        <v>-1010.5236409785631</v>
      </c>
      <c r="R179">
        <f>-581.37855745618 -94.1898784892796 -102.391556052744</f>
        <v>-777.95999199820369</v>
      </c>
      <c r="S179" t="s">
        <v>1300</v>
      </c>
      <c r="T179" t="s">
        <v>1301</v>
      </c>
      <c r="U179" t="s">
        <v>1302</v>
      </c>
      <c r="V179">
        <f>-514.859483169951 -274.39636728034 -94.7292539144875</f>
        <v>-883.98510436477841</v>
      </c>
      <c r="W179" t="s">
        <v>1303</v>
      </c>
      <c r="X179" t="s">
        <v>1304</v>
      </c>
      <c r="Y179" t="s">
        <v>1305</v>
      </c>
    </row>
    <row r="180" spans="1:25" x14ac:dyDescent="0.3">
      <c r="A180">
        <v>8950</v>
      </c>
      <c r="B180" t="s">
        <v>1306</v>
      </c>
      <c r="C180">
        <f>-548.02575201583 -184.237661796424 -97.5264475404113</f>
        <v>-829.78986135266518</v>
      </c>
      <c r="D180">
        <f>-574.714654812454 -198.841149166767 -209.288050868677</f>
        <v>-982.843854847898</v>
      </c>
      <c r="E180">
        <f>-584.945923883334 -205.198515137898 -307.17345525861</f>
        <v>-1097.317894279842</v>
      </c>
      <c r="F180">
        <f>-589.555253659799 -208.840245902889 -396.076517040864</f>
        <v>-1194.472016603552</v>
      </c>
      <c r="G180">
        <f>-589.119430248377 -210.400270101057 -485.158548659035</f>
        <v>-1284.6782490084688</v>
      </c>
      <c r="H180">
        <f>-583.170067261609 -210.515824041058 -609.599003995953</f>
        <v>-1403.2848952986201</v>
      </c>
      <c r="I180">
        <f>-547.060137212482 -202.526429175144 -684.011771604418</f>
        <v>-1433.598337992044</v>
      </c>
      <c r="J180">
        <f>-591.756115421018 -183.408056110887 -555.149301264231</f>
        <v>-1330.313472796136</v>
      </c>
      <c r="K180">
        <f>-626.311744198626 -51.5419634909383 -537.397570848026</f>
        <v>-1215.2512785375902</v>
      </c>
      <c r="L180">
        <f>-708.488207771622 -37.0077695555858 -255.215102523101</f>
        <v>-1000.7110798503088</v>
      </c>
      <c r="M180">
        <f>-469.142965355114 -9.48198491237645 -257.867395780449</f>
        <v>-736.49234604793946</v>
      </c>
      <c r="N180">
        <f>-579.82009775095 -237.521952699886 -554.528429437854</f>
        <v>-1371.8704798886902</v>
      </c>
      <c r="O180">
        <f>-561.077453072711 -370.661448780169 -525.890078818197</f>
        <v>-1457.628980671077</v>
      </c>
      <c r="P180">
        <f>-601.21732584308 -429.966093857826 -240.472956953869</f>
        <v>-1271.6563766547749</v>
      </c>
      <c r="Q180">
        <f>-434.528881063582 -269.153226402143 -306.843476689488</f>
        <v>-1010.525584155213</v>
      </c>
      <c r="R180">
        <f>-581.379187826991 -94.2537618746646 -102.374090940959</f>
        <v>-778.0070406426147</v>
      </c>
      <c r="S180" t="s">
        <v>1307</v>
      </c>
      <c r="T180" t="s">
        <v>1308</v>
      </c>
      <c r="U180" t="s">
        <v>1309</v>
      </c>
      <c r="V180">
        <f>-514.94962575346 -274.427296147298 -94.7283425056169</f>
        <v>-884.105264406375</v>
      </c>
      <c r="W180" t="s">
        <v>1310</v>
      </c>
      <c r="X180" t="s">
        <v>1311</v>
      </c>
      <c r="Y180" t="s">
        <v>1312</v>
      </c>
    </row>
    <row r="181" spans="1:25" x14ac:dyDescent="0.3">
      <c r="A181">
        <v>9000</v>
      </c>
      <c r="B181" t="s">
        <v>1313</v>
      </c>
      <c r="C181">
        <f>-548.132755608946 -184.031767239535 -97.517654964405</f>
        <v>-829.68217781288604</v>
      </c>
      <c r="D181">
        <f>-574.85373649481 -198.607863038039 -209.275201749218</f>
        <v>-982.73680128206706</v>
      </c>
      <c r="E181">
        <f>-585.089293789855 -204.95413068869 -307.160971594776</f>
        <v>-1097.2043960733208</v>
      </c>
      <c r="F181">
        <f>-589.693672483394 -208.590479641661 -396.06445994321</f>
        <v>-1194.3486120682651</v>
      </c>
      <c r="G181">
        <f>-589.244231504275 -210.149414286264 -485.146383085573</f>
        <v>-1284.540028876112</v>
      </c>
      <c r="H181">
        <f>-583.266905693203 -210.268106092403 -609.585417468649</f>
        <v>-1403.120429254255</v>
      </c>
      <c r="I181">
        <f>-547.171967794765 -202.356191078588 -684.013852571562</f>
        <v>-1433.542011444915</v>
      </c>
      <c r="J181">
        <f>-591.862547926934 -183.158466209555 -555.138357542492</f>
        <v>-1330.159371678981</v>
      </c>
      <c r="K181">
        <f>-626.463500246621 -51.3154929239458 -537.322777530114</f>
        <v>-1215.1017707006808</v>
      </c>
      <c r="L181">
        <f>-708.361254102423 -36.9660777899626 -255.049747126874</f>
        <v>-1000.3770790192596</v>
      </c>
      <c r="M181">
        <f>-469.044312210514 -9.21835783626875 -257.930060945244</f>
        <v>-736.19273099202678</v>
      </c>
      <c r="N181">
        <f>-579.931659134227 -237.273335016836 -554.513617331662</f>
        <v>-1371.718611482725</v>
      </c>
      <c r="O181">
        <f>-561.253689881627 -370.405700725562 -525.791075121564</f>
        <v>-1457.450465728753</v>
      </c>
      <c r="P181">
        <f>-601.42158232692 -429.415362010226 -240.316641182971</f>
        <v>-1271.1535855201168</v>
      </c>
      <c r="Q181">
        <f>-434.500778200444 -268.933121692126 -306.903347262482</f>
        <v>-1010.337247155052</v>
      </c>
      <c r="R181">
        <f>-581.490287167102 -94.0265351177275 -102.350097917707</f>
        <v>-777.86692020253645</v>
      </c>
      <c r="S181" t="s">
        <v>1314</v>
      </c>
      <c r="T181" t="s">
        <v>1315</v>
      </c>
      <c r="U181" t="s">
        <v>1316</v>
      </c>
      <c r="V181">
        <f>-515.062605171415 -274.182522972839 -94.7376399568889</f>
        <v>-883.98276810114294</v>
      </c>
      <c r="W181" t="s">
        <v>1317</v>
      </c>
      <c r="X181" t="s">
        <v>1318</v>
      </c>
      <c r="Y181" t="s">
        <v>1319</v>
      </c>
    </row>
    <row r="182" spans="1:25" x14ac:dyDescent="0.3">
      <c r="A182">
        <v>9050</v>
      </c>
      <c r="B182" t="s">
        <v>1320</v>
      </c>
      <c r="C182">
        <f>-548.277594282825 -183.988857916888 -97.4998349823048</f>
        <v>-829.76628718201789</v>
      </c>
      <c r="D182">
        <f>-575.02703568749 -198.55311172319 -209.252155672304</f>
        <v>-982.83230308298403</v>
      </c>
      <c r="E182">
        <f>-585.255684650233 -204.875342188964 -307.140097705593</f>
        <v>-1097.2711245447899</v>
      </c>
      <c r="F182">
        <f>-589.840992869073 -208.483963890121 -396.045662394051</f>
        <v>-1194.3706191532451</v>
      </c>
      <c r="G182">
        <f>-589.359376992074 -210.009937986058 -485.12804827294</f>
        <v>-1284.4973632510721</v>
      </c>
      <c r="H182">
        <f>-583.323666948673 -210.076733129351 -609.564280599965</f>
        <v>-1402.9646806779888</v>
      </c>
      <c r="I182">
        <f>-547.272379711761 -202.215173279416 -684.019162456857</f>
        <v>-1433.5067154480339</v>
      </c>
      <c r="J182">
        <f>-591.944684727218 -182.989626199109 -555.110041395789</f>
        <v>-1330.0443523221161</v>
      </c>
      <c r="K182">
        <f>-626.511475738263 -51.1491164387971 -537.229006192524</f>
        <v>-1214.8895983695843</v>
      </c>
      <c r="L182">
        <f>-708.151081313693 -37.0063736409786 -254.870758556472</f>
        <v>-1000.0282135111436</v>
      </c>
      <c r="M182">
        <f>-468.858766428073 -9.06645422943075 -257.945139923532</f>
        <v>-735.87036058103581</v>
      </c>
      <c r="N182">
        <f>-580.014764644291 -237.10499334777 -554.502238351317</f>
        <v>-1371.621996343378</v>
      </c>
      <c r="O182">
        <f>-561.370603258169 -370.244370504033 -525.774433848547</f>
        <v>-1457.389407610749</v>
      </c>
      <c r="P182">
        <f>-601.46146397443 -429.053330228497 -240.247966751955</f>
        <v>-1270.7627609548822</v>
      </c>
      <c r="Q182">
        <f>-434.460369159836 -268.70362791331 -306.951903298139</f>
        <v>-1010.115900371285</v>
      </c>
      <c r="R182">
        <f>-581.614473275976 -93.9208400349492 -102.334593416964</f>
        <v>-777.8699067278892</v>
      </c>
      <c r="S182" t="s">
        <v>1321</v>
      </c>
      <c r="T182" t="s">
        <v>1322</v>
      </c>
      <c r="U182" t="s">
        <v>1323</v>
      </c>
      <c r="V182">
        <f>-515.242625350237 -274.211431977421 -94.7284446120311</f>
        <v>-884.18250193968902</v>
      </c>
      <c r="W182" t="s">
        <v>1324</v>
      </c>
      <c r="X182" t="s">
        <v>1325</v>
      </c>
      <c r="Y182" t="s">
        <v>1326</v>
      </c>
    </row>
    <row r="183" spans="1:25" x14ac:dyDescent="0.3">
      <c r="A183">
        <v>9100</v>
      </c>
      <c r="B183" t="s">
        <v>1327</v>
      </c>
      <c r="C183">
        <f>-548.568182795428 -183.924725591175 -97.4661384825897</f>
        <v>-829.95904686919266</v>
      </c>
      <c r="D183">
        <f>-575.266804179704 -198.45588387294 -209.234910446431</f>
        <v>-982.95759849907495</v>
      </c>
      <c r="E183">
        <f>-585.359366618182 -204.709708388773 -307.14149573638</f>
        <v>-1097.210570743335</v>
      </c>
      <c r="F183">
        <f>-589.783134246024 -208.242208680433 -396.058228779968</f>
        <v>-1194.0835717064251</v>
      </c>
      <c r="G183">
        <f>-589.102022682293 -209.678387059558 -485.140858419785</f>
        <v>-1283.9212681616359</v>
      </c>
      <c r="H183">
        <f>-582.747529853735 -209.606413286728 -609.561194354612</f>
        <v>-1401.9151374950752</v>
      </c>
      <c r="I183">
        <f>-546.830811935041 -201.823342728301 -684.089364407012</f>
        <v>-1432.7435190703541</v>
      </c>
      <c r="J183">
        <f>-591.513540300788 -182.581232573038 -555.099277361069</f>
        <v>-1329.194050234895</v>
      </c>
      <c r="K183">
        <f>-625.972875936444 -50.7204646490284 -537.121447643084</f>
        <v>-1213.8147882285564</v>
      </c>
      <c r="L183">
        <f>-707.3819238983 -36.7444757855089 -254.688256401537</f>
        <v>-998.81465608534586</v>
      </c>
      <c r="M183">
        <f>-468.101672569991 -8.72980029948781 -258.012191132545</f>
        <v>-734.84366400202384</v>
      </c>
      <c r="N183">
        <f>-579.574213749674 -236.694927138361 -554.520800768039</f>
        <v>-1370.789941656074</v>
      </c>
      <c r="O183">
        <f>-561.038828757548 -369.855446538917 -525.855878856937</f>
        <v>-1456.750154153402</v>
      </c>
      <c r="P183">
        <f>-601.091302563665 -428.70843449938 -240.332977159062</f>
        <v>-1270.1327142221071</v>
      </c>
      <c r="Q183">
        <f>-434.111397200906 -268.369688674634 -307.116545386056</f>
        <v>-1009.597631261596</v>
      </c>
      <c r="R183">
        <f>-581.901097866546 -93.7962126973025 -102.295853370081</f>
        <v>-777.99316393392951</v>
      </c>
      <c r="S183" t="s">
        <v>1328</v>
      </c>
      <c r="T183" t="s">
        <v>1329</v>
      </c>
      <c r="U183" t="s">
        <v>1330</v>
      </c>
      <c r="V183">
        <f>-515.48895680322 -274.240115721934 -94.7168155047734</f>
        <v>-884.44588802992746</v>
      </c>
      <c r="W183" t="s">
        <v>1331</v>
      </c>
      <c r="X183" t="s">
        <v>1332</v>
      </c>
      <c r="Y183" t="s">
        <v>1333</v>
      </c>
    </row>
    <row r="184" spans="1:25" x14ac:dyDescent="0.3">
      <c r="A184">
        <v>9150</v>
      </c>
      <c r="B184" t="s">
        <v>1334</v>
      </c>
      <c r="C184">
        <f>-548.726167393599 -183.939523864445 -97.461295390357</f>
        <v>-830.12698664840104</v>
      </c>
      <c r="D184">
        <f>-575.475372307584 -198.471027288735 -209.217844925469</f>
        <v>-983.16424452178796</v>
      </c>
      <c r="E184">
        <f>-585.536505314685 -204.712655800811 -307.12839197338</f>
        <v>-1097.3775530888761</v>
      </c>
      <c r="F184">
        <f>-589.901611455846 -208.229670013588 -396.048652474551</f>
        <v>-1194.1799339439849</v>
      </c>
      <c r="G184">
        <f>-589.131119996075 -209.646468253533 -485.130968584426</f>
        <v>-1283.908556834034</v>
      </c>
      <c r="H184">
        <f>-582.619794987366 -209.543752342802 -609.543117731156</f>
        <v>-1401.7066650613242</v>
      </c>
      <c r="I184">
        <f>-546.765758562246 -201.794229914771 -684.104932900546</f>
        <v>-1432.6649213775631</v>
      </c>
      <c r="J184">
        <f>-591.45988216732 -182.533350310227 -555.085826764532</f>
        <v>-1329.079059242079</v>
      </c>
      <c r="K184">
        <f>-625.859297622407 -50.651735317356 -537.108400468318</f>
        <v>-1213.619433408081</v>
      </c>
      <c r="L184">
        <f>-707.161606200979 -36.6998226090507 -254.643529583106</f>
        <v>-998.50495839313567</v>
      </c>
      <c r="M184">
        <f>-467.855420505241 -8.91131740773994 -257.991928325324</f>
        <v>-734.75866623830495</v>
      </c>
      <c r="N184">
        <f>-579.510300368518 -236.644697972554 -554.505077822867</f>
        <v>-1370.6600761639388</v>
      </c>
      <c r="O184">
        <f>-560.997247827429 -369.810097662143 -525.835957530638</f>
        <v>-1456.6433030202099</v>
      </c>
      <c r="P184">
        <f>-601.133238197992 -428.633748692881 -240.318917692604</f>
        <v>-1270.0859045834768</v>
      </c>
      <c r="Q184">
        <f>-434.19287254011 -268.252527161918 -307.099331063332</f>
        <v>-1009.54473076536</v>
      </c>
      <c r="R184">
        <f>-582.024809919315 -93.8241128307841 -102.272094652495</f>
        <v>-778.12101740259402</v>
      </c>
      <c r="S184" t="s">
        <v>1335</v>
      </c>
      <c r="T184" t="s">
        <v>1336</v>
      </c>
      <c r="U184" t="s">
        <v>1337</v>
      </c>
      <c r="V184">
        <f>-515.711228301147 -274.253617946169 -94.7034653785964</f>
        <v>-884.66831162591245</v>
      </c>
      <c r="W184" t="s">
        <v>1338</v>
      </c>
      <c r="X184" t="s">
        <v>1339</v>
      </c>
      <c r="Y184" t="s">
        <v>1340</v>
      </c>
    </row>
    <row r="185" spans="1:25" x14ac:dyDescent="0.3">
      <c r="A185">
        <v>9200</v>
      </c>
      <c r="B185" t="s">
        <v>1341</v>
      </c>
      <c r="C185">
        <f>-549.084700896282 -183.766820117057 -97.4583593913552</f>
        <v>-830.30988040469424</v>
      </c>
      <c r="D185">
        <f>-575.826368526026 -198.251684082182 -209.222908652564</f>
        <v>-983.30096126077206</v>
      </c>
      <c r="E185">
        <f>-585.837771163311 -204.468056430786 -307.140086302145</f>
        <v>-1097.445913896242</v>
      </c>
      <c r="F185">
        <f>-590.140929903683 -207.96857194528 -396.064135980317</f>
        <v>-1194.1736378292799</v>
      </c>
      <c r="G185">
        <f>-589.291616420299 -209.375838886578 -485.14565139124</f>
        <v>-1283.8131066981168</v>
      </c>
      <c r="H185">
        <f>-582.653055761925 -209.267433041681 -609.551144704273</f>
        <v>-1401.471633507879</v>
      </c>
      <c r="I185">
        <f>-546.840062084383 -201.557900551099 -684.136818444856</f>
        <v>-1432.534781080338</v>
      </c>
      <c r="J185">
        <f>-591.554299200399 -182.260687747713 -555.102012915792</f>
        <v>-1328.916999863904</v>
      </c>
      <c r="K185">
        <f>-625.99927359805 -50.3872474861992 -537.137334671846</f>
        <v>-1213.5238557560951</v>
      </c>
      <c r="L185">
        <f>-707.111136138133 -36.3666258570647 -254.620927011914</f>
        <v>-998.09868900711172</v>
      </c>
      <c r="M185">
        <f>-467.773481671639 -8.87474118562318 -258.162950384222</f>
        <v>-734.81117324148408</v>
      </c>
      <c r="N185">
        <f>-579.594193088238 -236.369613417122 -554.510938903935</f>
        <v>-1370.4747454092949</v>
      </c>
      <c r="O185">
        <f>-561.209537636167 -369.534631832107 -525.76708724042</f>
        <v>-1456.511256708694</v>
      </c>
      <c r="P185">
        <f>-601.54854555165 -428.185927922823 -240.242884689833</f>
        <v>-1269.977358164306</v>
      </c>
      <c r="Q185">
        <f>-434.476259250267 -267.972107265889 -307.095663591674</f>
        <v>-1009.5440301078301</v>
      </c>
      <c r="R185">
        <f>-582.36854496473 -93.6264916525183 -102.246580892919</f>
        <v>-778.24161751016732</v>
      </c>
      <c r="S185" t="s">
        <v>1342</v>
      </c>
      <c r="T185" t="s">
        <v>1343</v>
      </c>
      <c r="U185" t="s">
        <v>1344</v>
      </c>
      <c r="V185">
        <f>-516.096822183688 -274.084603867296 -94.7322383004737</f>
        <v>-884.91366435145767</v>
      </c>
      <c r="W185" t="s">
        <v>1345</v>
      </c>
      <c r="X185" t="s">
        <v>1346</v>
      </c>
      <c r="Y185" t="s">
        <v>1347</v>
      </c>
    </row>
    <row r="186" spans="1:25" x14ac:dyDescent="0.3">
      <c r="A186">
        <v>9250</v>
      </c>
      <c r="B186" t="s">
        <v>1348</v>
      </c>
      <c r="C186">
        <f>-549.278099540121 -183.744983198174 -97.4600764259188</f>
        <v>-830.48315916421382</v>
      </c>
      <c r="D186">
        <f>-576.016297132872 -198.205267267971 -209.22852369844</f>
        <v>-983.45008809928288</v>
      </c>
      <c r="E186">
        <f>-586.037760028863 -204.426850981928 -307.144367328597</f>
        <v>-1097.6089783393882</v>
      </c>
      <c r="F186">
        <f>-590.355294416135 -207.943679588049 -396.067027722824</f>
        <v>-1194.3660017270081</v>
      </c>
      <c r="G186">
        <f>-589.526115064877 -209.378865800338 -485.148379837825</f>
        <v>-1284.05336070304</v>
      </c>
      <c r="H186">
        <f>-582.921220262769 -209.322235653996 -609.555709163879</f>
        <v>-1401.7991650806439</v>
      </c>
      <c r="I186">
        <f>-547.121827604744 -201.625671023373 -684.149265939325</f>
        <v>-1432.896764567442</v>
      </c>
      <c r="J186">
        <f>-591.805037814651 -182.292199250855 -555.115207917148</f>
        <v>-1329.212444982654</v>
      </c>
      <c r="K186">
        <f>-626.316259865253 -50.4426368232432 -537.127594195267</f>
        <v>-1213.8864908837631</v>
      </c>
      <c r="L186">
        <f>-707.163993232618 -36.4754517042074 -254.532851462192</f>
        <v>-998.17229639901757</v>
      </c>
      <c r="M186">
        <f>-467.838261616891 -8.89544020256767 -258.187916626716</f>
        <v>-734.92161844617465</v>
      </c>
      <c r="N186">
        <f>-579.850430628819 -236.402127464676 -554.505101386372</f>
        <v>-1370.757659479867</v>
      </c>
      <c r="O186">
        <f>-561.56700472079 -369.56340670935 -525.68828271355</f>
        <v>-1456.81869414369</v>
      </c>
      <c r="P186">
        <f>-601.794098359713 -427.922095852173 -240.088385283692</f>
        <v>-1269.8045794955779</v>
      </c>
      <c r="Q186">
        <f>-434.574128343387 -267.920478312748 -307.080064252083</f>
        <v>-1009.574670908218</v>
      </c>
      <c r="R186">
        <f>-582.538961842839 -93.5937054411829 -102.217417890685</f>
        <v>-778.35008517470692</v>
      </c>
      <c r="S186" t="s">
        <v>1349</v>
      </c>
      <c r="T186" t="s">
        <v>1350</v>
      </c>
      <c r="U186" t="s">
        <v>1351</v>
      </c>
      <c r="V186">
        <f>-516.311893910801 -274.114714485796 -94.7515399457648</f>
        <v>-885.17814834236174</v>
      </c>
      <c r="W186" t="s">
        <v>1352</v>
      </c>
      <c r="X186" t="s">
        <v>1353</v>
      </c>
      <c r="Y186" t="s">
        <v>1354</v>
      </c>
    </row>
    <row r="187" spans="1:25" x14ac:dyDescent="0.3">
      <c r="A187">
        <v>9300</v>
      </c>
      <c r="B187" t="s">
        <v>1355</v>
      </c>
      <c r="C187">
        <f>-549.518045863349 -183.568509406763 -97.4272876487496</f>
        <v>-830.51384291886166</v>
      </c>
      <c r="D187">
        <f>-576.264002678815 -197.979168985453 -209.200218491729</f>
        <v>-983.44339015599689</v>
      </c>
      <c r="E187">
        <f>-586.364327782017 -204.219941713572 -307.106851157863</f>
        <v>-1097.6911206534519</v>
      </c>
      <c r="F187">
        <f>-590.782318041409 -207.780490730679 -396.022734802273</f>
        <v>-1194.5855435743611</v>
      </c>
      <c r="G187">
        <f>-590.082865595565 -209.286836829314 -485.104048006802</f>
        <v>-1284.4737504316809</v>
      </c>
      <c r="H187">
        <f>-583.689889651569 -209.358961779023 -609.52257741279</f>
        <v>-1402.5714288433821</v>
      </c>
      <c r="I187">
        <f>-547.967978897933 -201.699197688951 -684.156880156679</f>
        <v>-1433.824056743563</v>
      </c>
      <c r="J187">
        <f>-592.458865092769 -182.267642682812 -555.093816319026</f>
        <v>-1329.820324094607</v>
      </c>
      <c r="K187">
        <f>-627.046434315742 -50.4471786781041 -537.060427618776</f>
        <v>-1214.554040612622</v>
      </c>
      <c r="L187">
        <f>-707.460297746905 -36.6638408358367 -254.332916578736</f>
        <v>-998.45705516147768</v>
      </c>
      <c r="M187">
        <f>-468.180656174989 -8.71941315664094 -258.240851575348</f>
        <v>-735.14092090697795</v>
      </c>
      <c r="N187">
        <f>-580.547567910571 -236.386773325911 -554.450449038725</f>
        <v>-1371.384790275207</v>
      </c>
      <c r="O187">
        <f>-562.425240826423 -369.542760551806 -525.496296892911</f>
        <v>-1457.46429827114</v>
      </c>
      <c r="P187">
        <f>-602.502987776745 -427.479672031246 -239.789489008855</f>
        <v>-1269.7721488168461</v>
      </c>
      <c r="Q187">
        <f>-435.004316800968 -267.854922966063 -306.98342738216</f>
        <v>-1009.842667149191</v>
      </c>
      <c r="R187">
        <f>-582.790343685441 -93.4649522198545 -102.1458604008</f>
        <v>-778.40115630609546</v>
      </c>
      <c r="S187" t="s">
        <v>1356</v>
      </c>
      <c r="T187" t="s">
        <v>1357</v>
      </c>
      <c r="U187" t="s">
        <v>1358</v>
      </c>
      <c r="V187">
        <f>-516.507167014169 -273.847176486374 -94.7954773918143</f>
        <v>-885.1498208923573</v>
      </c>
      <c r="W187" t="s">
        <v>1359</v>
      </c>
      <c r="X187" t="s">
        <v>1360</v>
      </c>
      <c r="Y187" t="s">
        <v>1361</v>
      </c>
    </row>
    <row r="188" spans="1:25" x14ac:dyDescent="0.3">
      <c r="A188">
        <v>9350</v>
      </c>
      <c r="B188" t="s">
        <v>1362</v>
      </c>
      <c r="C188">
        <f>-549.543077490147 -183.567959456062 -97.4097486789582</f>
        <v>-830.52078562516715</v>
      </c>
      <c r="D188">
        <f>-576.306596594688 -197.968677391772 -209.179926016855</f>
        <v>-983.45520000331499</v>
      </c>
      <c r="E188">
        <f>-586.472340652799 -204.23259118467 -307.078209705893</f>
        <v>-1097.783141543362</v>
      </c>
      <c r="F188">
        <f>-590.970235696379 -207.827428626043 -395.988753686698</f>
        <v>-1194.7864180091199</v>
      </c>
      <c r="G188">
        <f>-590.371358170087 -209.381353446035 -485.070033936629</f>
        <v>-1284.822745552751</v>
      </c>
      <c r="H188">
        <f>-584.140039798095 -209.534296669359 -609.496580862177</f>
        <v>-1403.170917329631</v>
      </c>
      <c r="I188">
        <f>-548.47720751743 -201.910605905393 -684.162882439704</f>
        <v>-1434.5506958625269</v>
      </c>
      <c r="J188">
        <f>-592.82252465279 -182.404202127348 -555.073376913216</f>
        <v>-1330.3001036933538</v>
      </c>
      <c r="K188">
        <f>-627.435925536307 -50.5942932256096 -537.00107393923</f>
        <v>-1215.0312927011464</v>
      </c>
      <c r="L188">
        <f>-707.618405888247 -36.8177537477111 -254.20756243345</f>
        <v>-998.64372206940811</v>
      </c>
      <c r="M188">
        <f>-468.360486863513 -8.6921562764835 -258.140298485295</f>
        <v>-735.1929416252915</v>
      </c>
      <c r="N188">
        <f>-580.941483745548 -236.529726216861 -554.41181314442</f>
        <v>-1371.8830231068291</v>
      </c>
      <c r="O188">
        <f>-562.843325128789 -369.679157512243 -525.428508327127</f>
        <v>-1457.9509909681592</v>
      </c>
      <c r="P188">
        <f>-602.865210893186 -427.461350932647 -239.682833257623</f>
        <v>-1270.0093950834562</v>
      </c>
      <c r="Q188">
        <f>-435.281670554101 -267.961852695882 -306.962695063709</f>
        <v>-1010.206218313692</v>
      </c>
      <c r="R188">
        <f>-582.812439148121 -93.4976527438439 -102.104214618467</f>
        <v>-778.41430651043197</v>
      </c>
      <c r="S188" t="s">
        <v>1363</v>
      </c>
      <c r="T188" t="s">
        <v>1364</v>
      </c>
      <c r="U188" t="s">
        <v>1365</v>
      </c>
      <c r="V188">
        <f>-516.555340263622 -273.84886145542 -94.7917980666784</f>
        <v>-885.19599978572046</v>
      </c>
      <c r="W188" t="s">
        <v>1366</v>
      </c>
      <c r="X188" t="s">
        <v>1367</v>
      </c>
      <c r="Y188" t="s">
        <v>1368</v>
      </c>
    </row>
    <row r="189" spans="1:25" x14ac:dyDescent="0.3">
      <c r="A189">
        <v>9400</v>
      </c>
      <c r="B189" t="s">
        <v>1369</v>
      </c>
      <c r="C189">
        <f>-549.497326174618 -183.443917420324 -97.3520630921056</f>
        <v>-830.29330668704768</v>
      </c>
      <c r="D189">
        <f>-576.33858954088 -197.876563424486 -209.099317613857</f>
        <v>-983.31447057922298</v>
      </c>
      <c r="E189">
        <f>-586.610556583985 -204.186484877672 -306.983602872992</f>
        <v>-1097.780644334649</v>
      </c>
      <c r="F189">
        <f>-591.219786299566 -207.830920645439 -395.886479935375</f>
        <v>-1194.937186880381</v>
      </c>
      <c r="G189">
        <f>-590.746901635948 -209.443485330102 -484.967424305949</f>
        <v>-1285.157811271999</v>
      </c>
      <c r="H189">
        <f>-584.707059627713 -209.687660863605 -609.403136202104</f>
        <v>-1403.7978566934219</v>
      </c>
      <c r="I189">
        <f>-549.113995166844 -202.102063609598 -684.106756298313</f>
        <v>-1435.322815074755</v>
      </c>
      <c r="J189">
        <f>-593.274115816434 -182.510764394686 -554.985108155245</f>
        <v>-1330.7699883663649</v>
      </c>
      <c r="K189">
        <f>-627.902737029542 -50.7249921843468 -536.829822738814</f>
        <v>-1215.4575519527027</v>
      </c>
      <c r="L189">
        <f>-707.787200765373 -36.8225507845384 -253.95816234705</f>
        <v>-998.56791389696139</v>
      </c>
      <c r="M189">
        <f>-468.567785530257 -8.39916742450487 -258.089624460473</f>
        <v>-735.05657741523487</v>
      </c>
      <c r="N189">
        <f>-581.455711379882 -236.649732591257 -554.305143961876</f>
        <v>-1372.410587933015</v>
      </c>
      <c r="O189">
        <f>-563.416751375395 -369.816411465139 -525.321793170017</f>
        <v>-1458.554956010551</v>
      </c>
      <c r="P189">
        <f>-603.080367165333 -427.527863944245 -239.511679217858</f>
        <v>-1270.1199103274359</v>
      </c>
      <c r="Q189">
        <f>-435.547049352943 -268.077023168172 -307.031372251174</f>
        <v>-1010.655444772289</v>
      </c>
      <c r="R189">
        <f>-582.757961360356 -93.3328373595562 -102.044958066366</f>
        <v>-778.13575678627819</v>
      </c>
      <c r="S189" t="s">
        <v>1370</v>
      </c>
      <c r="T189" t="s">
        <v>1371</v>
      </c>
      <c r="U189" t="s">
        <v>1372</v>
      </c>
      <c r="V189">
        <f>-516.515962288285 -273.710494735269 -94.7407150780965</f>
        <v>-884.96717210165048</v>
      </c>
      <c r="W189" t="s">
        <v>1373</v>
      </c>
      <c r="X189" t="s">
        <v>1374</v>
      </c>
      <c r="Y189" t="s">
        <v>1375</v>
      </c>
    </row>
    <row r="190" spans="1:25" x14ac:dyDescent="0.3">
      <c r="A190">
        <v>9450</v>
      </c>
      <c r="B190" t="s">
        <v>1376</v>
      </c>
      <c r="C190">
        <f>-549.432325818053 -183.230016405264 -97.3299272304612</f>
        <v>-829.99226945377814</v>
      </c>
      <c r="D190">
        <f>-576.331084272587 -197.685385201402 -209.06050609392</f>
        <v>-983.07697556790902</v>
      </c>
      <c r="E190">
        <f>-586.646537417186 -204.018136427564 -306.938682537466</f>
        <v>-1097.6033563822161</v>
      </c>
      <c r="F190">
        <f>-591.292836150203 -207.684049290253 -395.83864038276</f>
        <v>-1194.8155258232159</v>
      </c>
      <c r="G190">
        <f>-590.855075116925 -209.318608583135 -484.919408864747</f>
        <v>-1285.093092564807</v>
      </c>
      <c r="H190">
        <f>-584.861688468418 -209.594021106567 -609.357499996794</f>
        <v>-1403.813209571779</v>
      </c>
      <c r="I190">
        <f>-549.263134145288 -201.994374886201 -684.056889823474</f>
        <v>-1435.314398854963</v>
      </c>
      <c r="J190">
        <f>-593.403022198581 -182.402125375619 -554.942691820043</f>
        <v>-1330.7478393942429</v>
      </c>
      <c r="K190">
        <f>-628.051060114201 -50.6164287611084 -536.77646287307</f>
        <v>-1215.4439517483795</v>
      </c>
      <c r="L190">
        <f>-707.807555101684 -36.7129466366268 -253.868613107126</f>
        <v>-998.38911484543678</v>
      </c>
      <c r="M190">
        <f>-468.609884147799 -8.12713140597634 -258.133403676111</f>
        <v>-734.87041922988635</v>
      </c>
      <c r="N190">
        <f>-581.595125048656 -236.543356793275 -554.254119088156</f>
        <v>-1372.3926009300872</v>
      </c>
      <c r="O190">
        <f>-563.556354133193 -369.69595213095 -525.237383499385</f>
        <v>-1458.4896897635281</v>
      </c>
      <c r="P190">
        <f>-603.105486928723 -427.42624614682 -239.415415077394</f>
        <v>-1269.9471481529372</v>
      </c>
      <c r="Q190">
        <f>-435.619691034286 -267.989516268014 -307.086196091083</f>
        <v>-1010.695403393383</v>
      </c>
      <c r="R190">
        <f>-582.704588571993 -93.0926369042938 -102.028250635281</f>
        <v>-777.82547611156781</v>
      </c>
      <c r="S190" t="s">
        <v>1377</v>
      </c>
      <c r="T190" t="s">
        <v>1378</v>
      </c>
      <c r="U190" t="s">
        <v>1379</v>
      </c>
      <c r="V190">
        <f>-516.432840744855 -273.500306173163 -94.7160061669305</f>
        <v>-884.64915308494835</v>
      </c>
      <c r="W190" t="s">
        <v>1380</v>
      </c>
      <c r="X190" t="s">
        <v>1381</v>
      </c>
      <c r="Y190" t="s">
        <v>1382</v>
      </c>
    </row>
    <row r="191" spans="1:25" x14ac:dyDescent="0.3">
      <c r="A191">
        <v>9500</v>
      </c>
      <c r="B191" t="s">
        <v>1383</v>
      </c>
      <c r="C191">
        <f>-549.343621728379 -183.055578738117 -97.3127878572972</f>
        <v>-829.71198832379321</v>
      </c>
      <c r="D191">
        <f>-576.387257775878 -197.577162080733 -208.999850275826</f>
        <v>-982.96427013243692</v>
      </c>
      <c r="E191">
        <f>-586.817418089809 -204.015802532522 -306.858971098596</f>
        <v>-1097.692191720927</v>
      </c>
      <c r="F191">
        <f>-591.564127391089 -207.79628695118 -395.748835789246</f>
        <v>-1195.109250131515</v>
      </c>
      <c r="G191">
        <f>-591.223446294454 -209.564507206156 -484.827469801397</f>
        <v>-1285.615423302007</v>
      </c>
      <c r="H191">
        <f>-585.362874378179 -210.046300253108 -609.271154498276</f>
        <v>-1404.680329129563</v>
      </c>
      <c r="I191">
        <f>-549.774721630364 -202.44242444682 -683.975171368007</f>
        <v>-1436.1923174451908</v>
      </c>
      <c r="J191">
        <f>-593.830698284121 -182.760913916046 -554.891864719937</f>
        <v>-1331.4834769201038</v>
      </c>
      <c r="K191">
        <f>-628.55358799531 -50.9796842453604 -536.790110855097</f>
        <v>-1216.3233830957674</v>
      </c>
      <c r="L191">
        <f>-708.058507255558 -37.0754467221279 -253.811530275316</f>
        <v>-998.94548425300195</v>
      </c>
      <c r="M191">
        <f>-468.87108163985 -8.40994533277853 -258.120793748542</f>
        <v>-735.40182072117045</v>
      </c>
      <c r="N191">
        <f>-582.053186934878 -236.907655754321 -554.12756520435</f>
        <v>-1373.0884078935492</v>
      </c>
      <c r="O191">
        <f>-564.034399116833 -370.017560190554 -524.92191492051</f>
        <v>-1458.9738742278969</v>
      </c>
      <c r="P191">
        <f>-603.440354989876 -427.412160653731 -239.01258938175</f>
        <v>-1269.865105025357</v>
      </c>
      <c r="Q191">
        <f>-435.919344536235 -268.110985293479 -306.91477988928</f>
        <v>-1010.945109718994</v>
      </c>
      <c r="R191">
        <f>-582.570350887609 -92.8725530148563 -102.010273390216</f>
        <v>-777.45317729268129</v>
      </c>
      <c r="S191" t="s">
        <v>1384</v>
      </c>
      <c r="T191" t="s">
        <v>1385</v>
      </c>
      <c r="U191" t="s">
        <v>1386</v>
      </c>
      <c r="V191">
        <f>-516.405740396839 -273.428882487804 -94.6714737121169</f>
        <v>-884.5060965967599</v>
      </c>
      <c r="W191" t="s">
        <v>1387</v>
      </c>
      <c r="X191" t="s">
        <v>1388</v>
      </c>
      <c r="Y191" t="s">
        <v>1389</v>
      </c>
    </row>
    <row r="192" spans="1:25" x14ac:dyDescent="0.3">
      <c r="A192">
        <v>9550</v>
      </c>
      <c r="B192" t="s">
        <v>1390</v>
      </c>
      <c r="C192">
        <f>-549.327214674352 -182.91287958922 -97.3210600115356</f>
        <v>-829.56115427510758</v>
      </c>
      <c r="D192">
        <f>-576.423372016743 -197.463822364579 -208.9914585534</f>
        <v>-982.87865293472191</v>
      </c>
      <c r="E192">
        <f>-586.897566471772 -203.959292423179 -306.842155225842</f>
        <v>-1097.699014120793</v>
      </c>
      <c r="F192">
        <f>-591.684265462759 -207.803987049325 -395.727222347344</f>
        <v>-1195.215474859428</v>
      </c>
      <c r="G192">
        <f>-591.383416883765 -209.649536472741 -484.804409454312</f>
        <v>-1285.8373628108179</v>
      </c>
      <c r="H192">
        <f>-585.579197058823 -210.253001202042 -609.250241302367</f>
        <v>-1405.0824395632321</v>
      </c>
      <c r="I192">
        <f>-549.987752977589 -202.651012570332 -683.952860935445</f>
        <v>-1436.5916264833659</v>
      </c>
      <c r="J192">
        <f>-594.012173251588 -182.912211852681 -554.893192865903</f>
        <v>-1331.8175779701719</v>
      </c>
      <c r="K192">
        <f>-628.739392319748 -51.1304526347274 -536.858378106274</f>
        <v>-1216.7282230607493</v>
      </c>
      <c r="L192">
        <f>-708.238209760857 -37.2061912138042 -253.879155573963</f>
        <v>-999.3235565486242</v>
      </c>
      <c r="M192">
        <f>-469.038315793107 -8.63103565424285 -258.091347877284</f>
        <v>-735.76069932463383</v>
      </c>
      <c r="N192">
        <f>-582.254649437313 -237.06276260331 -554.082284017727</f>
        <v>-1373.3996960583499</v>
      </c>
      <c r="O192">
        <f>-564.286989287666 -370.156231857313 -524.744514585377</f>
        <v>-1459.1877357303561</v>
      </c>
      <c r="P192">
        <f>-603.761021976161 -427.201593791182 -238.774502863081</f>
        <v>-1269.737118630424</v>
      </c>
      <c r="Q192">
        <f>-436.076752796601 -268.165823461286 -306.895722817795</f>
        <v>-1011.138299075682</v>
      </c>
      <c r="R192">
        <f>-582.568060292643 -92.6753944104705 -102.022191922508</f>
        <v>-777.26564662562157</v>
      </c>
      <c r="S192" t="s">
        <v>1391</v>
      </c>
      <c r="T192" t="s">
        <v>1392</v>
      </c>
      <c r="U192" t="s">
        <v>1393</v>
      </c>
      <c r="V192">
        <f>-516.377364451728 -273.293854168348 -94.6652539975605</f>
        <v>-884.33647261763645</v>
      </c>
      <c r="W192" t="s">
        <v>1394</v>
      </c>
      <c r="X192" t="s">
        <v>1395</v>
      </c>
      <c r="Y192" t="s">
        <v>1396</v>
      </c>
    </row>
    <row r="193" spans="1:25" x14ac:dyDescent="0.3">
      <c r="A193">
        <v>9600</v>
      </c>
      <c r="B193" t="s">
        <v>1397</v>
      </c>
      <c r="C193">
        <f>-549.265818499591 -182.782069735104 -97.3471084097388</f>
        <v>-829.39499664443372</v>
      </c>
      <c r="D193">
        <f>-576.420634058043 -197.377983665861 -208.997437352441</f>
        <v>-982.79605507634506</v>
      </c>
      <c r="E193">
        <f>-586.940384850326 -203.963073755412 -306.837145662414</f>
        <v>-1097.7406042681521</v>
      </c>
      <c r="F193">
        <f>-591.766176444641 -207.910925261571 -395.715640518861</f>
        <v>-1195.3927422250731</v>
      </c>
      <c r="G193">
        <f>-591.503035248192 -209.882220174413 -484.790273028904</f>
        <v>-1286.1755284515089</v>
      </c>
      <c r="H193">
        <f>-585.749283301255 -210.686468631704 -609.237259424488</f>
        <v>-1405.673011357447</v>
      </c>
      <c r="I193">
        <f>-550.112811318261 -203.118326626422 -683.921932455943</f>
        <v>-1437.1530704006259</v>
      </c>
      <c r="J193">
        <f>-594.133445264192 -183.252277943567 -554.91987370944</f>
        <v>-1332.3055969171992</v>
      </c>
      <c r="K193">
        <f>-628.797111920075 -51.4347355255225 -537.031960399624</f>
        <v>-1217.2638078452214</v>
      </c>
      <c r="L193">
        <f>-708.379300044325 -37.2581296531562 -254.088729524411</f>
        <v>-999.7261592218922</v>
      </c>
      <c r="M193">
        <f>-469.126065290194 -9.08760320786337 -257.980857117583</f>
        <v>-736.19452561564037</v>
      </c>
      <c r="N193">
        <f>-582.429088059306 -237.412918427052 -554.028664833739</f>
        <v>-1373.8706713200968</v>
      </c>
      <c r="O193">
        <f>-564.640417356762 -370.478944273451 -524.45536607931</f>
        <v>-1459.5747277095229</v>
      </c>
      <c r="P193">
        <f>-604.356405802289 -426.77401307973 -238.370224808191</f>
        <v>-1269.5006436902102</v>
      </c>
      <c r="Q193">
        <f>-436.092637875039 -268.494685035741 -306.823238770938</f>
        <v>-1011.4105616817179</v>
      </c>
      <c r="R193">
        <f>-582.498242953457 -92.6099444841327 -102.042296112976</f>
        <v>-777.1504835505657</v>
      </c>
      <c r="S193" t="s">
        <v>1398</v>
      </c>
      <c r="T193" t="s">
        <v>1399</v>
      </c>
      <c r="U193" t="s">
        <v>1400</v>
      </c>
      <c r="V193">
        <f>-516.301941378042 -273.157956769565 -94.6608216236317</f>
        <v>-884.12071977123867</v>
      </c>
      <c r="W193" t="s">
        <v>1401</v>
      </c>
      <c r="X193" t="s">
        <v>1402</v>
      </c>
      <c r="Y193" t="s">
        <v>1403</v>
      </c>
    </row>
    <row r="194" spans="1:25" x14ac:dyDescent="0.3">
      <c r="A194">
        <v>9650</v>
      </c>
      <c r="B194" t="s">
        <v>1404</v>
      </c>
      <c r="C194">
        <f>-549.257897683033 -182.748454215689 -97.3366596921938</f>
        <v>-829.34301159091581</v>
      </c>
      <c r="D194">
        <f>-576.410413386373 -197.329329883211 -208.989574285007</f>
        <v>-982.72931755459103</v>
      </c>
      <c r="E194">
        <f>-586.920036596496 -203.93200420106 -306.829207207997</f>
        <v>-1097.6812480055528</v>
      </c>
      <c r="F194">
        <f>-591.734280496955 -207.90787274024 -395.706932887265</f>
        <v>-1195.34908612446</v>
      </c>
      <c r="G194">
        <f>-591.456846564136 -209.920099173474 -484.780699048746</f>
        <v>-1286.1576447863558</v>
      </c>
      <c r="H194">
        <f>-585.681136007424 -210.795239810798 -609.226111192261</f>
        <v>-1405.7024870104829</v>
      </c>
      <c r="I194">
        <f>-550.007415458461 -203.260261499939 -683.896370080616</f>
        <v>-1437.1640470390159</v>
      </c>
      <c r="J194">
        <f>-594.061918098078 -183.327241248525 -554.925308091484</f>
        <v>-1332.3144674380869</v>
      </c>
      <c r="K194">
        <f>-628.665626441335 -51.4896541870635 -537.105957033583</f>
        <v>-1217.2612376619813</v>
      </c>
      <c r="L194">
        <f>-708.359168158192 -37.0765030672037 -254.205907010923</f>
        <v>-999.64157823631876</v>
      </c>
      <c r="M194">
        <f>-469.078961495564 -9.11413046193911 -257.935060068277</f>
        <v>-736.12815202578008</v>
      </c>
      <c r="N194">
        <f>-582.383450710237 -237.493106084661 -554.002277371352</f>
        <v>-1373.8788341662498</v>
      </c>
      <c r="O194">
        <f>-564.675602189411 -370.556456175071 -524.340448637027</f>
        <v>-1459.5725070015092</v>
      </c>
      <c r="P194">
        <f>-604.517868386568 -426.590652663743 -238.221586478668</f>
        <v>-1269.3301075289792</v>
      </c>
      <c r="Q194">
        <f>-436.077106969612 -268.535652217797 -306.757658802252</f>
        <v>-1011.3704179896611</v>
      </c>
      <c r="R194">
        <f>-582.458649420857 -92.5544960080078 -102.054624449809</f>
        <v>-777.06776987867386</v>
      </c>
      <c r="S194" t="s">
        <v>1405</v>
      </c>
      <c r="T194" t="s">
        <v>1406</v>
      </c>
      <c r="U194" t="s">
        <v>1407</v>
      </c>
      <c r="V194">
        <f>-516.336022923234 -273.148672621246 -94.6619344561874</f>
        <v>-884.14663000066741</v>
      </c>
      <c r="W194" t="s">
        <v>1408</v>
      </c>
      <c r="X194" t="s">
        <v>1409</v>
      </c>
      <c r="Y194" t="s">
        <v>1410</v>
      </c>
    </row>
    <row r="195" spans="1:25" x14ac:dyDescent="0.3">
      <c r="A195">
        <v>9700</v>
      </c>
      <c r="B195" t="s">
        <v>1411</v>
      </c>
      <c r="C195">
        <f>-549.321658565778 -182.589619837753 -97.3236474874352</f>
        <v>-829.23492589096622</v>
      </c>
      <c r="D195">
        <f>-576.415794171767 -197.075355138076 -209.003039401672</f>
        <v>-982.49418871151499</v>
      </c>
      <c r="E195">
        <f>-586.859307894892 -203.65644040378 -306.851374086086</f>
        <v>-1097.3671223847582</v>
      </c>
      <c r="F195">
        <f>-591.60901237542 -207.636429260772 -395.732353977091</f>
        <v>-1194.977795613283</v>
      </c>
      <c r="G195">
        <f>-591.263616434338 -209.676075214989 -484.805137543143</f>
        <v>-1285.74482919247</v>
      </c>
      <c r="H195">
        <f>-585.389759859513 -210.613958546478 -609.245605319367</f>
        <v>-1405.249323725358</v>
      </c>
      <c r="I195">
        <f>-549.621852682328 -203.159575125446 -683.878822939035</f>
        <v>-1436.660250746809</v>
      </c>
      <c r="J195">
        <f>-593.795385776629 -183.114680772023 -554.964491056032</f>
        <v>-1331.874557604684</v>
      </c>
      <c r="K195">
        <f>-628.28753401091 -51.2242364288295 -537.277030409658</f>
        <v>-1216.7888008493974</v>
      </c>
      <c r="L195">
        <f>-708.227448452771 -36.3561770165975 -254.470013067112</f>
        <v>-999.05363853648055</v>
      </c>
      <c r="M195">
        <f>-468.905204095004 -8.72942795494578 -258.002205649998</f>
        <v>-735.63683769994782</v>
      </c>
      <c r="N195">
        <f>-582.15358411752 -237.287672184501 -554.006649712581</f>
        <v>-1373.4479060146018</v>
      </c>
      <c r="O195">
        <f>-564.573066631105 -370.333795425943 -524.225575428711</f>
        <v>-1459.1324374857591</v>
      </c>
      <c r="P195">
        <f>-604.581209635449 -426.280370844029 -238.112708458657</f>
        <v>-1268.974288938135</v>
      </c>
      <c r="Q195">
        <f>-436.170022855073 -268.177076743304 -306.610194898402</f>
        <v>-1010.957294496779</v>
      </c>
      <c r="R195">
        <f>-582.41913456348 -92.3817235839031 -102.023568605332</f>
        <v>-776.82442675271511</v>
      </c>
      <c r="S195" t="s">
        <v>1412</v>
      </c>
      <c r="T195" t="s">
        <v>1413</v>
      </c>
      <c r="U195" t="s">
        <v>1414</v>
      </c>
      <c r="V195">
        <f>-516.520632574666 -272.94598041979 -94.6778427162811</f>
        <v>-884.14445571073713</v>
      </c>
      <c r="W195" t="s">
        <v>1415</v>
      </c>
      <c r="X195" t="s">
        <v>1416</v>
      </c>
      <c r="Y195" t="s">
        <v>1417</v>
      </c>
    </row>
    <row r="196" spans="1:25" x14ac:dyDescent="0.3">
      <c r="A196">
        <v>9750</v>
      </c>
      <c r="B196" t="s">
        <v>1418</v>
      </c>
      <c r="C196">
        <f>-549.368650541223 -182.426585052434 -97.3328276550627</f>
        <v>-829.12806324871974</v>
      </c>
      <c r="D196">
        <f>-576.452044576686 -196.876662512557 -209.019574450916</f>
        <v>-982.34828154015906</v>
      </c>
      <c r="E196">
        <f>-586.869054374028 -203.449576817185 -306.871111799105</f>
        <v>-1097.1897429903179</v>
      </c>
      <c r="F196">
        <f>-591.588639603637 -207.431041591853 -395.753719006805</f>
        <v>-1194.7734002022949</v>
      </c>
      <c r="G196">
        <f>-591.207338855693 -209.481154760457 -484.826035474126</f>
        <v>-1285.514529090276</v>
      </c>
      <c r="H196">
        <f>-585.277278840243 -210.443139664949 -609.263724605936</f>
        <v>-1404.9841431111279</v>
      </c>
      <c r="I196">
        <f>-549.445053465329 -203.023048941966 -683.869517748968</f>
        <v>-1436.3376201562628</v>
      </c>
      <c r="J196">
        <f>-593.699257657134 -182.931659940856 -554.991256032856</f>
        <v>-1331.622173630846</v>
      </c>
      <c r="K196">
        <f>-628.146672415304 -51.0213441145802 -537.345430287301</f>
        <v>-1216.5134468171852</v>
      </c>
      <c r="L196">
        <f>-708.213474305782 -36.0228093484291 -254.581393953521</f>
        <v>-998.81767760773209</v>
      </c>
      <c r="M196">
        <f>-468.875880419825 -8.52002153447711 -258.036444031276</f>
        <v>-735.43234598557819</v>
      </c>
      <c r="N196">
        <f>-582.07450013909 -237.108043820172 -554.018441111658</f>
        <v>-1373.2009850709201</v>
      </c>
      <c r="O196">
        <f>-564.538434430412 -370.150838878134 -524.198996110758</f>
        <v>-1458.8882694193039</v>
      </c>
      <c r="P196">
        <f>-604.603484491248 -426.12755451578 -238.100021515399</f>
        <v>-1268.8310605224269</v>
      </c>
      <c r="Q196">
        <f>-436.296466907775 -267.884931727117 -306.531780244643</f>
        <v>-1010.713178879535</v>
      </c>
      <c r="R196">
        <f>-582.445440444242 -92.2410703106084 -102.021440185362</f>
        <v>-776.70795094021241</v>
      </c>
      <c r="S196" t="s">
        <v>1419</v>
      </c>
      <c r="T196" t="s">
        <v>1420</v>
      </c>
      <c r="U196" t="s">
        <v>1421</v>
      </c>
      <c r="V196">
        <f>-516.594735334941 -272.729707185931 -94.6976384512228</f>
        <v>-884.02208097209484</v>
      </c>
      <c r="W196" t="s">
        <v>1422</v>
      </c>
      <c r="X196" t="s">
        <v>1423</v>
      </c>
      <c r="Y196" t="s">
        <v>1424</v>
      </c>
    </row>
    <row r="197" spans="1:25" x14ac:dyDescent="0.3">
      <c r="A197">
        <v>9800</v>
      </c>
      <c r="B197" t="s">
        <v>1425</v>
      </c>
      <c r="C197">
        <f>-549.600584548998 -182.288432582124 -97.338175858018</f>
        <v>-829.22719298913989</v>
      </c>
      <c r="D197">
        <f>-576.704785503338 -196.705467756609 -209.024085884948</f>
        <v>-982.43433914489503</v>
      </c>
      <c r="E197">
        <f>-587.116445337263 -203.265092393391 -306.877112053512</f>
        <v>-1097.258649784166</v>
      </c>
      <c r="F197">
        <f>-591.822237942911 -207.239748152332 -395.760733976267</f>
        <v>-1194.82272007151</v>
      </c>
      <c r="G197">
        <f>-591.418235325031 -209.288708079617 -484.833138769424</f>
        <v>-1285.540082174072</v>
      </c>
      <c r="H197">
        <f>-585.448083872391 -210.254293798419 -609.268719819183</f>
        <v>-1404.9710974899931</v>
      </c>
      <c r="I197">
        <f>-549.476951603338 -202.851986528077 -683.809411500752</f>
        <v>-1436.1383496321669</v>
      </c>
      <c r="J197">
        <f>-593.874755661774 -182.738498808535 -554.999247136141</f>
        <v>-1331.61250160645</v>
      </c>
      <c r="K197">
        <f>-628.259393641939 -50.8040631711306 -537.419737987327</f>
        <v>-1216.4831948003966</v>
      </c>
      <c r="L197">
        <f>-708.553733462769 -35.6804539805235 -254.726800937641</f>
        <v>-998.96098838093337</v>
      </c>
      <c r="M197">
        <f>-469.205080667624 -8.25041719134288 -257.995967878049</f>
        <v>-735.45146573701584</v>
      </c>
      <c r="N197">
        <f>-582.275823270997 -236.920274269685 -554.02234367158</f>
        <v>-1373.218441212262</v>
      </c>
      <c r="O197">
        <f>-564.818834479179 -369.962489332284 -524.152376852955</f>
        <v>-1458.933700664418</v>
      </c>
      <c r="P197">
        <f>-605.038228911805 -425.889670335626 -238.065468426419</f>
        <v>-1268.9933676738501</v>
      </c>
      <c r="Q197">
        <f>-436.783673998696 -267.563447478522 -306.432556646625</f>
        <v>-1010.779678123843</v>
      </c>
      <c r="R197">
        <f>-582.597080313515 -92.1175422465865 -102.011093148473</f>
        <v>-776.72571570857451</v>
      </c>
      <c r="S197" t="s">
        <v>1426</v>
      </c>
      <c r="T197" t="s">
        <v>1427</v>
      </c>
      <c r="U197" t="s">
        <v>1428</v>
      </c>
      <c r="V197">
        <f>-516.91179947682 -272.655582313466 -94.7090176115157</f>
        <v>-884.27639940180165</v>
      </c>
      <c r="W197" t="s">
        <v>1429</v>
      </c>
      <c r="X197" t="s">
        <v>1430</v>
      </c>
      <c r="Y197" t="s">
        <v>1431</v>
      </c>
    </row>
    <row r="198" spans="1:25" x14ac:dyDescent="0.3">
      <c r="A198">
        <v>9850</v>
      </c>
      <c r="B198" t="s">
        <v>1432</v>
      </c>
      <c r="C198">
        <f>-549.703059774872 -182.209650612755 -97.3337081945989</f>
        <v>-829.24641858222594</v>
      </c>
      <c r="D198">
        <f>-576.834983739961 -196.624945057938 -209.013071672527</f>
        <v>-982.47300047042597</v>
      </c>
      <c r="E198">
        <f>-587.264724445751 -203.184297106545 -306.864250893486</f>
        <v>-1097.3132724457819</v>
      </c>
      <c r="F198">
        <f>-591.984869094533 -207.159085557309 -395.747123718651</f>
        <v>-1194.891078370493</v>
      </c>
      <c r="G198">
        <f>-591.593139696381 -209.208038015475 -484.819466380894</f>
        <v>-1285.6206440927499</v>
      </c>
      <c r="H198">
        <f>-585.637650654322 -210.173891932624 -609.255872535106</f>
        <v>-1405.0674151220519</v>
      </c>
      <c r="I198">
        <f>-549.607659481228 -202.765766314573 -683.767606735898</f>
        <v>-1436.141032531699</v>
      </c>
      <c r="J198">
        <f>-594.05310641096 -182.656855901231 -554.985111528395</f>
        <v>-1331.695073840586</v>
      </c>
      <c r="K198">
        <f>-628.400282620082 -50.7121884114872 -537.414247676059</f>
        <v>-1216.5267187076281</v>
      </c>
      <c r="L198">
        <f>-708.801494713288 -35.5719677476491 -254.752681216045</f>
        <v>-999.12614367698211</v>
      </c>
      <c r="M198">
        <f>-469.443070994202 -8.2158270188977 -257.907978944639</f>
        <v>-735.56687695773871</v>
      </c>
      <c r="N198">
        <f>-582.463533872267 -236.840806691313 -554.009904982517</f>
        <v>-1373.314245546097</v>
      </c>
      <c r="O198">
        <f>-565.004483680619 -369.883530441896 -524.135354892078</f>
        <v>-1459.0233690145931</v>
      </c>
      <c r="P198">
        <f>-605.308376107672 -425.848537840439 -238.067662709371</f>
        <v>-1269.224576657482</v>
      </c>
      <c r="Q198">
        <f>-437.114223502674 -267.38622186155 -306.268085744183</f>
        <v>-1010.7685311084069</v>
      </c>
      <c r="R198">
        <f>-582.670708220368 -92.0346852341313 -102.011826031525</f>
        <v>-776.71721948602431</v>
      </c>
      <c r="S198" t="s">
        <v>1433</v>
      </c>
      <c r="T198" t="s">
        <v>1434</v>
      </c>
      <c r="U198" t="s">
        <v>1435</v>
      </c>
      <c r="V198">
        <f>-517.019220925177 -272.554964980969 -94.7095530482549</f>
        <v>-884.28373895440086</v>
      </c>
      <c r="W198" t="s">
        <v>1436</v>
      </c>
      <c r="X198" t="s">
        <v>1437</v>
      </c>
      <c r="Y198" t="s">
        <v>1438</v>
      </c>
    </row>
    <row r="199" spans="1:25" x14ac:dyDescent="0.3">
      <c r="A199">
        <v>9900</v>
      </c>
      <c r="B199" t="s">
        <v>1439</v>
      </c>
      <c r="C199">
        <f>-549.959883342802 -182.09438711266 -97.338483192452</f>
        <v>-829.39275364791399</v>
      </c>
      <c r="D199">
        <f>-577.143213530003 -196.542588189694 -209.001135162165</f>
        <v>-982.68693688186204</v>
      </c>
      <c r="E199">
        <f>-587.625393739823 -203.105223197638 -306.846492075464</f>
        <v>-1097.5771090129251</v>
      </c>
      <c r="F199">
        <f>-592.395655650025 -207.072580293123 -395.727062008076</f>
        <v>-1195.1952979512239</v>
      </c>
      <c r="G199">
        <f>-592.056188111376 -209.104027870026 -484.800082923846</f>
        <v>-1285.960298905248</v>
      </c>
      <c r="H199">
        <f>-586.175844621548 -210.034944137434 -609.240214363418</f>
        <v>-1405.4510031223999</v>
      </c>
      <c r="I199">
        <f>-550.086201459774 -202.599525018457 -683.720244160362</f>
        <v>-1436.4059706385929</v>
      </c>
      <c r="J199">
        <f>-594.553773225582 -182.532116788011 -554.956489131068</f>
        <v>-1332.042379144661</v>
      </c>
      <c r="K199">
        <f>-628.810294409022 -50.566600496365 -537.380871455398</f>
        <v>-1216.7577663607851</v>
      </c>
      <c r="L199">
        <f>-709.486575214209 -35.4399383893717 -254.796844128074</f>
        <v>-999.72335773165469</v>
      </c>
      <c r="M199">
        <f>-470.097915845598 -8.31636678039604 -257.66723726121</f>
        <v>-736.08151988720397</v>
      </c>
      <c r="N199">
        <f>-582.973407243276 -236.718476903417 -554.003994307375</f>
        <v>-1373.695878454068</v>
      </c>
      <c r="O199">
        <f>-565.502143206196 -369.773498772292 -524.187484644113</f>
        <v>-1459.4631266226011</v>
      </c>
      <c r="P199">
        <f>-605.887649226236 -425.972958921919 -238.177317178098</f>
        <v>-1270.0379253262531</v>
      </c>
      <c r="Q199">
        <f>-437.841102037479 -267.188900643773 -305.992389592361</f>
        <v>-1011.0223922736129</v>
      </c>
      <c r="R199">
        <f>-582.932708082231 -91.912280789368 -102.016838845369</f>
        <v>-776.86182771696792</v>
      </c>
      <c r="S199" t="s">
        <v>1440</v>
      </c>
      <c r="T199" t="s">
        <v>1441</v>
      </c>
      <c r="U199" t="s">
        <v>1442</v>
      </c>
      <c r="V199">
        <f>-517.275724068512 -272.46469093934 -94.6982732781082</f>
        <v>-884.43868828596021</v>
      </c>
      <c r="W199" t="s">
        <v>1443</v>
      </c>
      <c r="X199" t="s">
        <v>1444</v>
      </c>
      <c r="Y199" t="s">
        <v>1445</v>
      </c>
    </row>
    <row r="200" spans="1:25" x14ac:dyDescent="0.3">
      <c r="A200">
        <v>9950</v>
      </c>
      <c r="B200" t="s">
        <v>1446</v>
      </c>
      <c r="C200">
        <f>-550.095796482635 -182.079418568546 -97.3441794111573</f>
        <v>-829.51939446233825</v>
      </c>
      <c r="D200">
        <f>-577.284916913173 -196.52834259385 -209.005206323321</f>
        <v>-982.81846583034394</v>
      </c>
      <c r="E200">
        <f>-587.788562780457 -203.086559779418 -306.848699210527</f>
        <v>-1097.7238217704021</v>
      </c>
      <c r="F200">
        <f>-592.584588178212 -207.048102632538 -395.728022116855</f>
        <v>-1195.3607129276049</v>
      </c>
      <c r="G200">
        <f>-592.277206399691 -209.071425704776 -484.801342025286</f>
        <v>-1286.149974129753</v>
      </c>
      <c r="H200">
        <f>-586.448260255886 -209.989026681753 -609.244034548016</f>
        <v>-1405.681321485655</v>
      </c>
      <c r="I200">
        <f>-550.35531094867 -202.534206440717 -683.720621515834</f>
        <v>-1436.610138905221</v>
      </c>
      <c r="J200">
        <f>-594.801977661843 -182.491641426476 -554.953813773053</f>
        <v>-1332.2474328613721</v>
      </c>
      <c r="K200">
        <f>-629.003658896546 -50.5052160687412 -537.372681002276</f>
        <v>-1216.8815559675631</v>
      </c>
      <c r="L200">
        <f>-709.779868641442 -35.4370905463738 -254.813911649088</f>
        <v>-1000.0308708369039</v>
      </c>
      <c r="M200">
        <f>-470.379315719091 -8.40208138502749 -257.52543339731</f>
        <v>-736.30683050142852</v>
      </c>
      <c r="N200">
        <f>-583.224625420424 -236.678857996456 -554.012066856981</f>
        <v>-1373.9155502738611</v>
      </c>
      <c r="O200">
        <f>-565.724577317649 -369.736257034995 -524.243055969945</f>
        <v>-1459.7038903225889</v>
      </c>
      <c r="P200">
        <f>-606.070027330421 -426.078320078424 -238.255365321782</f>
        <v>-1270.4037127306269</v>
      </c>
      <c r="Q200">
        <f>-438.156889740553 -267.060364431698 -305.852659569092</f>
        <v>-1011.069913741343</v>
      </c>
      <c r="R200">
        <f>-583.05534918237 -91.9153531428808 -102.018709697421</f>
        <v>-776.98941202267179</v>
      </c>
      <c r="S200" t="s">
        <v>1447</v>
      </c>
      <c r="T200" t="s">
        <v>1448</v>
      </c>
      <c r="U200" t="s">
        <v>1449</v>
      </c>
      <c r="V200">
        <f>-517.425684422642 -272.42821972152 -94.7008879604764</f>
        <v>-884.55479210463841</v>
      </c>
      <c r="W200" t="s">
        <v>1450</v>
      </c>
      <c r="X200" t="s">
        <v>1451</v>
      </c>
      <c r="Y200" t="s">
        <v>1452</v>
      </c>
    </row>
    <row r="201" spans="1:25" x14ac:dyDescent="0.3">
      <c r="A201">
        <v>10000</v>
      </c>
      <c r="B201" t="s">
        <v>1453</v>
      </c>
      <c r="C201">
        <f>-550.352814776594 -182.054981860724 -97.3322518550463</f>
        <v>-829.74004849236417</v>
      </c>
      <c r="D201">
        <f>-577.548524672587 -196.531818326357 -208.988090770125</f>
        <v>-983.06843376906897</v>
      </c>
      <c r="E201">
        <f>-588.098808890123 -203.125028609134 -306.824090311499</f>
        <v>-1098.0479278107559</v>
      </c>
      <c r="F201">
        <f>-592.953103963384 -207.122804412961 -395.698659887223</f>
        <v>-1195.7745682635682</v>
      </c>
      <c r="G201">
        <f>-592.720450961643 -209.187202603351 -484.771298200449</f>
        <v>-1286.6789517654429</v>
      </c>
      <c r="H201">
        <f>-587.012357656359 -210.16669013848 -609.219131161051</f>
        <v>-1406.39817895589</v>
      </c>
      <c r="I201">
        <f>-550.910558092506 -202.647408770781 -683.684894176592</f>
        <v>-1437.242861039879</v>
      </c>
      <c r="J201">
        <f>-595.311688274222 -182.642033693949 -554.934531074195</f>
        <v>-1332.8882530423659</v>
      </c>
      <c r="K201">
        <f>-629.390239569373 -50.6231950696836 -537.397834381344</f>
        <v>-1217.4112690204006</v>
      </c>
      <c r="L201">
        <f>-710.157335202249 -35.5062833060811 -254.839230484881</f>
        <v>-1000.502848993211</v>
      </c>
      <c r="M201">
        <f>-470.720324492433 -8.76821710271793 -257.25887321382</f>
        <v>-736.74741480897092</v>
      </c>
      <c r="N201">
        <f>-583.736776968823 -236.829302316282 -553.977058406709</f>
        <v>-1374.5431376918141</v>
      </c>
      <c r="O201">
        <f>-566.135516210007 -369.885498517039 -524.266717207438</f>
        <v>-1460.2877319344841</v>
      </c>
      <c r="P201">
        <f>-606.294285673263 -426.393034155925 -238.285297705283</f>
        <v>-1270.9726175344711</v>
      </c>
      <c r="Q201">
        <f>-438.527990766898 -267.136191407447 -305.683893015027</f>
        <v>-1011.3480751893719</v>
      </c>
      <c r="R201">
        <f>-583.312023575048 -91.9281362350273 -102.019875283326</f>
        <v>-777.26003509340126</v>
      </c>
      <c r="S201" t="s">
        <v>1454</v>
      </c>
      <c r="T201" t="s">
        <v>1455</v>
      </c>
      <c r="U201" t="s">
        <v>1456</v>
      </c>
      <c r="V201">
        <f>-517.677018415276 -272.349189643625 -94.6956844718328</f>
        <v>-884.72189253073384</v>
      </c>
      <c r="W201" t="s">
        <v>1457</v>
      </c>
      <c r="X201" t="s">
        <v>1458</v>
      </c>
      <c r="Y201" t="s">
        <v>1459</v>
      </c>
    </row>
    <row r="202" spans="1:25" x14ac:dyDescent="0.3">
      <c r="A202">
        <v>10050</v>
      </c>
      <c r="B202" t="s">
        <v>1460</v>
      </c>
      <c r="C202">
        <f>-550.449762850046 -182.140736310509 -97.328175876961</f>
        <v>-829.9186750375161</v>
      </c>
      <c r="D202">
        <f>-577.671760579689 -196.65145186534 -208.973288851444</f>
        <v>-983.29650129647302</v>
      </c>
      <c r="E202">
        <f>-588.254661027198 -203.281349292405 -306.80322110848</f>
        <v>-1098.3392314280832</v>
      </c>
      <c r="F202">
        <f>-593.142721952209 -207.315402758196 -395.674381211095</f>
        <v>-1196.1325059215001</v>
      </c>
      <c r="G202">
        <f>-592.948073875293 -209.419529399543 -484.74618785277</f>
        <v>-1287.113791127606</v>
      </c>
      <c r="H202">
        <f>-587.297193612024 -210.457760950294 -609.196085728931</f>
        <v>-1406.951040291249</v>
      </c>
      <c r="I202">
        <f>-551.143910977126 -202.830840695739 -683.62595561092</f>
        <v>-1437.6007072837849</v>
      </c>
      <c r="J202">
        <f>-595.573024251233 -182.907860348962 -554.920620468182</f>
        <v>-1333.401505068377</v>
      </c>
      <c r="K202">
        <f>-629.538378863827 -50.8530834777748 -537.412581805991</f>
        <v>-1217.8040441475928</v>
      </c>
      <c r="L202">
        <f>-710.292356447032 -35.5292988177698 -254.861441409142</f>
        <v>-1000.6830966739439</v>
      </c>
      <c r="M202">
        <f>-470.829640903765 -9.00946554565076 -257.140789332544</f>
        <v>-736.97989578195973</v>
      </c>
      <c r="N202">
        <f>-583.994645417956 -237.094052592366 -553.942890987958</f>
        <v>-1375.0315889982799</v>
      </c>
      <c r="O202">
        <f>-566.336263242358 -370.143246323639 -524.226774923021</f>
        <v>-1460.7062844890179</v>
      </c>
      <c r="P202">
        <f>-606.324153514956 -426.606776158383 -238.212691765605</f>
        <v>-1271.1436214389441</v>
      </c>
      <c r="Q202">
        <f>-438.710875466235 -267.196708013673 -305.630207291675</f>
        <v>-1011.537790771583</v>
      </c>
      <c r="R202">
        <f>-583.377427757204 -92.071675718875 -102.024593363166</f>
        <v>-777.47369683924501</v>
      </c>
      <c r="S202" t="s">
        <v>1461</v>
      </c>
      <c r="T202" t="s">
        <v>1462</v>
      </c>
      <c r="U202" t="s">
        <v>1463</v>
      </c>
      <c r="V202">
        <f>-517.789536557783 -272.419485865545 -94.6863101977061</f>
        <v>-884.89533262103407</v>
      </c>
      <c r="W202" t="s">
        <v>1464</v>
      </c>
      <c r="X202" t="s">
        <v>1465</v>
      </c>
      <c r="Y202" t="s">
        <v>1466</v>
      </c>
    </row>
    <row r="203" spans="1:25" x14ac:dyDescent="0.3">
      <c r="A203">
        <v>10100</v>
      </c>
      <c r="B203" t="s">
        <v>1467</v>
      </c>
      <c r="C203">
        <f>-550.680175524358 -182.257714559413 -97.3445764786603</f>
        <v>-830.2824665624313</v>
      </c>
      <c r="D203">
        <f>-577.982101846635 -196.863581683822 -208.957632744613</f>
        <v>-983.80331627506996</v>
      </c>
      <c r="E203">
        <f>-588.696109309638 -203.597167497337 -306.7662795207</f>
        <v>-1099.059556327675</v>
      </c>
      <c r="F203">
        <f>-593.727290053961 -207.73443104034 -395.624665286401</f>
        <v>-1197.0863863807022</v>
      </c>
      <c r="G203">
        <f>-593.699914587254 -209.951529867162 -484.693855984782</f>
        <v>-1288.3453004391981</v>
      </c>
      <c r="H203">
        <f>-588.307775244194 -211.158090439059 -609.153940130164</f>
        <v>-1408.6198058134169</v>
      </c>
      <c r="I203">
        <f>-551.961738137871 -203.144212623426 -683.44909808795</f>
        <v>-1438.555048849247</v>
      </c>
      <c r="J203">
        <f>-596.452266827072 -183.530618435714 -554.898031254795</f>
        <v>-1334.880916517581</v>
      </c>
      <c r="K203">
        <f>-630.163939429919 -51.4051716926849 -537.480244194168</f>
        <v>-1219.0493553167719</v>
      </c>
      <c r="L203">
        <f>-710.428296120174 -35.6369291741855 -254.81411060643</f>
        <v>-1000.8793359007896</v>
      </c>
      <c r="M203">
        <f>-470.932063577912 -9.41265086092926 -256.991013613753</f>
        <v>-737.33572805259428</v>
      </c>
      <c r="N203">
        <f>-584.908976616134 -237.723483629699 -553.8723617681</f>
        <v>-1376.5048220139329</v>
      </c>
      <c r="O203">
        <f>-567.160043444482 -370.754147512189 -524.109645677655</f>
        <v>-1462.023836634326</v>
      </c>
      <c r="P203">
        <f>-606.644808419595 -427.066243804707 -237.995758264028</f>
        <v>-1271.7068104883299</v>
      </c>
      <c r="Q203">
        <f>-439.319293755303 -267.443744050628 -305.625153924249</f>
        <v>-1012.3881917301801</v>
      </c>
      <c r="R203">
        <f>-583.630145650018 -92.1008580087628 -102.075774405288</f>
        <v>-777.80677806406879</v>
      </c>
      <c r="S203" t="s">
        <v>1468</v>
      </c>
      <c r="T203" t="s">
        <v>1469</v>
      </c>
      <c r="U203" t="s">
        <v>1470</v>
      </c>
      <c r="V203">
        <f>-518.020066242022 -272.626766845458 -94.6625649720091</f>
        <v>-885.30939805948913</v>
      </c>
      <c r="W203" t="s">
        <v>1471</v>
      </c>
      <c r="X203" t="s">
        <v>1472</v>
      </c>
      <c r="Y203" t="s">
        <v>1473</v>
      </c>
    </row>
    <row r="204" spans="1:25" x14ac:dyDescent="0.3">
      <c r="A204">
        <v>10150</v>
      </c>
      <c r="B204" t="s">
        <v>1474</v>
      </c>
      <c r="C204">
        <f>-550.738650994323 -182.239162400172 -97.3432915527932</f>
        <v>-830.32110494728829</v>
      </c>
      <c r="D204">
        <f>-578.097066459596 -196.886442326655 -208.937296147744</f>
        <v>-983.92080493399499</v>
      </c>
      <c r="E204">
        <f>-588.900389644394 -203.671061265142 -306.732412592943</f>
        <v>-1099.3038635024791</v>
      </c>
      <c r="F204">
        <f>-594.02871468653 -207.860935642031 -395.582820658174</f>
        <v>-1197.4724709867351</v>
      </c>
      <c r="G204">
        <f>-594.114348929354 -210.137332920996 -484.650524708119</f>
        <v>-1288.9022065584691</v>
      </c>
      <c r="H204">
        <f>-588.897037002587 -211.434023249915 -609.117083604078</f>
        <v>-1409.4481438565799</v>
      </c>
      <c r="I204">
        <f>-552.505597842818 -203.210752491662 -683.36713495457</f>
        <v>-1439.08348528905</v>
      </c>
      <c r="J204">
        <f>-596.946930184579 -183.76337497181 -554.868955331981</f>
        <v>-1335.57926048837</v>
      </c>
      <c r="K204">
        <f>-630.537686557679 -51.6023128912905 -537.494383354798</f>
        <v>-1219.6343828037675</v>
      </c>
      <c r="L204">
        <f>-710.376329646865 -35.6109301471417 -254.72016020307</f>
        <v>-1000.7074199970767</v>
      </c>
      <c r="M204">
        <f>-470.877185717398 -9.42549855378911 -257.020719208292</f>
        <v>-737.32340347947911</v>
      </c>
      <c r="N204">
        <f>-585.438904914969 -237.963393175477 -553.821963451139</f>
        <v>-1377.2242615415851</v>
      </c>
      <c r="O204">
        <f>-567.706523636194 -370.986545550296 -524.010224267734</f>
        <v>-1462.703293454224</v>
      </c>
      <c r="P204">
        <f>-606.864187680981 -427.163450812201 -237.824806984809</f>
        <v>-1271.8524454779908</v>
      </c>
      <c r="Q204">
        <f>-439.660350925828 -267.517330520295 -305.698799661611</f>
        <v>-1012.876481107734</v>
      </c>
      <c r="R204">
        <f>-583.698407442434 -92.1024761554827 -102.09363173886</f>
        <v>-777.89451533677675</v>
      </c>
      <c r="S204" t="s">
        <v>1475</v>
      </c>
      <c r="T204" t="s">
        <v>1476</v>
      </c>
      <c r="U204" t="s">
        <v>1477</v>
      </c>
      <c r="V204">
        <f>-518.061686856295 -272.56162169058 -94.6506050467943</f>
        <v>-885.27391359366936</v>
      </c>
      <c r="W204" t="s">
        <v>1478</v>
      </c>
      <c r="X204" t="s">
        <v>1479</v>
      </c>
      <c r="Y204" t="s">
        <v>1480</v>
      </c>
    </row>
    <row r="205" spans="1:25" x14ac:dyDescent="0.3">
      <c r="A205">
        <v>10200</v>
      </c>
      <c r="B205" t="s">
        <v>1481</v>
      </c>
      <c r="C205">
        <f>-550.853313223829 -182.433844038545 -97.3480944704551</f>
        <v>-830.63525173282903</v>
      </c>
      <c r="D205">
        <f>-578.314178728352 -197.169946665409 -208.905072472208</f>
        <v>-984.38919786596887</v>
      </c>
      <c r="E205">
        <f>-589.249732308816 -204.016480507022 -306.681350139584</f>
        <v>-1099.947562955422</v>
      </c>
      <c r="F205">
        <f>-594.514407695228 -208.256554999995 -395.52136976838</f>
        <v>-1198.2923324636031</v>
      </c>
      <c r="G205">
        <f>-594.752729202784 -210.577956671031 -484.58764931771</f>
        <v>-1289.9183351915249</v>
      </c>
      <c r="H205">
        <f>-589.764593370707 -211.932253943146 -609.062876731607</f>
        <v>-1410.75972404546</v>
      </c>
      <c r="I205">
        <f>-553.368798768281 -203.277939010798 -683.261779345076</f>
        <v>-1439.908517124155</v>
      </c>
      <c r="J205">
        <f>-597.689166903493 -184.231164596873 -554.812050978254</f>
        <v>-1336.7323824786199</v>
      </c>
      <c r="K205">
        <f>-631.053528572193 -51.9991464127907 -537.514565988181</f>
        <v>-1220.5672409731646</v>
      </c>
      <c r="L205">
        <f>-709.909890234859 -35.6355438133489 -254.485997408705</f>
        <v>-1000.0314314569129</v>
      </c>
      <c r="M205">
        <f>-470.420846857154 -9.41102352302983 -257.335018033658</f>
        <v>-737.16688841384189</v>
      </c>
      <c r="N205">
        <f>-586.22997769462 -238.441314468927 -553.762983126821</f>
        <v>-1378.4342752903681</v>
      </c>
      <c r="O205">
        <f>-568.538635469316 -371.456792771251 -523.885607807412</f>
        <v>-1463.881036047979</v>
      </c>
      <c r="P205">
        <f>-607.418308435948 -427.349364907865 -237.606760196823</f>
        <v>-1272.3744335406359</v>
      </c>
      <c r="Q205">
        <f>-440.30242080571 -267.763281534001 -305.837503766483</f>
        <v>-1013.903206106194</v>
      </c>
      <c r="R205">
        <f>-583.791775024499 -92.2730635073406 -102.13031222874</f>
        <v>-778.19515076057951</v>
      </c>
      <c r="S205" t="s">
        <v>1482</v>
      </c>
      <c r="T205" t="s">
        <v>1483</v>
      </c>
      <c r="U205" t="s">
        <v>1484</v>
      </c>
      <c r="V205">
        <f>-518.185504676948 -272.802968788586 -94.6102079836562</f>
        <v>-885.59868144919017</v>
      </c>
      <c r="W205" t="s">
        <v>1485</v>
      </c>
      <c r="X205" t="s">
        <v>1486</v>
      </c>
      <c r="Y205" t="s">
        <v>1487</v>
      </c>
    </row>
    <row r="206" spans="1:25" x14ac:dyDescent="0.3">
      <c r="A206">
        <v>10250</v>
      </c>
      <c r="B206" t="s">
        <v>1488</v>
      </c>
      <c r="C206">
        <f>-550.889678274232 -182.513761544133 -97.3565411234484</f>
        <v>-830.75998094181341</v>
      </c>
      <c r="D206">
        <f>-578.349616818689 -197.268060693755 -208.911335671407</f>
        <v>-984.52901318385102</v>
      </c>
      <c r="E206">
        <f>-589.30586065879 -204.124703984066 -306.684566496157</f>
        <v>-1100.1151311390131</v>
      </c>
      <c r="F206">
        <f>-594.597846893106 -208.37204319051 -395.522599200412</f>
        <v>-1198.4924892840279</v>
      </c>
      <c r="G206">
        <f>-594.871497230163 -210.69811158233 -484.588629978321</f>
        <v>-1290.158238790814</v>
      </c>
      <c r="H206">
        <f>-589.94144440201 -212.056700678421 -609.066121576874</f>
        <v>-1411.0642666573049</v>
      </c>
      <c r="I206">
        <f>-553.581639746917 -203.216270156428 -683.26073487272</f>
        <v>-1440.058644776065</v>
      </c>
      <c r="J206">
        <f>-597.836924409866 -184.352928959942 -554.812345927798</f>
        <v>-1337.002199297606</v>
      </c>
      <c r="K206">
        <f>-631.118543467712 -52.0953290701125 -537.549288508806</f>
        <v>-1220.7631610466306</v>
      </c>
      <c r="L206">
        <f>-709.28276209148 -35.5399510352593 -254.339923916066</f>
        <v>-999.16263704280527</v>
      </c>
      <c r="M206">
        <f>-469.791530935865 -9.37840491424959 -257.563923799678</f>
        <v>-736.73385964979252</v>
      </c>
      <c r="N206">
        <f>-586.384909390172 -238.564797796764 -553.767139588088</f>
        <v>-1378.7168467750239</v>
      </c>
      <c r="O206">
        <f>-568.696371408719 -371.571037912987 -523.861301414761</f>
        <v>-1464.1287107364669</v>
      </c>
      <c r="P206">
        <f>-607.550206958023 -427.370668526912 -237.560822759985</f>
        <v>-1272.4816982449202</v>
      </c>
      <c r="Q206">
        <f>-440.381834549584 -267.8718569086 -305.86677773803</f>
        <v>-1014.120469196214</v>
      </c>
      <c r="R206">
        <f>-583.845363691037 -92.3550968451154 -102.144642085751</f>
        <v>-778.34510262190349</v>
      </c>
      <c r="S206" t="s">
        <v>1489</v>
      </c>
      <c r="T206" t="s">
        <v>1490</v>
      </c>
      <c r="U206" t="s">
        <v>1491</v>
      </c>
      <c r="V206">
        <f>-518.208978936274 -272.853392515911 -94.597282657236</f>
        <v>-885.65965410942101</v>
      </c>
      <c r="W206" t="s">
        <v>1492</v>
      </c>
      <c r="X206" t="s">
        <v>1493</v>
      </c>
      <c r="Y206" t="s">
        <v>1494</v>
      </c>
    </row>
    <row r="207" spans="1:25" x14ac:dyDescent="0.3">
      <c r="A207">
        <v>10300</v>
      </c>
      <c r="B207" t="s">
        <v>1495</v>
      </c>
      <c r="C207">
        <f>-550.898611789738 -182.605058838719 -97.3617586994405</f>
        <v>-830.86542932789757</v>
      </c>
      <c r="D207">
        <f>-578.360431702188 -197.381412597121 -208.913200029994</f>
        <v>-984.65504432930288</v>
      </c>
      <c r="E207">
        <f>-589.36192854052 -204.219414887081 -306.682738866396</f>
        <v>-1100.264082293997</v>
      </c>
      <c r="F207">
        <f>-594.711545984899 -208.434031306827 -395.518823541753</f>
        <v>-1198.664400833479</v>
      </c>
      <c r="G207">
        <f>-595.059253455252 -210.711692401206 -484.585769750768</f>
        <v>-1290.3567156072259</v>
      </c>
      <c r="H207">
        <f>-590.249074662592 -211.985494357907 -609.068962088633</f>
        <v>-1411.3035311091321</v>
      </c>
      <c r="I207">
        <f>-554.04979702779 -202.886138137518 -683.310715960413</f>
        <v>-1440.2466511257207</v>
      </c>
      <c r="J207">
        <f>-598.094828066621 -184.319121859829 -554.78888679561</f>
        <v>-1337.2028367220601</v>
      </c>
      <c r="K207">
        <f>-631.307689709814 -52.0452023182902 -537.515923489347</f>
        <v>-1220.8688155174511</v>
      </c>
      <c r="L207">
        <f>-707.57061696749 -35.1899429093355 -253.806552774808</f>
        <v>-996.56711265163347</v>
      </c>
      <c r="M207">
        <f>-468.069703264731 -9.29292615234453 -258.227917660736</f>
        <v>-735.59054707781161</v>
      </c>
      <c r="N207">
        <f>-586.636846776848 -238.530714068769 -553.791424156096</f>
        <v>-1378.9589850017128</v>
      </c>
      <c r="O207">
        <f>-568.974767052861 -371.536486287332 -523.873920946078</f>
        <v>-1464.385174286271</v>
      </c>
      <c r="P207">
        <f>-607.646204286385 -427.332376627192 -237.548017766566</f>
        <v>-1272.526598680143</v>
      </c>
      <c r="Q207">
        <f>-440.284132948965 -268.097335756311 -305.995054534581</f>
        <v>-1014.3765232398571</v>
      </c>
      <c r="R207">
        <f>-583.878907483845 -92.5399574317694 -102.169563507939</f>
        <v>-778.5884284235533</v>
      </c>
      <c r="S207" t="s">
        <v>1496</v>
      </c>
      <c r="T207" t="s">
        <v>1497</v>
      </c>
      <c r="U207" t="s">
        <v>1498</v>
      </c>
      <c r="V207">
        <f>-518.210377873604 -272.853753227214 -94.5976526031944</f>
        <v>-885.66178370401246</v>
      </c>
      <c r="W207" t="s">
        <v>1499</v>
      </c>
      <c r="X207" t="s">
        <v>1500</v>
      </c>
      <c r="Y207" t="s">
        <v>1501</v>
      </c>
    </row>
    <row r="208" spans="1:25" x14ac:dyDescent="0.3">
      <c r="A208">
        <v>10350</v>
      </c>
      <c r="B208" t="s">
        <v>1502</v>
      </c>
      <c r="C208">
        <f>-550.926396827973 -182.636481917957 -97.3783478884512</f>
        <v>-830.94122663438122</v>
      </c>
      <c r="D208">
        <f>-578.382116865731 -197.425350955041 -208.929696838182</f>
        <v>-984.73716465895404</v>
      </c>
      <c r="E208">
        <f>-589.402633608351 -204.235536049079 -306.698883607626</f>
        <v>-1100.3370532650561</v>
      </c>
      <c r="F208">
        <f>-594.77842361095 -208.409117073721 -395.535299875766</f>
        <v>-1198.7228405604369</v>
      </c>
      <c r="G208">
        <f>-595.161167272579 -210.629908381922 -484.603631961946</f>
        <v>-1290.3947076164468</v>
      </c>
      <c r="H208">
        <f>-590.408554372948 -211.806947841367 -609.089985157507</f>
        <v>-1411.305487371822</v>
      </c>
      <c r="I208">
        <f>-554.303533131912 -202.619818083366 -683.366876027124</f>
        <v>-1440.2902272424021</v>
      </c>
      <c r="J208">
        <f>-598.229047547742 -184.182791947922 -554.784836962625</f>
        <v>-1337.1966764582889</v>
      </c>
      <c r="K208">
        <f>-631.334895092232 -51.9047926928522 -537.38949945193</f>
        <v>-1220.6291872370143</v>
      </c>
      <c r="L208">
        <f>-706.504568823219 -35.0983653622282 -253.385415780992</f>
        <v>-994.98834996643905</v>
      </c>
      <c r="M208">
        <f>-467.020747960229 -9.18719936202478 -258.583478804692</f>
        <v>-734.79142612694579</v>
      </c>
      <c r="N208">
        <f>-586.770712342876 -238.395126196086 -553.834652683479</f>
        <v>-1379.000491222441</v>
      </c>
      <c r="O208">
        <f>-569.129026726798 -371.414016498096 -523.963645082229</f>
        <v>-1464.5066883071231</v>
      </c>
      <c r="P208">
        <f>-607.66239156432 -427.281947043551 -237.633110421185</f>
        <v>-1272.577449029056</v>
      </c>
      <c r="Q208">
        <f>-440.246431391617 -268.115564305629 -306.107844862956</f>
        <v>-1014.469840560202</v>
      </c>
      <c r="R208">
        <f>-583.922060264685 -92.5640583153972 -102.194591504315</f>
        <v>-778.68071008439722</v>
      </c>
      <c r="S208" t="s">
        <v>1503</v>
      </c>
      <c r="T208" t="s">
        <v>1504</v>
      </c>
      <c r="U208" t="s">
        <v>1505</v>
      </c>
      <c r="V208">
        <f>-518.233232472928 -272.890438788623 -94.6047554747657</f>
        <v>-885.72842673631669</v>
      </c>
      <c r="W208" t="s">
        <v>1506</v>
      </c>
      <c r="X208" t="s">
        <v>1507</v>
      </c>
      <c r="Y208" t="s">
        <v>1508</v>
      </c>
    </row>
    <row r="209" spans="1:25" x14ac:dyDescent="0.3">
      <c r="A209">
        <v>10400</v>
      </c>
      <c r="B209" t="s">
        <v>1509</v>
      </c>
      <c r="C209">
        <f>-551.010694059639 -182.868040278969 -97.3990118711791</f>
        <v>-831.27774620978721</v>
      </c>
      <c r="D209">
        <f>-578.455838780342 -197.616705148306 -208.958126332003</f>
        <v>-985.03067026065094</v>
      </c>
      <c r="E209">
        <f>-589.465632710695 -204.3034243524 -306.737177459334</f>
        <v>-1100.5062345224292</v>
      </c>
      <c r="F209">
        <f>-594.829372478546 -208.330289001124 -395.581139716646</f>
        <v>-1198.7408011963162</v>
      </c>
      <c r="G209">
        <f>-595.196035919508 -210.369214524274 -484.653984706091</f>
        <v>-1290.2192351498729</v>
      </c>
      <c r="H209">
        <f>-590.416548668428 -211.256519284031 -609.141630057735</f>
        <v>-1410.8146980101942</v>
      </c>
      <c r="I209">
        <f>-554.482364745649 -201.937484630203 -683.484926073398</f>
        <v>-1439.9047754492499</v>
      </c>
      <c r="J209">
        <f>-598.246799529242 -183.758379049799 -554.773806722714</f>
        <v>-1336.778985301755</v>
      </c>
      <c r="K209">
        <f>-631.148651899292 -51.4580174768741 -537.078735426835</f>
        <v>-1219.6854048030011</v>
      </c>
      <c r="L209">
        <f>-704.045210886326 -35.0239800396093 -252.461141215559</f>
        <v>-991.53033214149434</v>
      </c>
      <c r="M209">
        <f>-464.631926546571 -8.79388167488742 -259.101497971363</f>
        <v>-732.52730619282147</v>
      </c>
      <c r="N209">
        <f>-586.792664758231 -237.97363210743 -553.947662654059</f>
        <v>-1378.71395951972</v>
      </c>
      <c r="O209">
        <f>-569.182222641437 -371.033045275763 -524.246971690163</f>
        <v>-1464.462239607363</v>
      </c>
      <c r="P209">
        <f>-607.476547020543 -427.105259854392 -237.924323374286</f>
        <v>-1272.5061302492209</v>
      </c>
      <c r="Q209">
        <f>-440.010951208475 -268.021969296208 -306.471094991002</f>
        <v>-1014.5040154956851</v>
      </c>
      <c r="R209">
        <f>-583.973256592034 -92.7382318722512 -102.199180377669</f>
        <v>-778.91066884195413</v>
      </c>
      <c r="S209" t="s">
        <v>1510</v>
      </c>
      <c r="T209" t="s">
        <v>1511</v>
      </c>
      <c r="U209" t="s">
        <v>1512</v>
      </c>
      <c r="V209">
        <f>-518.348676829004 -273.198491327233 -94.6199589943117</f>
        <v>-886.16712715054871</v>
      </c>
      <c r="W209" t="s">
        <v>1513</v>
      </c>
      <c r="X209" t="s">
        <v>1514</v>
      </c>
      <c r="Y209" t="s">
        <v>1515</v>
      </c>
    </row>
    <row r="210" spans="1:25" x14ac:dyDescent="0.3">
      <c r="A210">
        <v>10450</v>
      </c>
      <c r="B210" t="s">
        <v>1516</v>
      </c>
      <c r="C210">
        <f>-550.963808822465 -182.987254839157 -97.3900424541289</f>
        <v>-831.3411061157509</v>
      </c>
      <c r="D210">
        <f>-578.457063977243 -197.724542023965 -208.938956528039</f>
        <v>-985.12056252924708</v>
      </c>
      <c r="E210">
        <f>-589.4433159608 -204.343867633392 -306.72511837976</f>
        <v>-1100.5123019739519</v>
      </c>
      <c r="F210">
        <f>-594.758492439133 -208.286697697718 -395.57588355743</f>
        <v>-1198.621073694281</v>
      </c>
      <c r="G210">
        <f>-595.048748659167 -210.21898202877 -484.651191584783</f>
        <v>-1289.91892227272</v>
      </c>
      <c r="H210">
        <f>-590.132946695888 -210.933928147044 -609.134734381221</f>
        <v>-1410.2016092241531</v>
      </c>
      <c r="I210">
        <f>-554.266705202238 -201.559941830045 -683.50387766627</f>
        <v>-1439.3305246985528</v>
      </c>
      <c r="J210">
        <f>-598.02178857278 -183.510942369268 -554.737493182484</f>
        <v>-1336.270224124532</v>
      </c>
      <c r="K210">
        <f>-630.768591225058 -51.1906019418875 -536.911851081569</f>
        <v>-1218.8710442485144</v>
      </c>
      <c r="L210">
        <f>-702.868301883093 -34.8954134955422 -252.083390204294</f>
        <v>-989.8471055829292</v>
      </c>
      <c r="M210">
        <f>-463.477905018424 -8.56608703039751 -259.146772409058</f>
        <v>-731.19076445787948</v>
      </c>
      <c r="N210">
        <f>-586.570434711863 -237.727539844815 -553.973898056267</f>
        <v>-1378.2718726129449</v>
      </c>
      <c r="O210">
        <f>-568.993112681148 -370.81185466079 -524.387513991272</f>
        <v>-1464.19248133321</v>
      </c>
      <c r="P210">
        <f>-607.202626406064 -427.104089779753 -238.096790888712</f>
        <v>-1272.403507074529</v>
      </c>
      <c r="Q210">
        <f>-439.744647955579 -268.015018972013 -306.64856905325</f>
        <v>-1014.4082359808419</v>
      </c>
      <c r="R210">
        <f>-583.900501325366 -92.8997881005732 -102.176213708502</f>
        <v>-778.97650313444126</v>
      </c>
      <c r="S210" t="s">
        <v>1517</v>
      </c>
      <c r="T210" t="s">
        <v>1518</v>
      </c>
      <c r="U210" t="s">
        <v>1519</v>
      </c>
      <c r="V210">
        <f>-518.321191914596 -273.270538308037 -94.6222761791412</f>
        <v>-886.21400640177421</v>
      </c>
      <c r="W210" t="s">
        <v>1520</v>
      </c>
      <c r="X210" t="s">
        <v>1521</v>
      </c>
      <c r="Y210" t="s">
        <v>1522</v>
      </c>
    </row>
    <row r="211" spans="1:25" x14ac:dyDescent="0.3">
      <c r="A211">
        <v>10500</v>
      </c>
      <c r="B211" t="s">
        <v>1523</v>
      </c>
      <c r="C211">
        <f>-550.911556816829 -183.337963335056 -97.3361447731484</f>
        <v>-831.58566492503337</v>
      </c>
      <c r="D211">
        <f>-578.536292899001 -198.030496058362 -208.858587074731</f>
        <v>-985.42537603209394</v>
      </c>
      <c r="E211">
        <f>-589.450081344582 -204.494627792172 -306.663165541833</f>
        <v>-1100.607874678587</v>
      </c>
      <c r="F211">
        <f>-594.622068173861 -208.251266097407 -395.530321617469</f>
        <v>-1198.4036558887369</v>
      </c>
      <c r="G211">
        <f>-594.690867145422 -209.952996670945 -484.610932279655</f>
        <v>-1289.2547960960219</v>
      </c>
      <c r="H211">
        <f>-589.382564502835 -210.300480165012 -609.079895343051</f>
        <v>-1408.7629400108981</v>
      </c>
      <c r="I211">
        <f>-553.662664873177 -200.844485919292 -683.508850371878</f>
        <v>-1438.016001164347</v>
      </c>
      <c r="J211">
        <f>-597.435996207178 -183.036747756229 -554.626830763418</f>
        <v>-1335.099574726825</v>
      </c>
      <c r="K211">
        <f>-629.934093927663 -50.6914379910604 -536.57687821021</f>
        <v>-1217.2024101289335</v>
      </c>
      <c r="L211">
        <f>-701.23440474833 -34.2868952275976 -251.55335132496</f>
        <v>-987.07465130088758</v>
      </c>
      <c r="M211">
        <f>-461.827209588613 -8.19078343049182 -258.904373275972</f>
        <v>-728.92236629507681</v>
      </c>
      <c r="N211">
        <f>-586.000992716677 -237.258493790632 -553.987774314953</f>
        <v>-1377.247260822262</v>
      </c>
      <c r="O211">
        <f>-568.485240578616 -370.408961560353 -524.63172300621</f>
        <v>-1463.5259251451789</v>
      </c>
      <c r="P211">
        <f>-606.75448151411 -427.145901390227 -238.436675713838</f>
        <v>-1272.337058618175</v>
      </c>
      <c r="Q211">
        <f>-439.249883557428 -268.080685175253 -306.929998311861</f>
        <v>-1014.2605670445421</v>
      </c>
      <c r="R211">
        <f>-583.754790217696 -93.1548758966874 -102.10207471744</f>
        <v>-779.01174083182343</v>
      </c>
      <c r="S211" t="s">
        <v>1524</v>
      </c>
      <c r="T211" t="s">
        <v>1525</v>
      </c>
      <c r="U211" t="s">
        <v>1526</v>
      </c>
      <c r="V211">
        <f>-518.366292595651 -273.686058175924 -94.6156881013283</f>
        <v>-886.66803887290325</v>
      </c>
      <c r="W211" t="s">
        <v>1527</v>
      </c>
      <c r="X211" t="s">
        <v>1528</v>
      </c>
      <c r="Y211" t="s">
        <v>1529</v>
      </c>
    </row>
    <row r="212" spans="1:25" x14ac:dyDescent="0.3">
      <c r="A212">
        <v>10550</v>
      </c>
      <c r="B212" t="s">
        <v>1530</v>
      </c>
      <c r="C212">
        <f>-550.911574585287 -183.461897436786 -97.3089267779058</f>
        <v>-831.68239879997873</v>
      </c>
      <c r="D212">
        <f>-578.603693684857 -198.100505473471 -208.821656108092</f>
        <v>-985.52585526641997</v>
      </c>
      <c r="E212">
        <f>-589.5072438078 -204.489500201651 -306.632458565923</f>
        <v>-1100.6292025753742</v>
      </c>
      <c r="F212">
        <f>-594.642341604595 -208.166293130729 -395.505052098501</f>
        <v>-1198.3136868338249</v>
      </c>
      <c r="G212">
        <f>-594.645981653138 -209.776922435131 -484.587353391366</f>
        <v>-1289.0102574796351</v>
      </c>
      <c r="H212">
        <f>-589.217473811014 -209.98526344585 -609.05145101932</f>
        <v>-1408.2541882761839</v>
      </c>
      <c r="I212">
        <f>-553.545403624647 -200.494920548196 -683.499244461784</f>
        <v>-1437.5395686346269</v>
      </c>
      <c r="J212">
        <f>-597.312543437929 -182.780030759228 -554.575221327743</f>
        <v>-1334.6677955248999</v>
      </c>
      <c r="K212">
        <f>-629.700203768014 -50.4142269772844 -536.435670723726</f>
        <v>-1216.5501014690244</v>
      </c>
      <c r="L212">
        <f>-700.926794389616 -34.0483064034156 -251.391662162378</f>
        <v>-986.36676295540963</v>
      </c>
      <c r="M212">
        <f>-461.513821913199 -7.95013938479633 -258.542803421302</f>
        <v>-728.00676471929728</v>
      </c>
      <c r="N212">
        <f>-585.900093801091 -237.007058173601 -553.986686129486</f>
        <v>-1376.893838104178</v>
      </c>
      <c r="O212">
        <f>-568.450993048826 -370.197412738133 -524.778103681523</f>
        <v>-1463.426509468482</v>
      </c>
      <c r="P212">
        <f>-606.849635133666 -427.129602267391 -238.639257417338</f>
        <v>-1272.618494818395</v>
      </c>
      <c r="Q212">
        <f>-439.283305416598 -268.093666225075 -307.049228558199</f>
        <v>-1014.426200199872</v>
      </c>
      <c r="R212">
        <f>-583.67710310696 -93.3028337107644 -102.049067056695</f>
        <v>-779.02900387441935</v>
      </c>
      <c r="S212" t="s">
        <v>1531</v>
      </c>
      <c r="T212" t="s">
        <v>1532</v>
      </c>
      <c r="U212" t="s">
        <v>1533</v>
      </c>
      <c r="V212">
        <f>-518.445248386733 -273.808024283546 -94.6174047790955</f>
        <v>-886.87067744937463</v>
      </c>
      <c r="W212" t="s">
        <v>1534</v>
      </c>
      <c r="X212" t="s">
        <v>1535</v>
      </c>
      <c r="Y212" t="s">
        <v>1536</v>
      </c>
    </row>
    <row r="213" spans="1:25" x14ac:dyDescent="0.3">
      <c r="A213">
        <v>10600</v>
      </c>
      <c r="B213" t="s">
        <v>1537</v>
      </c>
      <c r="C213">
        <f>-550.995540133405 -183.63930634555 -97.2615864503945</f>
        <v>-831.89643292934954</v>
      </c>
      <c r="D213">
        <f>-578.736599071792 -198.188053080534 -208.77382196466</f>
        <v>-985.69847411698606</v>
      </c>
      <c r="E213">
        <f>-589.62159095124 -204.488312377533 -306.592570729889</f>
        <v>-1100.7024740586621</v>
      </c>
      <c r="F213">
        <f>-594.715297577079 -208.079464661525 -395.47102269175</f>
        <v>-1198.2657849303541</v>
      </c>
      <c r="G213">
        <f>-594.652925343828 -209.600302281388 -484.554890282758</f>
        <v>-1288.8081179079738</v>
      </c>
      <c r="H213">
        <f>-589.106455035047 -209.679579343624 -609.013920250505</f>
        <v>-1407.799954629176</v>
      </c>
      <c r="I213">
        <f>-553.391373804522 -200.20567713229 -683.443021904316</f>
        <v>-1437.040072841128</v>
      </c>
      <c r="J213">
        <f>-597.207389765541 -182.521240517415 -554.51520349456</f>
        <v>-1334.2438337775161</v>
      </c>
      <c r="K213">
        <f>-629.397600827865 -50.126690038263 -536.218065100949</f>
        <v>-1215.7423559670769</v>
      </c>
      <c r="L213">
        <f>-700.709270685088 -34.2214084901507 -251.169002032006</f>
        <v>-986.09968120724466</v>
      </c>
      <c r="M213">
        <f>-461.308265265019 -7.8850649853016 -257.833027294197</f>
        <v>-727.02635754451762</v>
      </c>
      <c r="N213">
        <f>-585.886826139589 -236.768154727144 -553.976120894837</f>
        <v>-1376.6311017615699</v>
      </c>
      <c r="O213">
        <f>-568.702117587689 -370.015972518328 -524.893373478218</f>
        <v>-1463.611463584235</v>
      </c>
      <c r="P213">
        <f>-607.080777699151 -427.286174656222 -238.819182865023</f>
        <v>-1273.1861352203962</v>
      </c>
      <c r="Q213">
        <f>-439.309201189326 -268.425267065404 -307.132841905945</f>
        <v>-1014.8673101606751</v>
      </c>
      <c r="R213">
        <f>-583.533609328183 -93.4491540144993 -101.955574323129</f>
        <v>-778.93833766581133</v>
      </c>
      <c r="S213" t="s">
        <v>1538</v>
      </c>
      <c r="T213" t="s">
        <v>1539</v>
      </c>
      <c r="U213" t="s">
        <v>1540</v>
      </c>
      <c r="V213">
        <f>-518.724495235243 -273.986509985325 -94.6035954248906</f>
        <v>-887.31460064545865</v>
      </c>
      <c r="W213" t="s">
        <v>1541</v>
      </c>
      <c r="X213" t="s">
        <v>1542</v>
      </c>
      <c r="Y213" t="s">
        <v>1543</v>
      </c>
    </row>
    <row r="214" spans="1:25" x14ac:dyDescent="0.3">
      <c r="A214">
        <v>10650</v>
      </c>
      <c r="B214" t="s">
        <v>1544</v>
      </c>
      <c r="C214">
        <f>-551.052493111115 -183.635533957166 -97.2391009391823</f>
        <v>-831.92712800746335</v>
      </c>
      <c r="D214">
        <f>-578.796407255431 -198.149487880567 -208.755079493172</f>
        <v>-985.70097462916988</v>
      </c>
      <c r="E214">
        <f>-589.69659264286 -204.424041776534 -306.573802703962</f>
        <v>-1100.694437123356</v>
      </c>
      <c r="F214">
        <f>-594.808922580501 -207.994295616544 -395.452114098265</f>
        <v>-1198.2553322953099</v>
      </c>
      <c r="G214">
        <f>-594.769687979621 -209.497473662322 -484.536215217995</f>
        <v>-1288.803376859938</v>
      </c>
      <c r="H214">
        <f>-589.260195482005 -209.555899530294 -608.996905736175</f>
        <v>-1407.813000748474</v>
      </c>
      <c r="I214">
        <f>-553.538582860094 -200.110650579296 -683.426513572956</f>
        <v>-1437.075747012346</v>
      </c>
      <c r="J214">
        <f>-597.311857336095 -182.39981973772 -554.489714512515</f>
        <v>-1334.2013915863299</v>
      </c>
      <c r="K214">
        <f>-629.400051126394 -49.9986876548908 -536.126047360414</f>
        <v>-1215.5247861416988</v>
      </c>
      <c r="L214">
        <f>-700.939166196197 -34.3074674398447 -251.122335857442</f>
        <v>-986.36896949348375</v>
      </c>
      <c r="M214">
        <f>-461.543281964079 -7.86254985695859 -257.53823914846</f>
        <v>-726.94407096949749</v>
      </c>
      <c r="N214">
        <f>-586.057518192498 -236.660516816216 -553.96606420646</f>
        <v>-1376.684099215174</v>
      </c>
      <c r="O214">
        <f>-569.035321989839 -369.945751478328 -524.924619791335</f>
        <v>-1463.905693259502</v>
      </c>
      <c r="P214">
        <f>-607.62994730391 -427.179029701069 -238.872130241602</f>
        <v>-1273.681107246581</v>
      </c>
      <c r="Q214">
        <f>-439.600698491506 -268.570160995879 -307.138057166515</f>
        <v>-1015.3089166539</v>
      </c>
      <c r="R214">
        <f>-583.546151961447 -93.4118249383239 -101.92531877607</f>
        <v>-778.88329567584083</v>
      </c>
      <c r="S214" t="s">
        <v>1545</v>
      </c>
      <c r="T214" t="s">
        <v>1546</v>
      </c>
      <c r="U214" t="s">
        <v>1547</v>
      </c>
      <c r="V214">
        <f>-518.819675366806 -274.019331713312 -94.6006901558814</f>
        <v>-887.43969723599935</v>
      </c>
      <c r="W214" t="s">
        <v>1548</v>
      </c>
      <c r="X214" t="s">
        <v>1549</v>
      </c>
      <c r="Y214" t="s">
        <v>1550</v>
      </c>
    </row>
    <row r="215" spans="1:25" x14ac:dyDescent="0.3">
      <c r="A215">
        <v>10700</v>
      </c>
      <c r="B215" t="s">
        <v>1551</v>
      </c>
      <c r="C215">
        <f>-551.084077710966 -183.639172545051 -97.2061413676655</f>
        <v>-831.92939162368248</v>
      </c>
      <c r="D215">
        <f>-578.814166780419 -198.125872611069 -208.729255207636</f>
        <v>-985.66929459912399</v>
      </c>
      <c r="E215">
        <f>-589.704392250282 -204.364086326088 -306.551290666349</f>
        <v>-1100.619769242719</v>
      </c>
      <c r="F215">
        <f>-594.807432097208 -207.898998416947 -395.431522536492</f>
        <v>-1198.137953050647</v>
      </c>
      <c r="G215">
        <f>-594.757326464533 -209.366218176373 -484.516148251189</f>
        <v>-1288.6396928920949</v>
      </c>
      <c r="H215">
        <f>-589.230864097379 -209.376132892896 -608.976172379761</f>
        <v>-1407.5831693700361</v>
      </c>
      <c r="I215">
        <f>-553.46798728708 -199.948411530983 -683.388344847471</f>
        <v>-1436.8047436655338</v>
      </c>
      <c r="J215">
        <f>-597.228231963808 -182.228479937085 -554.45674395285</f>
        <v>-1333.913455853743</v>
      </c>
      <c r="K215">
        <f>-629.120039552133 -49.7918008529434 -536.038616592419</f>
        <v>-1214.9504569974954</v>
      </c>
      <c r="L215">
        <f>-700.786764246649 -34.2891599838129 -251.056754288012</f>
        <v>-986.13267851847388</v>
      </c>
      <c r="M215">
        <f>-461.399624814766 -7.72864918481628 -257.320248189961</f>
        <v>-726.44852218954327</v>
      </c>
      <c r="N215">
        <f>-586.097387828896 -236.515027012464 -553.958203934624</f>
        <v>-1376.5706187759838</v>
      </c>
      <c r="O215">
        <f>-569.389088082297 -369.838013051746 -524.897172191593</f>
        <v>-1464.1242733256358</v>
      </c>
      <c r="P215">
        <f>-608.431736775467 -426.853341523542 -238.861961170402</f>
        <v>-1274.1470394694111</v>
      </c>
      <c r="Q215">
        <f>-439.822369934847 -268.823391431924 -307.040191046735</f>
        <v>-1015.685952413506</v>
      </c>
      <c r="R215">
        <f>-583.520976654379 -93.4623916146193 -101.891914016076</f>
        <v>-778.87528228507426</v>
      </c>
      <c r="S215" t="s">
        <v>1552</v>
      </c>
      <c r="T215" t="s">
        <v>1553</v>
      </c>
      <c r="U215" t="s">
        <v>1554</v>
      </c>
      <c r="V215">
        <f>-518.910354185276 -274.009045562202 -94.5937407425289</f>
        <v>-887.51314049000689</v>
      </c>
      <c r="W215" t="s">
        <v>1555</v>
      </c>
      <c r="X215" t="s">
        <v>1556</v>
      </c>
      <c r="Y215" t="s">
        <v>1557</v>
      </c>
    </row>
    <row r="216" spans="1:25" x14ac:dyDescent="0.3">
      <c r="A216">
        <v>10750</v>
      </c>
      <c r="B216" t="s">
        <v>1558</v>
      </c>
      <c r="C216">
        <f>-551.10161991951 -183.66509405053 -97.2042236018818</f>
        <v>-831.97093757192181</v>
      </c>
      <c r="D216">
        <f>-578.804468783049 -198.150918805412 -208.734236436673</f>
        <v>-985.68962402513398</v>
      </c>
      <c r="E216">
        <f>-589.675602729415 -204.381668281651 -306.558709574159</f>
        <v>-1100.6159805852249</v>
      </c>
      <c r="F216">
        <f>-594.762470450318 -207.907937778169 -395.440450610237</f>
        <v>-1198.1108588387242</v>
      </c>
      <c r="G216">
        <f>-594.697055901189 -209.365776691133 -484.5252293578</f>
        <v>-1288.588061950122</v>
      </c>
      <c r="H216">
        <f>-589.149671806158 -209.362177995718 -608.984237355922</f>
        <v>-1407.496087157798</v>
      </c>
      <c r="I216">
        <f>-553.346752346178 -199.934379516993 -683.377040098667</f>
        <v>-1436.658171961838</v>
      </c>
      <c r="J216">
        <f>-597.134471379254 -182.216085257578 -554.462277660172</f>
        <v>-1333.812834297004</v>
      </c>
      <c r="K216">
        <f>-629.001487543846 -49.7717628007917 -536.015268781206</f>
        <v>-1214.7885191258438</v>
      </c>
      <c r="L216">
        <f>-700.332335619916 -34.0562299802305 -250.960659030286</f>
        <v>-985.34922463043245</v>
      </c>
      <c r="M216">
        <f>-460.946311687825 -7.50844178539046 -257.318982489882</f>
        <v>-725.77373596309747</v>
      </c>
      <c r="N216">
        <f>-586.047195696624 -236.511550408398 -553.96957277415</f>
        <v>-1376.528318879172</v>
      </c>
      <c r="O216">
        <f>-569.435456199153 -369.83967684534 -524.906018937417</f>
        <v>-1464.18115198191</v>
      </c>
      <c r="P216">
        <f>-608.753520372139 -426.770234949221 -238.891721858246</f>
        <v>-1274.4154771796059</v>
      </c>
      <c r="Q216">
        <f>-439.89780021983 -268.983231411725 -307.02302351811</f>
        <v>-1015.9040551496651</v>
      </c>
      <c r="R216">
        <f>-583.52528159977 -93.4569179179127 -101.882794719284</f>
        <v>-778.86499423696671</v>
      </c>
      <c r="S216" t="s">
        <v>1559</v>
      </c>
      <c r="T216" t="s">
        <v>1560</v>
      </c>
      <c r="U216" t="s">
        <v>1561</v>
      </c>
      <c r="V216">
        <f>-518.940669902575 -274.069393412971 -94.5828388026101</f>
        <v>-887.59290211815608</v>
      </c>
      <c r="W216" t="s">
        <v>1562</v>
      </c>
      <c r="X216" t="s">
        <v>1563</v>
      </c>
      <c r="Y216" t="s">
        <v>1564</v>
      </c>
    </row>
    <row r="217" spans="1:25" x14ac:dyDescent="0.3">
      <c r="A217">
        <v>10800</v>
      </c>
      <c r="B217" t="s">
        <v>1565</v>
      </c>
      <c r="C217">
        <f>-551.056488869944 -183.416597425707 -97.2101564073774</f>
        <v>-831.68324270302844</v>
      </c>
      <c r="D217">
        <f>-578.679818784842 -197.911297883317 -208.758736887732</f>
        <v>-985.34985355589095</v>
      </c>
      <c r="E217">
        <f>-589.476227716711 -204.144628105724 -306.591378434107</f>
        <v>-1100.2122342565422</v>
      </c>
      <c r="F217">
        <f>-594.491935992462 -207.673733458587 -395.476880720874</f>
        <v>-1197.6425501719229</v>
      </c>
      <c r="G217">
        <f>-594.351507831492 -209.136403511997 -484.561474705734</f>
        <v>-1288.0493860492229</v>
      </c>
      <c r="H217">
        <f>-588.694777563693 -209.143163815259 -609.01562014427</f>
        <v>-1406.853561523222</v>
      </c>
      <c r="I217">
        <f>-552.823513152598 -199.74091865206 -683.3787866584</f>
        <v>-1435.9432184630582</v>
      </c>
      <c r="J217">
        <f>-596.698535848245 -181.986553706349 -554.501685236329</f>
        <v>-1333.186774790923</v>
      </c>
      <c r="K217">
        <f>-628.488524016229 -49.5278160058665 -536.026074894295</f>
        <v>-1214.0424149163905</v>
      </c>
      <c r="L217">
        <f>-698.574582183309 -33.2803061604391 -250.692682822124</f>
        <v>-982.547571165872</v>
      </c>
      <c r="M217">
        <f>-459.214211891532 -6.63766229439216 -257.596620398101</f>
        <v>-723.44849458402518</v>
      </c>
      <c r="N217">
        <f>-585.669529417977 -236.293762875103 -553.99749399384</f>
        <v>-1375.9607862869198</v>
      </c>
      <c r="O217">
        <f>-569.181579308943 -369.635641786056 -524.937831601832</f>
        <v>-1463.7550526968312</v>
      </c>
      <c r="P217">
        <f>-608.778529453701 -426.688746509797 -238.986305878139</f>
        <v>-1274.4535818416371</v>
      </c>
      <c r="Q217">
        <f>-439.750255063073 -268.997385699892 -306.911150567523</f>
        <v>-1015.6587913304879</v>
      </c>
      <c r="R217">
        <f>-583.537268658905 -93.2293840044426 -101.899965310779</f>
        <v>-778.66661797412655</v>
      </c>
      <c r="S217" t="s">
        <v>1566</v>
      </c>
      <c r="T217" t="s">
        <v>1567</v>
      </c>
      <c r="U217" t="s">
        <v>1568</v>
      </c>
      <c r="V217">
        <f>-518.855335782014 -273.725401709171 -94.571248127031</f>
        <v>-887.15198561821603</v>
      </c>
      <c r="W217" t="s">
        <v>1569</v>
      </c>
      <c r="X217" t="s">
        <v>1570</v>
      </c>
      <c r="Y217" t="s">
        <v>1571</v>
      </c>
    </row>
    <row r="218" spans="1:25" x14ac:dyDescent="0.3">
      <c r="A218">
        <v>10850</v>
      </c>
      <c r="B218" t="s">
        <v>1572</v>
      </c>
      <c r="C218">
        <f>-551.027287497248 -183.340667547881 -97.2208499857816</f>
        <v>-831.58880503091063</v>
      </c>
      <c r="D218">
        <f>-578.622824872803 -197.833817909037 -208.776548505594</f>
        <v>-985.23319128743401</v>
      </c>
      <c r="E218">
        <f>-589.367014548777 -204.057356107766 -306.615652288874</f>
        <v>-1100.0400229454171</v>
      </c>
      <c r="F218">
        <f>-594.323529973484 -207.575332176053 -395.504960784925</f>
        <v>-1197.4038229344621</v>
      </c>
      <c r="G218">
        <f>-594.111862930491 -209.025521799288 -484.589538541142</f>
        <v>-1287.7269232709209</v>
      </c>
      <c r="H218">
        <f>-588.343015205806 -209.014191587599 -609.038513140606</f>
        <v>-1406.3957199340109</v>
      </c>
      <c r="I218">
        <f>-552.419752974231 -199.617840590836 -683.377328111047</f>
        <v>-1435.4149216761139</v>
      </c>
      <c r="J218">
        <f>-596.381120072866 -181.862548836352 -554.527166610835</f>
        <v>-1332.770835520053</v>
      </c>
      <c r="K218">
        <f>-628.101616781361 -49.3854637380882 -536.036716105117</f>
        <v>-1213.5237966245663</v>
      </c>
      <c r="L218">
        <f>-697.602030144929 -32.8224036663903 -250.578276018477</f>
        <v>-981.00270982979634</v>
      </c>
      <c r="M218">
        <f>-458.240676581707 -6.25992027793905 -257.75177759343</f>
        <v>-722.25237445307607</v>
      </c>
      <c r="N218">
        <f>-585.38205218099 -236.175931892789 -554.022145066838</f>
        <v>-1375.5801291406169</v>
      </c>
      <c r="O218">
        <f>-568.978464693529 -369.534691350474 -524.967308881911</f>
        <v>-1463.480464925914</v>
      </c>
      <c r="P218">
        <f>-608.656530445911 -426.652426892142 -239.039961388076</f>
        <v>-1274.3489187261289</v>
      </c>
      <c r="Q218">
        <f>-439.558588085673 -269.0092963818 -306.903017563005</f>
        <v>-1015.4709020304781</v>
      </c>
      <c r="R218">
        <f>-583.497339735018 -93.1937058067449 -101.915854709138</f>
        <v>-778.60690025090094</v>
      </c>
      <c r="S218" t="s">
        <v>1573</v>
      </c>
      <c r="T218" t="s">
        <v>1574</v>
      </c>
      <c r="U218" t="s">
        <v>1575</v>
      </c>
      <c r="V218">
        <f>-518.868720701196 -273.644606058345 -94.574096817637</f>
        <v>-887.08742357717813</v>
      </c>
      <c r="W218" t="s">
        <v>1576</v>
      </c>
      <c r="X218" t="s">
        <v>1577</v>
      </c>
      <c r="Y218" t="s">
        <v>1578</v>
      </c>
    </row>
    <row r="219" spans="1:25" x14ac:dyDescent="0.3">
      <c r="A219">
        <v>10900</v>
      </c>
      <c r="B219" t="s">
        <v>1579</v>
      </c>
      <c r="C219">
        <f>-550.952174414319 -183.154672971363 -97.2387060125786</f>
        <v>-831.34555339826056</v>
      </c>
      <c r="D219">
        <f>-578.493679538934 -197.624252086702 -208.810735540874</f>
        <v>-984.92866716650997</v>
      </c>
      <c r="E219">
        <f>-589.108931117189 -203.824237210058 -306.665427303198</f>
        <v>-1099.5985956304448</v>
      </c>
      <c r="F219">
        <f>-593.914756080068 -207.321764600804 -395.563677205093</f>
        <v>-1196.800197885965</v>
      </c>
      <c r="G219">
        <f>-593.518202969234 -208.75493440868 -484.648166504131</f>
        <v>-1286.9213038820451</v>
      </c>
      <c r="H219">
        <f>-587.455080476929 -208.724910911568 -609.083077362702</f>
        <v>-1405.2630687511992</v>
      </c>
      <c r="I219">
        <f>-551.43160563458 -199.362920572766 -683.377637625723</f>
        <v>-1434.1721638330691</v>
      </c>
      <c r="J219">
        <f>-595.587648729792 -181.574458195724 -554.585017634239</f>
        <v>-1331.7471245597549</v>
      </c>
      <c r="K219">
        <f>-627.078446088087 -49.0349553816918 -536.149079814016</f>
        <v>-1212.2624812837948</v>
      </c>
      <c r="L219">
        <f>-695.648224380384 -31.9258503514636 -250.497746602024</f>
        <v>-978.07182133387164</v>
      </c>
      <c r="M219">
        <f>-456.256308289241 -5.73919449866048 -258.023575746916</f>
        <v>-720.01907853481748</v>
      </c>
      <c r="N219">
        <f>-584.658775777825 -235.901868349561 -554.065715843653</f>
        <v>-1374.6263599710392</v>
      </c>
      <c r="O219">
        <f>-568.391137232458 -369.266925813492 -524.973964053734</f>
        <v>-1462.6320270996839</v>
      </c>
      <c r="P219">
        <f>-608.311252205148 -426.319561845927 -239.067360924577</f>
        <v>-1273.6981749756521</v>
      </c>
      <c r="Q219">
        <f>-439.0065254432 -268.888241326581 -306.906325141943</f>
        <v>-1014.8010919117239</v>
      </c>
      <c r="R219">
        <f>-583.368344316353 -93.0522712793825 -101.942325303392</f>
        <v>-778.36294089912747</v>
      </c>
      <c r="S219" t="s">
        <v>1580</v>
      </c>
      <c r="T219" t="s">
        <v>1581</v>
      </c>
      <c r="U219" t="s">
        <v>1582</v>
      </c>
      <c r="V219">
        <f>-518.839825989218 -273.445207874141 -94.5902985281189</f>
        <v>-886.87533239147774</v>
      </c>
      <c r="W219" t="s">
        <v>1583</v>
      </c>
      <c r="X219" t="s">
        <v>1584</v>
      </c>
      <c r="Y219" t="s">
        <v>1585</v>
      </c>
    </row>
    <row r="220" spans="1:25" x14ac:dyDescent="0.3">
      <c r="A220">
        <v>10950</v>
      </c>
      <c r="B220" t="s">
        <v>1586</v>
      </c>
      <c r="C220">
        <f>-550.90078325101 -183.24715033823 -97.2273700475149</f>
        <v>-831.37530363675489</v>
      </c>
      <c r="D220">
        <f>-578.420973937443 -197.696506944942 -208.807235813771</f>
        <v>-984.92471669615611</v>
      </c>
      <c r="E220">
        <f>-588.993790235707 -203.890460816339 -306.666856497456</f>
        <v>-1099.5511075495019</v>
      </c>
      <c r="F220">
        <f>-593.751700012088 -207.387966882691 -395.567758644618</f>
        <v>-1196.707425539397</v>
      </c>
      <c r="G220">
        <f>-593.297566244886 -208.827277028495 -484.651788613341</f>
        <v>-1286.776631886722</v>
      </c>
      <c r="H220">
        <f>-587.144116348457 -208.813445478507 -609.082251765842</f>
        <v>-1405.039813592806</v>
      </c>
      <c r="I220">
        <f>-551.094043077449 -199.491838553812 -683.369180363806</f>
        <v>-1433.9550619950669</v>
      </c>
      <c r="J220">
        <f>-595.296477718751 -181.652039905857 -554.592809205943</f>
        <v>-1331.541326830551</v>
      </c>
      <c r="K220">
        <f>-626.681411765125 -49.0817186127963 -536.179894395562</f>
        <v>-1211.9430247734831</v>
      </c>
      <c r="L220">
        <f>-694.822079544063 -31.7437231356096 -250.439668771346</f>
        <v>-977.00547145101848</v>
      </c>
      <c r="M220">
        <f>-455.403069851388 -5.85364912632713 -258.129524952179</f>
        <v>-719.38624392989414</v>
      </c>
      <c r="N220">
        <f>-584.407493339844 -235.987224727632 -554.060316602813</f>
        <v>-1374.455034670289</v>
      </c>
      <c r="O220">
        <f>-568.215034964805 -369.352274811975 -524.939913424632</f>
        <v>-1462.507223201412</v>
      </c>
      <c r="P220">
        <f>-608.285350022766 -426.407114747509 -239.054887984908</f>
        <v>-1273.7473527551829</v>
      </c>
      <c r="Q220">
        <f>-438.895830452597 -269.022817829113 -306.791568775952</f>
        <v>-1014.710217057662</v>
      </c>
      <c r="R220">
        <f>-583.248153603927 -93.1256586346533 -101.93599756475</f>
        <v>-778.30980980333027</v>
      </c>
      <c r="S220" t="s">
        <v>1587</v>
      </c>
      <c r="T220" t="s">
        <v>1588</v>
      </c>
      <c r="U220" t="s">
        <v>1589</v>
      </c>
      <c r="V220">
        <f>-518.854050019817 -273.585903603562 -94.5815406562273</f>
        <v>-887.02149427960626</v>
      </c>
      <c r="W220" t="s">
        <v>1590</v>
      </c>
      <c r="X220" t="s">
        <v>1591</v>
      </c>
      <c r="Y220" t="s">
        <v>1592</v>
      </c>
    </row>
    <row r="221" spans="1:25" x14ac:dyDescent="0.3">
      <c r="A221">
        <v>11000</v>
      </c>
      <c r="B221" t="s">
        <v>1593</v>
      </c>
      <c r="C221">
        <f>-550.580600551141 -183.168448965706 -97.203886041997</f>
        <v>-830.95293555884393</v>
      </c>
      <c r="D221">
        <f>-577.979303424624 -197.528686464481 -208.825177389777</f>
        <v>-984.333167278882</v>
      </c>
      <c r="E221">
        <f>-588.447807838783 -203.668606478147 -306.699536567746</f>
        <v>-1098.8159508846761</v>
      </c>
      <c r="F221">
        <f>-593.112425810731 -207.126571827643 -395.606863098881</f>
        <v>-1195.845860737255</v>
      </c>
      <c r="G221">
        <f>-592.566329656787 -208.536703039078 -484.690786805345</f>
        <v>-1285.79381950121</v>
      </c>
      <c r="H221">
        <f>-586.286016504715 -208.492855977767 -609.115052771634</f>
        <v>-1403.8939252541161</v>
      </c>
      <c r="I221">
        <f>-550.159680522237 -199.225555258643 -683.371431161034</f>
        <v>-1432.7566669419139</v>
      </c>
      <c r="J221">
        <f>-594.460248891323 -181.337719873897 -554.625548200742</f>
        <v>-1330.4235169659619</v>
      </c>
      <c r="K221">
        <f>-625.832467246056 -48.7713418262688 -536.224588654932</f>
        <v>-1210.8283977272567</v>
      </c>
      <c r="L221">
        <f>-693.001850338093 -31.0908689664907 -250.275458291789</f>
        <v>-974.36817759637279</v>
      </c>
      <c r="M221">
        <f>-453.545630807627 -5.67295305308858 -258.367938391698</f>
        <v>-717.58652225241349</v>
      </c>
      <c r="N221">
        <f>-583.639126815897 -235.686616732932 -554.098657898186</f>
        <v>-1373.424401447015</v>
      </c>
      <c r="O221">
        <f>-567.677626103952 -369.088896967136 -524.984426080202</f>
        <v>-1461.7509491512899</v>
      </c>
      <c r="P221">
        <f>-608.081756523434 -426.388226094446 -239.195274080054</f>
        <v>-1273.6652566979342</v>
      </c>
      <c r="Q221">
        <f>-438.487693662565 -269.063281074343 -306.556814537602</f>
        <v>-1014.1077892745101</v>
      </c>
      <c r="R221">
        <f>-582.816392777299 -93.0953983141296 -101.905272058213</f>
        <v>-777.81706314964163</v>
      </c>
      <c r="S221" t="s">
        <v>1594</v>
      </c>
      <c r="T221" t="s">
        <v>1595</v>
      </c>
      <c r="U221" t="s">
        <v>1596</v>
      </c>
      <c r="V221">
        <f>-518.616135794437 -273.389935699254 -94.5882845578691</f>
        <v>-886.59435605156011</v>
      </c>
      <c r="W221" t="s">
        <v>1597</v>
      </c>
      <c r="X221" t="s">
        <v>1598</v>
      </c>
      <c r="Y221" t="s">
        <v>1599</v>
      </c>
    </row>
    <row r="222" spans="1:25" x14ac:dyDescent="0.3">
      <c r="A222">
        <v>11050</v>
      </c>
      <c r="B222" t="s">
        <v>1600</v>
      </c>
      <c r="C222">
        <f>-550.368773296008 -183.139096233357 -97.183841619342</f>
        <v>-830.6917111487071</v>
      </c>
      <c r="D222">
        <f>-577.734676847164 -197.453437700136 -208.819189962023</f>
        <v>-984.00730450932292</v>
      </c>
      <c r="E222">
        <f>-588.161664383469 -203.549733581357 -306.700463325701</f>
        <v>-1098.411861290527</v>
      </c>
      <c r="F222">
        <f>-592.783329159152 -206.966591551317 -395.611760443765</f>
        <v>-1195.361681154234</v>
      </c>
      <c r="G222">
        <f>-592.189072755318 -208.33382987898 -484.696092656693</f>
        <v>-1285.218995290991</v>
      </c>
      <c r="H222">
        <f>-585.836116299786 -208.228564788428 -609.116454534411</f>
        <v>-1403.1811356226249</v>
      </c>
      <c r="I222">
        <f>-549.664599287209 -198.967918605564 -683.351890057026</f>
        <v>-1431.9844079497989</v>
      </c>
      <c r="J222">
        <f>-594.029971700862 -181.097958617456 -554.617845862776</f>
        <v>-1329.745776181094</v>
      </c>
      <c r="K222">
        <f>-625.333146797107 -48.5248960079011 -536.137845030341</f>
        <v>-1209.9958878353491</v>
      </c>
      <c r="L222">
        <f>-692.021352121809 -30.8198317355782 -250.077716144051</f>
        <v>-972.91890000143815</v>
      </c>
      <c r="M222">
        <f>-452.571310698437 -5.41760970258906 -258.398442554031</f>
        <v>-716.38736295505714</v>
      </c>
      <c r="N222">
        <f>-583.233384165596 -235.451867360182 -554.112579425819</f>
        <v>-1372.797830951597</v>
      </c>
      <c r="O222">
        <f>-567.322340510833 -368.858037490343 -525.020314878199</f>
        <v>-1461.2006928793749</v>
      </c>
      <c r="P222">
        <f>-607.875084165177 -426.304195005024 -239.281643420301</f>
        <v>-1273.4609225905019</v>
      </c>
      <c r="Q222">
        <f>-438.198910868102 -269.006124952869 -306.499268276714</f>
        <v>-1013.7043040976851</v>
      </c>
      <c r="R222">
        <f>-582.537647421815 -93.0556685777199 -101.879388745506</f>
        <v>-777.47270474504091</v>
      </c>
      <c r="S222" t="s">
        <v>1601</v>
      </c>
      <c r="T222" t="s">
        <v>1602</v>
      </c>
      <c r="U222" t="s">
        <v>1603</v>
      </c>
      <c r="V222">
        <f>-518.460525697968 -273.400196152145 -94.5804591867479</f>
        <v>-886.44118103686094</v>
      </c>
      <c r="W222" t="s">
        <v>1604</v>
      </c>
      <c r="X222" t="s">
        <v>1605</v>
      </c>
      <c r="Y222" t="s">
        <v>1606</v>
      </c>
    </row>
    <row r="223" spans="1:25" x14ac:dyDescent="0.3">
      <c r="A223">
        <v>11100</v>
      </c>
      <c r="B223" t="s">
        <v>1607</v>
      </c>
      <c r="C223">
        <f>-549.808361443669 -183.234623254559 -97.1952270779831</f>
        <v>-830.23821177621107</v>
      </c>
      <c r="D223">
        <f>-577.16782273195 -197.487278404685 -208.839881660265</f>
        <v>-983.49498279689988</v>
      </c>
      <c r="E223">
        <f>-587.568705354515 -203.502717506322 -306.72917269544</f>
        <v>-1097.8005955562771</v>
      </c>
      <c r="F223">
        <f>-592.158240200529 -206.834815256766 -395.645250051969</f>
        <v>-1194.638305509264</v>
      </c>
      <c r="G223">
        <f>-591.523024328169 -208.106420917892 -484.730782290362</f>
        <v>-1284.3602275364231</v>
      </c>
      <c r="H223">
        <f>-585.103228375724 -207.856439987024 -609.147482408425</f>
        <v>-1402.1071507711731</v>
      </c>
      <c r="I223">
        <f>-548.881006728062 -198.598732549074 -683.35847116745</f>
        <v>-1430.8382104445859</v>
      </c>
      <c r="J223">
        <f>-593.299715063363 -180.783930224986 -554.620361495449</f>
        <v>-1328.7040067837979</v>
      </c>
      <c r="K223">
        <f>-624.510285485435 -48.2083105140612 -535.96173117876</f>
        <v>-1208.6803271782562</v>
      </c>
      <c r="L223">
        <f>-690.684561427129 -30.5107869970548 -249.78180018794</f>
        <v>-970.97714861212376</v>
      </c>
      <c r="M223">
        <f>-451.247267945309 -5.11648915894784 -258.489324161164</f>
        <v>-714.85308126542077</v>
      </c>
      <c r="N223">
        <f>-582.556787315344 -235.148978498783 -554.175260503004</f>
        <v>-1371.8810263171308</v>
      </c>
      <c r="O223">
        <f>-566.83830479018 -368.596197476692 -525.153705603156</f>
        <v>-1460.5882078700279</v>
      </c>
      <c r="P223">
        <f>-607.57269334596 -426.201414784761 -239.472981108168</f>
        <v>-1273.247089238889</v>
      </c>
      <c r="Q223">
        <f>-437.641557053211 -269.12007738381 -306.552982661824</f>
        <v>-1013.314617098845</v>
      </c>
      <c r="R223">
        <f>-581.884060551896 -93.1455270140332 -101.840408643017</f>
        <v>-776.86999620894619</v>
      </c>
      <c r="S223" t="s">
        <v>1608</v>
      </c>
      <c r="T223" t="s">
        <v>1609</v>
      </c>
      <c r="U223" t="s">
        <v>1610</v>
      </c>
      <c r="V223">
        <f>-518.034323521482 -273.55040239994 -94.5847205555373</f>
        <v>-886.16944647695925</v>
      </c>
      <c r="W223" t="s">
        <v>1611</v>
      </c>
      <c r="X223" t="s">
        <v>1612</v>
      </c>
      <c r="Y223" t="s">
        <v>1613</v>
      </c>
    </row>
    <row r="224" spans="1:25" x14ac:dyDescent="0.3">
      <c r="A224">
        <v>11150</v>
      </c>
      <c r="B224" t="s">
        <v>1614</v>
      </c>
      <c r="C224">
        <f>-549.49986191054 -183.259442325073 -97.1894562870685</f>
        <v>-829.94876052268148</v>
      </c>
      <c r="D224">
        <f>-576.834818425321 -197.462618003763 -208.846377156747</f>
        <v>-983.14381358583091</v>
      </c>
      <c r="E224">
        <f>-587.213211722507 -203.433819119043 -306.740710681708</f>
        <v>-1097.387741523258</v>
      </c>
      <c r="F224">
        <f>-591.782452031797 -206.724706532837 -395.659480664195</f>
        <v>-1194.1666392288289</v>
      </c>
      <c r="G224">
        <f>-591.126819202849 -207.953451649798 -484.745306468227</f>
        <v>-1283.8255773208739</v>
      </c>
      <c r="H224">
        <f>-584.678641685311 -207.641967507649 -609.160467759401</f>
        <v>-1401.481076952361</v>
      </c>
      <c r="I224">
        <f>-548.430527886728 -198.373093406072 -683.357483393569</f>
        <v>-1430.1611046863691</v>
      </c>
      <c r="J224">
        <f>-592.881413931394 -180.595254514091 -554.62162333424</f>
        <v>-1328.0982917797251</v>
      </c>
      <c r="K224">
        <f>-624.070908629722 -48.0223015343422 -535.89915270288</f>
        <v>-1207.9923628669442</v>
      </c>
      <c r="L224">
        <f>-690.220092068891 -30.3793245595584 -249.709969861413</f>
        <v>-970.30938648986239</v>
      </c>
      <c r="M224">
        <f>-450.795298860265 -4.89787989561091 -258.501778953861</f>
        <v>-714.19495770973685</v>
      </c>
      <c r="N224">
        <f>-582.150861376796 -234.962949677029 -554.201561167668</f>
        <v>-1371.3153722214929</v>
      </c>
      <c r="O224">
        <f>-566.493792015838 -368.425380062358 -525.220496763517</f>
        <v>-1460.139668841713</v>
      </c>
      <c r="P224">
        <f>-607.389315596856 -426.094938854468 -239.575578861563</f>
        <v>-1273.0598333128869</v>
      </c>
      <c r="Q224">
        <f>-437.300932023954 -269.171439175531 -306.626187843626</f>
        <v>-1013.098559043111</v>
      </c>
      <c r="R224">
        <f>-581.487457213746 -93.2004730226324 -101.809795644599</f>
        <v>-776.49772588097744</v>
      </c>
      <c r="S224" t="s">
        <v>1615</v>
      </c>
      <c r="T224" t="s">
        <v>1616</v>
      </c>
      <c r="U224" t="s">
        <v>1617</v>
      </c>
      <c r="V224">
        <f>-517.818705798962 -273.500377921575 -94.5843123943622</f>
        <v>-885.90339611489924</v>
      </c>
      <c r="W224" t="s">
        <v>1618</v>
      </c>
      <c r="X224" t="s">
        <v>1619</v>
      </c>
      <c r="Y224" t="s">
        <v>1620</v>
      </c>
    </row>
    <row r="225" spans="1:25" x14ac:dyDescent="0.3">
      <c r="A225">
        <v>11200</v>
      </c>
      <c r="B225" t="s">
        <v>1621</v>
      </c>
      <c r="C225">
        <f>-548.876688012557 -183.165932375106 -97.132202751151</f>
        <v>-829.17482313881396</v>
      </c>
      <c r="D225">
        <f>-576.166734205186 -197.29490881558 -208.809670718805</f>
        <v>-982.27131373957104</v>
      </c>
      <c r="E225">
        <f>-586.503750036915 -203.188044919944 -306.71309832865</f>
        <v>-1096.4048932855089</v>
      </c>
      <c r="F225">
        <f>-591.034608121078 -206.401548195122 -395.636564772738</f>
        <v>-1193.0727210889381</v>
      </c>
      <c r="G225">
        <f>-590.339587571893 -207.546643519897 -484.723243153048</f>
        <v>-1282.6094742448381</v>
      </c>
      <c r="H225">
        <f>-583.835880309331 -207.111043324388 -609.135188600288</f>
        <v>-1400.0821122340069</v>
      </c>
      <c r="I225">
        <f>-547.573129767824 -197.804524441578 -683.320316924397</f>
        <v>-1428.697971133799</v>
      </c>
      <c r="J225">
        <f>-592.048863138868 -180.115894001668 -554.572125094633</f>
        <v>-1326.7368822351691</v>
      </c>
      <c r="K225">
        <f>-623.230305206952 -47.5588309858788 -535.752413911696</f>
        <v>-1206.5415501045268</v>
      </c>
      <c r="L225">
        <f>-689.605336978181 -29.9861831789165 -249.611169805207</f>
        <v>-969.20268996230448</v>
      </c>
      <c r="M225">
        <f>-450.211640517943 -4.19569264037682 -258.352011647203</f>
        <v>-712.75934480552291</v>
      </c>
      <c r="N225">
        <f>-581.346850643298 -234.489633290421 -554.203089472055</f>
        <v>-1370.039573405774</v>
      </c>
      <c r="O225">
        <f>-565.797473323681 -367.978985040424 -525.290180439456</f>
        <v>-1459.0666388035609</v>
      </c>
      <c r="P225">
        <f>-606.827223280626 -425.934289640411 -239.722544533126</f>
        <v>-1272.4840574541629</v>
      </c>
      <c r="Q225">
        <f>-436.476700923233 -269.223735310635 -306.605939024745</f>
        <v>-1012.306375258613</v>
      </c>
      <c r="R225">
        <f>-580.711114443937 -93.119003116728 -101.742510911668</f>
        <v>-775.57262847233301</v>
      </c>
      <c r="S225" t="s">
        <v>1622</v>
      </c>
      <c r="T225" t="s">
        <v>1623</v>
      </c>
      <c r="U225" t="s">
        <v>1624</v>
      </c>
      <c r="V225">
        <f>-517.303018011375 -273.418059361868 -94.5585845379593</f>
        <v>-885.27966191120231</v>
      </c>
      <c r="W225" t="s">
        <v>1625</v>
      </c>
      <c r="X225" t="s">
        <v>1626</v>
      </c>
      <c r="Y225" t="s">
        <v>1627</v>
      </c>
    </row>
    <row r="226" spans="1:25" x14ac:dyDescent="0.3">
      <c r="A226">
        <v>11250</v>
      </c>
      <c r="B226" t="s">
        <v>1628</v>
      </c>
      <c r="C226">
        <f>-548.537433219032 -183.071988499171 -97.1095740032782</f>
        <v>-828.71899572148118</v>
      </c>
      <c r="D226">
        <f>-575.795543983777 -197.18431982275 -208.796872536806</f>
        <v>-981.77673634333291</v>
      </c>
      <c r="E226">
        <f>-586.105568748965 -203.045813098418 -306.705070281685</f>
        <v>-1095.856452129068</v>
      </c>
      <c r="F226">
        <f>-590.612027734512 -206.223669962552 -395.63111476644</f>
        <v>-1192.4668124635041</v>
      </c>
      <c r="G226">
        <f>-589.892628473771 -207.325567060531 -484.71811120835</f>
        <v>-1281.9363067426521</v>
      </c>
      <c r="H226">
        <f>-583.35482983016 -206.821908406467 -609.128144284926</f>
        <v>-1399.3048825215528</v>
      </c>
      <c r="I226">
        <f>-547.099296705693 -197.494311841402 -683.314023691958</f>
        <v>-1427.9076322390529</v>
      </c>
      <c r="J226">
        <f>-591.585227715581 -179.857188686402 -554.552733095986</f>
        <v>-1325.9951494979691</v>
      </c>
      <c r="K226">
        <f>-622.792324388546 -47.3136864357025 -535.686831762854</f>
        <v>-1205.7928425871025</v>
      </c>
      <c r="L226">
        <f>-689.263587906146 -29.6755298128994 -249.572048143006</f>
        <v>-968.51116586205137</v>
      </c>
      <c r="M226">
        <f>-449.877387894176 -3.78918421658341 -258.234328509084</f>
        <v>-711.90090061984347</v>
      </c>
      <c r="N226">
        <f>-580.878461787661 -234.230057825326 -554.210153761571</f>
        <v>-1369.3186733745579</v>
      </c>
      <c r="O226">
        <f>-565.3295804406 -367.729632133399 -525.348660473494</f>
        <v>-1458.407873047493</v>
      </c>
      <c r="P226">
        <f>-606.471657360717 -425.833634422718 -239.82722925578</f>
        <v>-1272.1325210392149</v>
      </c>
      <c r="Q226">
        <f>-436.000904459533 -269.171353779461 -306.51681258644</f>
        <v>-1011.689070825434</v>
      </c>
      <c r="R226">
        <f>-580.367150062847 -92.9876943416361 -101.714177833779</f>
        <v>-775.06902223826216</v>
      </c>
      <c r="S226" t="s">
        <v>1629</v>
      </c>
      <c r="T226" t="s">
        <v>1630</v>
      </c>
      <c r="U226" t="s">
        <v>1631</v>
      </c>
      <c r="V226">
        <f>-516.986950488212 -273.355919425471 -94.5496418098928</f>
        <v>-884.89251172357581</v>
      </c>
      <c r="W226" t="s">
        <v>1632</v>
      </c>
      <c r="X226" t="s">
        <v>1633</v>
      </c>
      <c r="Y226" t="s">
        <v>1634</v>
      </c>
    </row>
    <row r="227" spans="1:25" x14ac:dyDescent="0.3">
      <c r="A227">
        <v>11300</v>
      </c>
      <c r="B227" t="s">
        <v>1635</v>
      </c>
      <c r="C227">
        <f>-547.819924176255 -182.819952358597 -97.088077136533</f>
        <v>-827.72795367138497</v>
      </c>
      <c r="D227">
        <f>-575.017256376534 -196.898177444231 -208.79452103589</f>
        <v>-980.70995485665503</v>
      </c>
      <c r="E227">
        <f>-585.278389050056 -202.71693052663 -306.710357820465</f>
        <v>-1094.705677397151</v>
      </c>
      <c r="F227">
        <f>-589.742147435505 -205.850210016699 -395.640082232559</f>
        <v>-1191.232439684763</v>
      </c>
      <c r="G227">
        <f>-588.98164479532 -206.901381822855 -484.727309621587</f>
        <v>-1280.6103362397621</v>
      </c>
      <c r="H227">
        <f>-582.388093734819 -206.319895473904 -609.133982083236</f>
        <v>-1397.841971291959</v>
      </c>
      <c r="I227">
        <f>-546.177029083384 -196.990520357298 -683.34144330897</f>
        <v>-1426.508992749652</v>
      </c>
      <c r="J227">
        <f>-590.657061583017 -179.392070068569 -554.546181456337</f>
        <v>-1324.5953131079232</v>
      </c>
      <c r="K227">
        <f>-621.933407694177 -46.8768042770535 -535.600074750562</f>
        <v>-1204.4102867217925</v>
      </c>
      <c r="L227">
        <f>-688.3980726564 -29.2395073229184 -249.483545815648</f>
        <v>-967.12112579496636</v>
      </c>
      <c r="M227">
        <f>-449.036862522333 -3.14044039687633 -258.199629339855</f>
        <v>-710.37693225906435</v>
      </c>
      <c r="N227">
        <f>-579.922160813428 -233.759458579116 -554.231354509932</f>
        <v>-1367.9129739024761</v>
      </c>
      <c r="O227">
        <f>-564.310618373354 -367.266224377644 -525.432721412815</f>
        <v>-1457.0095641638131</v>
      </c>
      <c r="P227">
        <f>-605.61884006385 -425.58284052191 -239.978734615558</f>
        <v>-1271.1804152013181</v>
      </c>
      <c r="Q227">
        <f>-435.087306837197 -268.866744032249 -306.385973794284</f>
        <v>-1010.34002466373</v>
      </c>
      <c r="R227">
        <f>-579.618675300811 -92.7721625781226 -101.679859540221</f>
        <v>-774.07069741915461</v>
      </c>
      <c r="S227" t="s">
        <v>1636</v>
      </c>
      <c r="T227" t="s">
        <v>1637</v>
      </c>
      <c r="U227" t="s">
        <v>1638</v>
      </c>
      <c r="V227">
        <f>-516.286477057105 -273.057376041863 -94.5325948181486</f>
        <v>-883.87644791711659</v>
      </c>
      <c r="W227" t="s">
        <v>1639</v>
      </c>
      <c r="X227" t="s">
        <v>1640</v>
      </c>
      <c r="Y227" t="s">
        <v>1641</v>
      </c>
    </row>
    <row r="228" spans="1:25" x14ac:dyDescent="0.3">
      <c r="A228">
        <v>11350</v>
      </c>
      <c r="B228" t="s">
        <v>1642</v>
      </c>
      <c r="C228">
        <f>-547.485773052758 -182.675326221255 -97.0708447507545</f>
        <v>-827.23194402476747</v>
      </c>
      <c r="D228">
        <f>-574.649177328615 -196.735164551019 -208.78790335238</f>
        <v>-980.17224523201401</v>
      </c>
      <c r="E228">
        <f>-584.885063948147 -202.534958959468 -306.707528742923</f>
        <v>-1094.127551650538</v>
      </c>
      <c r="F228">
        <f>-589.327987719896 -205.649881859294 -395.638918017588</f>
        <v>-1190.6167875967781</v>
      </c>
      <c r="G228">
        <f>-588.548370709141 -206.680764695903 -484.726331159363</f>
        <v>-1279.9554665644068</v>
      </c>
      <c r="H228">
        <f>-581.930561659903 -206.068779012226 -609.131419101213</f>
        <v>-1397.1307597733421</v>
      </c>
      <c r="I228">
        <f>-545.75447659129 -196.759638501767 -683.35866796618</f>
        <v>-1425.872783059237</v>
      </c>
      <c r="J228">
        <f>-590.218451489601 -179.155865455848 -554.539172189776</f>
        <v>-1323.9134891352251</v>
      </c>
      <c r="K228">
        <f>-621.543599625955 -46.6551733897102 -535.560947878342</f>
        <v>-1203.7597208940072</v>
      </c>
      <c r="L228">
        <f>-687.969798324023 -29.0462406700274 -249.433952131058</f>
        <v>-966.44999112510845</v>
      </c>
      <c r="M228">
        <f>-448.621402368405 -2.86670037628119 -258.259071848447</f>
        <v>-709.7471745931332</v>
      </c>
      <c r="N228">
        <f>-579.46700035379 -233.520172484096 -554.234651091542</f>
        <v>-1367.221823929428</v>
      </c>
      <c r="O228">
        <f>-563.835811088539 -367.028783702082 -525.448999749503</f>
        <v>-1456.3135945401241</v>
      </c>
      <c r="P228">
        <f>-605.155554568727 -425.404953412485 -240.008917887889</f>
        <v>-1270.569425869101</v>
      </c>
      <c r="Q228">
        <f>-434.635740751292 -268.646781242911 -306.347009279833</f>
        <v>-1009.629531274036</v>
      </c>
      <c r="R228">
        <f>-579.304113768439 -92.5900336241641 -101.664690889449</f>
        <v>-773.55883828205219</v>
      </c>
      <c r="S228" t="s">
        <v>1643</v>
      </c>
      <c r="T228" t="s">
        <v>1644</v>
      </c>
      <c r="U228" t="s">
        <v>1645</v>
      </c>
      <c r="V228">
        <f>-515.94657031885 -272.957366174413 -94.5277310219673</f>
        <v>-883.43166751523029</v>
      </c>
      <c r="W228" t="s">
        <v>1646</v>
      </c>
      <c r="X228" t="s">
        <v>1647</v>
      </c>
      <c r="Y228" t="s">
        <v>1648</v>
      </c>
    </row>
    <row r="229" spans="1:25" x14ac:dyDescent="0.3">
      <c r="A229">
        <v>11400</v>
      </c>
      <c r="B229" t="s">
        <v>1649</v>
      </c>
      <c r="C229">
        <f>-546.711038068159 -182.134175855929 -97.0515632715953</f>
        <v>-825.8967771956834</v>
      </c>
      <c r="D229">
        <f>-573.79068767369 -196.156612421671 -208.793659959738</f>
        <v>-978.74096005509898</v>
      </c>
      <c r="E229">
        <f>-583.968914938773 -201.92400275668 -306.721100593543</f>
        <v>-1092.614018288996</v>
      </c>
      <c r="F229">
        <f>-588.365770280321 -205.008426331966 -395.655943799627</f>
        <v>-1189.0301404119141</v>
      </c>
      <c r="G229">
        <f>-587.547264453674 -206.00688613075 -484.74330807009</f>
        <v>-1278.297458654514</v>
      </c>
      <c r="H229">
        <f>-580.882056062705 -205.347181139347 -609.145719043913</f>
        <v>-1395.374956245965</v>
      </c>
      <c r="I229">
        <f>-544.751474373065 -196.099590514315 -683.402619890072</f>
        <v>-1424.2536847774518</v>
      </c>
      <c r="J229">
        <f>-589.212834783641 -178.459617687436 -554.547567020359</f>
        <v>-1322.220019491436</v>
      </c>
      <c r="K229">
        <f>-620.632808303873 -45.9877559308775 -535.545287753355</f>
        <v>-1202.1658519881055</v>
      </c>
      <c r="L229">
        <f>-687.063024396799 -28.4214485541527 -249.416500143859</f>
        <v>-964.90097309481075</v>
      </c>
      <c r="M229">
        <f>-447.731684152755 -2.14161384175259 -258.403285256366</f>
        <v>-708.27658325087361</v>
      </c>
      <c r="N229">
        <f>-578.417280113114 -232.815378123178 -554.257380309535</f>
        <v>-1365.490038545827</v>
      </c>
      <c r="O229">
        <f>-562.681324106053 -366.309190484382 -525.448260289209</f>
        <v>-1454.4387748796439</v>
      </c>
      <c r="P229">
        <f>-604.096348658732 -424.760980100632 -240.037335927573</f>
        <v>-1268.8946646869369</v>
      </c>
      <c r="Q229">
        <f>-433.751098278864 -267.751238502247 -306.228851614323</f>
        <v>-1007.7311883954339</v>
      </c>
      <c r="R229">
        <f>-578.570618372099 -92.0807151260112 -101.632744821615</f>
        <v>-772.28407831972527</v>
      </c>
      <c r="S229" t="s">
        <v>1650</v>
      </c>
      <c r="T229" t="s">
        <v>1651</v>
      </c>
      <c r="U229" t="s">
        <v>1652</v>
      </c>
      <c r="V229">
        <f>-515.112369824742 -272.292362886851 -94.5268686846057</f>
        <v>-881.93160139619863</v>
      </c>
      <c r="W229" t="s">
        <v>1653</v>
      </c>
      <c r="X229" t="s">
        <v>1654</v>
      </c>
      <c r="Y229" t="s">
        <v>1655</v>
      </c>
    </row>
    <row r="230" spans="1:25" x14ac:dyDescent="0.3">
      <c r="A230">
        <v>11450</v>
      </c>
      <c r="B230" t="s">
        <v>1656</v>
      </c>
      <c r="C230">
        <f>-546.375839911138 -181.836876740654 -97.0439592516751</f>
        <v>-825.25667590346711</v>
      </c>
      <c r="D230">
        <f>-573.413639216315 -195.833331697405 -208.799454318688</f>
        <v>-978.04642523240796</v>
      </c>
      <c r="E230">
        <f>-583.560064365296 -201.587218084163 -306.731023843954</f>
        <v>-1091.8783062934131</v>
      </c>
      <c r="F230">
        <f>-587.930647085207 -204.662663628385 -395.667370797607</f>
        <v>-1188.260681511199</v>
      </c>
      <c r="G230">
        <f>-587.088457410238 -205.655156971291 -484.754730845536</f>
        <v>-1277.4983452270651</v>
      </c>
      <c r="H230">
        <f>-580.393148395058 -204.989713522153 -609.155401350404</f>
        <v>-1394.5382632676151</v>
      </c>
      <c r="I230">
        <f>-544.257760976475 -195.765943984176 -683.412988225779</f>
        <v>-1423.4366931864301</v>
      </c>
      <c r="J230">
        <f>-588.747398018276 -178.106823072133 -554.558514377902</f>
        <v>-1321.412735468311</v>
      </c>
      <c r="K230">
        <f>-620.233773250159 -45.6463819976946 -535.558034588121</f>
        <v>-1201.4381898359745</v>
      </c>
      <c r="L230">
        <f>-686.756958250254 -28.0919368332766 -249.450145063506</f>
        <v>-964.29904014703652</v>
      </c>
      <c r="M230">
        <f>-447.432643829531 -1.73807262248101 -258.404281175231</f>
        <v>-707.57499762724296</v>
      </c>
      <c r="N230">
        <f>-577.931367385544 -232.458349607615 -554.267191608272</f>
        <v>-1364.656908601431</v>
      </c>
      <c r="O230">
        <f>-562.168954187515 -365.941747651817 -525.447032188362</f>
        <v>-1453.5577340276941</v>
      </c>
      <c r="P230">
        <f>-603.67536901967 -424.396895611012 -240.05005998261</f>
        <v>-1268.122324613292</v>
      </c>
      <c r="Q230">
        <f>-433.381558482128 -267.270288798174 -306.096135961912</f>
        <v>-1006.7479832422141</v>
      </c>
      <c r="R230">
        <f>-578.263436028293 -91.7799267275823 -101.614167095205</f>
        <v>-771.6575298510802</v>
      </c>
      <c r="S230" t="s">
        <v>1657</v>
      </c>
      <c r="T230" t="s">
        <v>1658</v>
      </c>
      <c r="U230" t="s">
        <v>1659</v>
      </c>
      <c r="V230">
        <f>-514.766892742806 -272.029900623471 -94.5211559239816</f>
        <v>-881.31794929025864</v>
      </c>
      <c r="W230" t="s">
        <v>1660</v>
      </c>
      <c r="X230" t="s">
        <v>1661</v>
      </c>
      <c r="Y230" t="s">
        <v>1662</v>
      </c>
    </row>
    <row r="231" spans="1:25" x14ac:dyDescent="0.3">
      <c r="A231">
        <v>11500</v>
      </c>
      <c r="B231" t="s">
        <v>1663</v>
      </c>
      <c r="C231">
        <f>-545.763183071939 -181.464851427178 -97.0232550539251</f>
        <v>-824.25128955304217</v>
      </c>
      <c r="D231">
        <f>-572.698398050342 -195.403040113296 -208.810759116035</f>
        <v>-976.91219727967302</v>
      </c>
      <c r="E231">
        <f>-582.749583269621 -201.128032352394 -306.753814981188</f>
        <v>-1090.6314306032029</v>
      </c>
      <c r="F231">
        <f>-587.032406416095 -204.185064697557 -395.695144152662</f>
        <v>-1186.9126152663139</v>
      </c>
      <c r="G231">
        <f>-586.101427209684 -205.166573986488 -484.781720712562</f>
        <v>-1276.049721908734</v>
      </c>
      <c r="H231">
        <f>-579.28170553248 -204.493065991235 -609.175572529903</f>
        <v>-1392.950344053618</v>
      </c>
      <c r="I231">
        <f>-543.075883949277 -195.302284188641 -683.402925963734</f>
        <v>-1421.7810941016519</v>
      </c>
      <c r="J231">
        <f>-587.707608998321 -177.617057390603 -554.586277010698</f>
        <v>-1319.9109433996221</v>
      </c>
      <c r="K231">
        <f>-619.282684939276 -45.1701420608022 -535.655309756828</f>
        <v>-1200.1081367569063</v>
      </c>
      <c r="L231">
        <f>-686.144273472248 -27.6499948455837 -249.624194893436</f>
        <v>-963.41846321126764</v>
      </c>
      <c r="M231">
        <f>-446.842467319344 -1.0521129455451 -258.460587274824</f>
        <v>-706.35516753971308</v>
      </c>
      <c r="N231">
        <f>-576.85780990018 -231.961776018846 -554.285670630188</f>
        <v>-1363.1052565492139</v>
      </c>
      <c r="O231">
        <f>-561.087925972513 -365.432353436156 -525.392654359362</f>
        <v>-1451.9129337680311</v>
      </c>
      <c r="P231">
        <f>-602.737484929828 -423.861959170909 -240.011341595082</f>
        <v>-1266.610785695819</v>
      </c>
      <c r="Q231">
        <f>-432.456989115618 -266.585635684985 -305.734505726071</f>
        <v>-1004.777130526674</v>
      </c>
      <c r="R231">
        <f>-577.660813515406 -91.3852824460691 -101.579919071754</f>
        <v>-770.62601503322912</v>
      </c>
      <c r="S231" t="s">
        <v>1664</v>
      </c>
      <c r="T231" t="s">
        <v>1665</v>
      </c>
      <c r="U231" t="s">
        <v>1666</v>
      </c>
      <c r="V231">
        <f>-514.1510641093 -271.714937542549 -94.5195127045424</f>
        <v>-880.38551435639147</v>
      </c>
      <c r="W231" t="s">
        <v>1667</v>
      </c>
      <c r="X231" t="s">
        <v>1668</v>
      </c>
      <c r="Y231" t="s">
        <v>1669</v>
      </c>
    </row>
    <row r="232" spans="1:25" x14ac:dyDescent="0.3">
      <c r="A232">
        <v>11550</v>
      </c>
      <c r="B232" t="s">
        <v>1670</v>
      </c>
      <c r="C232">
        <f>-545.502654696091 -181.25067476909 -97.0217646260968</f>
        <v>-823.77509409127777</v>
      </c>
      <c r="D232">
        <f>-572.385971785625 -195.163583602306 -208.824833740702</f>
        <v>-976.37438912863286</v>
      </c>
      <c r="E232">
        <f>-582.363912611554 -200.874200228001 -306.776298039163</f>
        <v>-1090.0144108787181</v>
      </c>
      <c r="F232">
        <f>-586.569285844852 -203.921575902459 -395.72166887371</f>
        <v>-1186.212530621021</v>
      </c>
      <c r="G232">
        <f>-585.549964168672 -204.896590404855 -484.807214550055</f>
        <v>-1275.2537691235821</v>
      </c>
      <c r="H232">
        <f>-578.595875716845 -204.217478276532 -609.193802350179</f>
        <v>-1392.0071563435558</v>
      </c>
      <c r="I232">
        <f>-542.31231504214 -195.040483986783 -683.384681988463</f>
        <v>-1420.737481017386</v>
      </c>
      <c r="J232">
        <f>-587.087362600122 -177.34517502955 -554.612754488726</f>
        <v>-1319.0452921183978</v>
      </c>
      <c r="K232">
        <f>-618.715815262715 -44.9007638519843 -535.726167647214</f>
        <v>-1199.3427467619131</v>
      </c>
      <c r="L232">
        <f>-685.800152012675 -27.3543371076214 -249.74875716727</f>
        <v>-962.90324628756639</v>
      </c>
      <c r="M232">
        <f>-446.512863457109 -0.594311882576676 -258.487434544556</f>
        <v>-705.59460988424166</v>
      </c>
      <c r="N232">
        <f>-576.224717009315 -231.687468594472 -554.302148617999</f>
        <v>-1362.214334221786</v>
      </c>
      <c r="O232">
        <f>-560.472626778323 -365.147843615966 -525.380291444253</f>
        <v>-1451.0007618385421</v>
      </c>
      <c r="P232">
        <f>-602.249021766038 -423.576635360677 -240.0174144626</f>
        <v>-1265.8430715893151</v>
      </c>
      <c r="Q232">
        <f>-431.969811113694 -266.266080320318 -305.662073782472</f>
        <v>-1003.8979652164841</v>
      </c>
      <c r="R232">
        <f>-577.382463176029 -91.1643949941267 -101.568463270819</f>
        <v>-770.11532144097464</v>
      </c>
      <c r="S232" t="s">
        <v>1671</v>
      </c>
      <c r="T232" t="s">
        <v>1672</v>
      </c>
      <c r="U232" t="s">
        <v>1673</v>
      </c>
      <c r="V232">
        <f>-513.887617969117 -271.518862959181 -94.5228750183014</f>
        <v>-879.92935594659934</v>
      </c>
      <c r="W232" t="s">
        <v>1674</v>
      </c>
      <c r="X232" t="s">
        <v>1675</v>
      </c>
      <c r="Y232" t="s">
        <v>1676</v>
      </c>
    </row>
    <row r="233" spans="1:25" x14ac:dyDescent="0.3">
      <c r="A233">
        <v>11600</v>
      </c>
      <c r="B233" t="s">
        <v>1677</v>
      </c>
      <c r="C233">
        <f>-545.262076294697 -181.021459702939 -97.0237929239271</f>
        <v>-823.307328921563</v>
      </c>
      <c r="D233">
        <f>-572.087283098032 -194.916605528637 -208.843132661185</f>
        <v>-975.84702128785398</v>
      </c>
      <c r="E233">
        <f>-581.991830587245 -200.624986801739 -306.802103321056</f>
        <v>-1089.4189207100399</v>
      </c>
      <c r="F233">
        <f>-586.121665421393 -203.675747845693 -395.750764097178</f>
        <v>-1185.5481773642639</v>
      </c>
      <c r="G233">
        <f>-585.018581937909 -204.659151320268 -484.835366390665</f>
        <v>-1274.5130996488419</v>
      </c>
      <c r="H233">
        <f>-577.938948385178 -203.997239220916 -609.214802671777</f>
        <v>-1391.150990277871</v>
      </c>
      <c r="I233">
        <f>-541.568265714512 -194.834857479964 -683.364995532631</f>
        <v>-1419.7681187271069</v>
      </c>
      <c r="J233">
        <f>-586.492723460296 -177.118911462435 -554.64650929831</f>
        <v>-1318.258144221041</v>
      </c>
      <c r="K233">
        <f>-618.164030404413 -44.6732472775905 -535.820890182839</f>
        <v>-1198.6581678648424</v>
      </c>
      <c r="L233">
        <f>-685.402220610301 -27.067187037756 -249.883300321783</f>
        <v>-962.35270796983991</v>
      </c>
      <c r="M233">
        <f>-446.120815743981 -0.215455501113638 -258.501585340543</f>
        <v>-704.83785658563761</v>
      </c>
      <c r="N233">
        <f>-575.616009013924 -231.45815417748 -554.316676158509</f>
        <v>-1361.390839349913</v>
      </c>
      <c r="O233">
        <f>-559.862160777804 -364.912591165488 -525.351651062896</f>
        <v>-1450.126403006188</v>
      </c>
      <c r="P233">
        <f>-601.791678355377 -423.2918528933 -240.001005010594</f>
        <v>-1265.0845362592711</v>
      </c>
      <c r="Q233">
        <f>-431.569949189542 -265.883823333053 -305.561485990933</f>
        <v>-1003.0152585135281</v>
      </c>
      <c r="R233">
        <f>-577.136725008277 -90.9404606306873 -101.56522806966</f>
        <v>-769.6424137086243</v>
      </c>
      <c r="S233" t="s">
        <v>1678</v>
      </c>
      <c r="T233" t="s">
        <v>1679</v>
      </c>
      <c r="U233" t="s">
        <v>1680</v>
      </c>
      <c r="V233">
        <f>-513.659132927175 -271.278029116702 -94.5215265834236</f>
        <v>-879.4586886273006</v>
      </c>
      <c r="W233" t="s">
        <v>1681</v>
      </c>
      <c r="X233" t="s">
        <v>1682</v>
      </c>
      <c r="Y233" t="s">
        <v>1683</v>
      </c>
    </row>
    <row r="234" spans="1:25" x14ac:dyDescent="0.3">
      <c r="A234">
        <v>11650</v>
      </c>
      <c r="B234" t="s">
        <v>1684</v>
      </c>
      <c r="C234">
        <f>-544.874857591847 -180.522071173374 -97.0242229815666</f>
        <v>-822.42115174678759</v>
      </c>
      <c r="D234">
        <f>-571.629861829182 -194.406733932751 -208.861666511354</f>
        <v>-974.89826227328695</v>
      </c>
      <c r="E234">
        <f>-581.438731577738 -200.132456221232 -306.829299570734</f>
        <v>-1088.400487369704</v>
      </c>
      <c r="F234">
        <f>-585.46910523044 -203.209636146778 -395.781646092065</f>
        <v>-1184.460387469283</v>
      </c>
      <c r="G234">
        <f>-584.253850221947 -204.23027599789 -484.864371668287</f>
        <v>-1273.348497888124</v>
      </c>
      <c r="H234">
        <f>-577.004899592711 -203.631626767312 -609.234373450686</f>
        <v>-1389.870899810709</v>
      </c>
      <c r="I234">
        <f>-540.455737538105 -194.523204354415 -683.303470021588</f>
        <v>-1418.282411914108</v>
      </c>
      <c r="J234">
        <f>-585.64559161826 -176.727992239455 -554.692251168738</f>
        <v>-1317.065835026453</v>
      </c>
      <c r="K234">
        <f>-617.381118743306 -44.2886740408826 -535.964543852877</f>
        <v>-1197.6343366370656</v>
      </c>
      <c r="L234">
        <f>-684.77431902936 -26.3008937716472 -250.087181697776</f>
        <v>-961.16239449878321</v>
      </c>
      <c r="M234" t="s">
        <v>1685</v>
      </c>
      <c r="N234">
        <f>-574.74396351193 -231.06200554494 -554.318453568924</f>
        <v>-1360.1244226257941</v>
      </c>
      <c r="O234">
        <f>-558.930481427358 -364.490382866087 -525.269277597799</f>
        <v>-1448.6901418912439</v>
      </c>
      <c r="P234">
        <f>-601.151027040507 -422.870021584571 -239.961724086462</f>
        <v>-1263.9827727115401</v>
      </c>
      <c r="Q234">
        <f>-430.99636386052 -265.285715255845 -305.272227370117</f>
        <v>-1001.5543064864819</v>
      </c>
      <c r="R234">
        <f>-576.791419987941 -90.4513383000865 -101.565470203225</f>
        <v>-768.80822849125252</v>
      </c>
      <c r="S234" t="s">
        <v>1686</v>
      </c>
      <c r="T234" t="s">
        <v>1687</v>
      </c>
      <c r="U234" t="s">
        <v>1688</v>
      </c>
      <c r="V234">
        <f>-513.255902980544 -270.737701244459 -94.5233933521533</f>
        <v>-878.5169975771563</v>
      </c>
      <c r="W234" t="s">
        <v>1689</v>
      </c>
      <c r="X234" t="s">
        <v>1690</v>
      </c>
      <c r="Y234" t="s">
        <v>1691</v>
      </c>
    </row>
    <row r="235" spans="1:25" x14ac:dyDescent="0.3">
      <c r="A235">
        <v>11700</v>
      </c>
      <c r="B235" t="s">
        <v>1692</v>
      </c>
      <c r="C235">
        <f>-544.560550407668 -180.009210124994 -97.0286654629805</f>
        <v>-821.59842599564251</v>
      </c>
      <c r="D235">
        <f>-571.272546813393 -193.886233820582 -208.877328409843</f>
        <v>-974.03610904381799</v>
      </c>
      <c r="E235">
        <f>-581.007876065957 -199.625540293521 -306.85147587714</f>
        <v>-1087.484892236618</v>
      </c>
      <c r="F235">
        <f>-584.957374463154 -202.72381399638 -395.806744340571</f>
        <v>-1183.487932800105</v>
      </c>
      <c r="G235">
        <f>-583.64714247627 -203.774445008647 -484.887780156926</f>
        <v>-1272.309367641843</v>
      </c>
      <c r="H235">
        <f>-576.251296765745 -203.227386025474 -609.249437270014</f>
        <v>-1388.7281200612329</v>
      </c>
      <c r="I235">
        <f>-539.553106098938 -194.177855359287 -683.2519272451</f>
        <v>-1416.982888703325</v>
      </c>
      <c r="J235">
        <f>-584.962721643079 -176.302521209717 -554.728942648696</f>
        <v>-1315.9941855014922</v>
      </c>
      <c r="K235">
        <f>-616.726954044748 -43.8580735581475 -536.092237752088</f>
        <v>-1196.6772653549833</v>
      </c>
      <c r="L235">
        <f>-684.228553211316 -25.3401919995317 -250.274489632174</f>
        <v>-959.84323484302172</v>
      </c>
      <c r="M235" t="s">
        <v>1693</v>
      </c>
      <c r="N235">
        <f>-574.049078982116 -230.63378270703 -554.318855516077</f>
        <v>-1359.001717205223</v>
      </c>
      <c r="O235">
        <f>-558.230151191358 -364.049055962935 -525.207144252562</f>
        <v>-1447.486351406855</v>
      </c>
      <c r="P235">
        <f>-600.621353045436 -422.414502258382 -239.921831361631</f>
        <v>-1262.9576866654488</v>
      </c>
      <c r="Q235">
        <f>-430.49550426189 -264.791174966969 -305.213220125838</f>
        <v>-1000.4998993546969</v>
      </c>
      <c r="R235">
        <f>-576.487273705208 -90.0210631036969 -101.579637469402</f>
        <v>-768.08797427830689</v>
      </c>
      <c r="S235" t="s">
        <v>1694</v>
      </c>
      <c r="T235" t="s">
        <v>1695</v>
      </c>
      <c r="U235" t="s">
        <v>1696</v>
      </c>
      <c r="V235">
        <f>-512.902302278583 -270.181714545307 -94.5298340047465</f>
        <v>-877.61385082863637</v>
      </c>
      <c r="W235" t="s">
        <v>1697</v>
      </c>
      <c r="X235" t="s">
        <v>1698</v>
      </c>
      <c r="Y235" t="s">
        <v>1699</v>
      </c>
    </row>
    <row r="236" spans="1:25" x14ac:dyDescent="0.3">
      <c r="A236">
        <v>11750</v>
      </c>
      <c r="B236" t="s">
        <v>1700</v>
      </c>
      <c r="C236">
        <f>-544.446073010716 -179.862230444538 -97.031855163679</f>
        <v>-821.34015861893295</v>
      </c>
      <c r="D236">
        <f>-571.13473042917 -193.727188568871 -208.887492875473</f>
        <v>-973.74941187351385</v>
      </c>
      <c r="E236">
        <f>-580.837080124357 -199.471981288445 -306.864735878593</f>
        <v>-1087.1737972913952</v>
      </c>
      <c r="F236">
        <f>-584.752020409795 -202.581369307918 -395.821184925459</f>
        <v>-1183.1545746431721</v>
      </c>
      <c r="G236">
        <f>-583.40266960932 -203.649651442581 -484.901324029924</f>
        <v>-1271.953645081825</v>
      </c>
      <c r="H236">
        <f>-575.947920060308 -203.134187001028 -609.259503031503</f>
        <v>-1388.3416100928389</v>
      </c>
      <c r="I236">
        <f>-539.193224045249 -194.119741304942 -683.238308166755</f>
        <v>-1416.5512735169459</v>
      </c>
      <c r="J236">
        <f>-584.685935428303 -176.195550992954 -554.75026703012</f>
        <v>-1315.6317534513769</v>
      </c>
      <c r="K236">
        <f>-616.464281289 -43.7469446081511 -536.160454606626</f>
        <v>-1196.371680503777</v>
      </c>
      <c r="L236">
        <f>-684.035529263179 -25.0583761769069 -250.370342033579</f>
        <v>-959.46424747366495</v>
      </c>
      <c r="M236" t="s">
        <v>1701</v>
      </c>
      <c r="N236">
        <f>-573.771016778117 -230.526406579893 -554.321051950942</f>
        <v>-1358.6184753089519</v>
      </c>
      <c r="O236">
        <f>-557.962740125757 -363.936136403622 -525.176603649375</f>
        <v>-1447.0754801787541</v>
      </c>
      <c r="P236">
        <f>-600.46932709844 -422.236094176879 -239.895088874746</f>
        <v>-1262.600510150065</v>
      </c>
      <c r="Q236">
        <f>-430.28491099003 -264.66280581541 -305.154680196365</f>
        <v>-1000.102397001805</v>
      </c>
      <c r="R236">
        <f>-576.370910501909 -89.8591717738987 -101.58264618532</f>
        <v>-767.81272846112756</v>
      </c>
      <c r="S236" t="s">
        <v>1702</v>
      </c>
      <c r="T236" t="s">
        <v>1703</v>
      </c>
      <c r="U236" t="s">
        <v>1704</v>
      </c>
      <c r="V236">
        <f>-512.806991666434 -270.060287382225 -94.5369228763819</f>
        <v>-877.40420192504087</v>
      </c>
      <c r="W236" t="s">
        <v>1705</v>
      </c>
      <c r="X236" t="s">
        <v>1706</v>
      </c>
      <c r="Y236" t="s">
        <v>1707</v>
      </c>
    </row>
    <row r="237" spans="1:25" x14ac:dyDescent="0.3">
      <c r="A237">
        <v>11800</v>
      </c>
      <c r="B237" t="s">
        <v>1708</v>
      </c>
      <c r="C237">
        <f>-544.28967998546 -179.56418385718 -97.0210760255283</f>
        <v>-820.87493986816833</v>
      </c>
      <c r="D237">
        <f>-570.962586974406 -193.397192703733 -208.884580740756</f>
        <v>-973.24436041889498</v>
      </c>
      <c r="E237">
        <f>-580.631995001991 -199.143045661766 -306.864781642043</f>
        <v>-1086.6398223058</v>
      </c>
      <c r="F237">
        <f>-584.510156254555 -202.264631681027 -395.822462421738</f>
        <v>-1182.59725035732</v>
      </c>
      <c r="G237">
        <f>-583.117586340165 -203.356131840995 -484.901712188589</f>
        <v>-1271.375430369749</v>
      </c>
      <c r="H237">
        <f>-575.596351480646 -202.884794538363 -609.256005502258</f>
        <v>-1387.7371515212669</v>
      </c>
      <c r="I237">
        <f>-538.763666748117 -193.947199789735 -683.205480909203</f>
        <v>-1415.9163474470549</v>
      </c>
      <c r="J237">
        <f>-584.357049184827 -175.925731272979 -554.760526431512</f>
        <v>-1315.043306889318</v>
      </c>
      <c r="K237">
        <f>-616.120150726929 -43.4675682415746 -536.226339321505</f>
        <v>-1195.8140582900085</v>
      </c>
      <c r="L237">
        <f>-683.753991758093 -24.5798173903286 -250.464071392982</f>
        <v>-958.79788054140352</v>
      </c>
      <c r="M237" t="s">
        <v>1709</v>
      </c>
      <c r="N237">
        <f>-573.455087280427 -230.25890808796 -554.307220981537</f>
        <v>-1358.0212163499241</v>
      </c>
      <c r="O237">
        <f>-557.704125529501 -363.666420866723 -525.104987288524</f>
        <v>-1446.4755336847479</v>
      </c>
      <c r="P237">
        <f>-600.360308495548 -421.797783359157 -239.81148691865</f>
        <v>-1261.9695787733549</v>
      </c>
      <c r="Q237">
        <f>-429.995236610301 -264.409007234432 -305.044662602483</f>
        <v>-999.4489064472159</v>
      </c>
      <c r="R237">
        <f>-576.174460050357 -89.4986423350597 -101.576746995789</f>
        <v>-767.24984938120565</v>
      </c>
      <c r="S237" t="s">
        <v>1710</v>
      </c>
      <c r="T237" t="s">
        <v>1711</v>
      </c>
      <c r="U237" t="s">
        <v>1712</v>
      </c>
      <c r="V237">
        <f>-512.701445022482 -269.796276062149 -94.5302561273609</f>
        <v>-877.02797721199181</v>
      </c>
      <c r="W237" t="s">
        <v>1713</v>
      </c>
      <c r="X237" t="s">
        <v>1714</v>
      </c>
      <c r="Y237" t="s">
        <v>1715</v>
      </c>
    </row>
    <row r="238" spans="1:25" x14ac:dyDescent="0.3">
      <c r="A238">
        <v>11850</v>
      </c>
      <c r="B238" t="s">
        <v>1716</v>
      </c>
      <c r="C238">
        <f>-544.222380811039 -179.406484975252 -97.0211072547107</f>
        <v>-820.64997304100177</v>
      </c>
      <c r="D238">
        <f>-570.902008934089 -193.228378823259 -208.884343005591</f>
        <v>-973.01473076293905</v>
      </c>
      <c r="E238">
        <f>-580.56461514905 -198.972240084823 -306.865441106578</f>
        <v>-1086.4022963404518</v>
      </c>
      <c r="F238">
        <f>-584.432082362617 -202.094787550743 -395.823472091476</f>
        <v>-1182.350342004836</v>
      </c>
      <c r="G238">
        <f>-583.024084427307 -203.1904068717 -484.902427306868</f>
        <v>-1271.1169186058751</v>
      </c>
      <c r="H238">
        <f>-575.476398790234 -202.727454099693 -609.255240930534</f>
        <v>-1387.459093820461</v>
      </c>
      <c r="I238">
        <f>-538.613350141139 -193.817490775295 -683.19276248692</f>
        <v>-1415.6236034033541</v>
      </c>
      <c r="J238">
        <f>-584.242950845994 -175.763351410899 -554.762979208966</f>
        <v>-1314.769281465859</v>
      </c>
      <c r="K238">
        <f>-615.977898713963 -43.2939347760694 -536.24752248916</f>
        <v>-1195.5193559791924</v>
      </c>
      <c r="L238">
        <f>-683.607069806649 -24.3521025857342 -250.487593252803</f>
        <v>-958.44676564518613</v>
      </c>
      <c r="M238" t="s">
        <v>1717</v>
      </c>
      <c r="N238">
        <f>-573.352598826559 -230.098897781746 -554.304445169537</f>
        <v>-1357.7559417778421</v>
      </c>
      <c r="O238">
        <f>-557.646406248488 -363.501272100739 -525.079268687788</f>
        <v>-1446.2269470370152</v>
      </c>
      <c r="P238">
        <f>-600.358022364292 -421.60350414525 -239.788085738339</f>
        <v>-1261.749612247881</v>
      </c>
      <c r="Q238">
        <f>-429.901524178217 -264.343818515934 -305.093635946061</f>
        <v>-999.33897864021208</v>
      </c>
      <c r="R238">
        <f>-576.06452636375 -89.3931699262255 -101.575160299702</f>
        <v>-767.03285658967752</v>
      </c>
      <c r="S238" t="s">
        <v>1718</v>
      </c>
      <c r="T238" t="s">
        <v>1719</v>
      </c>
      <c r="U238" t="s">
        <v>1720</v>
      </c>
      <c r="V238">
        <f>-512.664637324735 -269.582576879727 -94.5288784634263</f>
        <v>-876.77609266788841</v>
      </c>
      <c r="W238" t="s">
        <v>1721</v>
      </c>
      <c r="X238" t="s">
        <v>1722</v>
      </c>
      <c r="Y238" t="s">
        <v>1723</v>
      </c>
    </row>
    <row r="239" spans="1:25" x14ac:dyDescent="0.3">
      <c r="A239">
        <v>11900</v>
      </c>
      <c r="B239" t="s">
        <v>1724</v>
      </c>
      <c r="C239">
        <f>-544.218580712954 -179.107016699294 -97.0337434202418</f>
        <v>-820.35934083248981</v>
      </c>
      <c r="D239">
        <f>-570.917105776343 -192.920284932628 -208.893413815907</f>
        <v>-972.73080452487795</v>
      </c>
      <c r="E239">
        <f>-580.60053403351 -198.668007662406 -306.872346083402</f>
        <v>-1086.1408877793181</v>
      </c>
      <c r="F239">
        <f>-584.488535867601 -201.798523820194 -395.829220642074</f>
        <v>-1182.1162803298689</v>
      </c>
      <c r="G239">
        <f>-583.103068223361 -202.906856378901 -484.908300046636</f>
        <v>-1270.9182246488981</v>
      </c>
      <c r="H239">
        <f>-575.588754814857 -202.467244375429 -609.263287559312</f>
        <v>-1387.3192867495979</v>
      </c>
      <c r="I239">
        <f>-538.697564105287 -193.620803961914 -683.194377039014</f>
        <v>-1415.5127451062149</v>
      </c>
      <c r="J239">
        <f>-584.313867453974 -175.487575681574 -554.772120747287</f>
        <v>-1314.5735638828351</v>
      </c>
      <c r="K239">
        <f>-615.905918697208 -42.9858408219266 -536.255359641822</f>
        <v>-1195.1471191609567</v>
      </c>
      <c r="L239">
        <f>-683.492578643165 -23.8464726077768 -250.498561430431</f>
        <v>-957.83761268137278</v>
      </c>
      <c r="M239" t="s">
        <v>1725</v>
      </c>
      <c r="N239">
        <f>-573.477131350807 -229.833821866179 -554.309497130197</f>
        <v>-1357.6204503471831</v>
      </c>
      <c r="O239">
        <f>-557.882456788848 -363.253434552136 -525.096375381181</f>
        <v>-1446.2322667221651</v>
      </c>
      <c r="P239">
        <f>-600.597886987613 -421.290800590435 -239.792469666126</f>
        <v>-1261.6811572441741</v>
      </c>
      <c r="Q239">
        <f>-429.89674228806 -264.344050090589 -305.212190926928</f>
        <v>-999.45298330557705</v>
      </c>
      <c r="R239">
        <f>-576.002115760582 -89.0852503731255 -101.570929424553</f>
        <v>-766.65829555826053</v>
      </c>
      <c r="S239" t="s">
        <v>1726</v>
      </c>
      <c r="T239" t="s">
        <v>1727</v>
      </c>
      <c r="U239" t="s">
        <v>1728</v>
      </c>
      <c r="V239">
        <f>-512.721172218495 -269.306695071486 -94.526429189387</f>
        <v>-876.55429647936808</v>
      </c>
      <c r="W239" t="s">
        <v>1729</v>
      </c>
      <c r="X239" t="s">
        <v>1730</v>
      </c>
      <c r="Y239" t="s">
        <v>1731</v>
      </c>
    </row>
    <row r="240" spans="1:25" x14ac:dyDescent="0.3">
      <c r="A240">
        <v>11950</v>
      </c>
      <c r="B240" t="s">
        <v>1732</v>
      </c>
      <c r="C240">
        <f>-544.28432876356 -179.010398942234 -97.0275734338743</f>
        <v>-820.3223011396683</v>
      </c>
      <c r="D240">
        <f>-570.993530272449 -192.829500827448 -208.88404037025</f>
        <v>-972.70707147014696</v>
      </c>
      <c r="E240">
        <f>-580.703702747034 -198.589046206814 -306.859550250652</f>
        <v>-1086.1522992045</v>
      </c>
      <c r="F240">
        <f>-584.622515340313 -201.733473475242 -395.81451987946</f>
        <v>-1182.1705086950151</v>
      </c>
      <c r="G240">
        <f>-583.274666738329 -202.859149370862 -484.894060653147</f>
        <v>-1271.0278767623381</v>
      </c>
      <c r="H240">
        <f>-575.819588739533 -202.448054742811 -609.252757763098</f>
        <v>-1387.5204012454419</v>
      </c>
      <c r="I240">
        <f>-538.925840925474 -193.638405866659 -683.186826047687</f>
        <v>-1415.7510728398199</v>
      </c>
      <c r="J240">
        <f>-584.498862279031 -175.451903284893 -554.762373251924</f>
        <v>-1314.713138815848</v>
      </c>
      <c r="K240">
        <f>-615.976150816786 -42.9206705898198 -536.239956948682</f>
        <v>-1195.1367783552878</v>
      </c>
      <c r="L240">
        <f>-683.501874098846 -23.6283702942274 -250.479002569955</f>
        <v>-957.60924696302834</v>
      </c>
      <c r="M240" t="s">
        <v>1733</v>
      </c>
      <c r="N240">
        <f>-573.701681153377 -229.806063730721 -554.294753208813</f>
        <v>-1357.8024980929108</v>
      </c>
      <c r="O240">
        <f>-558.169769516617 -363.232839683995 -525.098079394887</f>
        <v>-1446.500688595499</v>
      </c>
      <c r="P240">
        <f>-600.777024150319 -421.299817620741 -239.784157326503</f>
        <v>-1261.8609990975631</v>
      </c>
      <c r="Q240">
        <f>-430.09508495399 -264.367345538346 -305.287652656034</f>
        <v>-999.75008314837009</v>
      </c>
      <c r="R240">
        <f>-576.036722084882 -88.9579403568528 -101.571056485393</f>
        <v>-766.5657189271277</v>
      </c>
      <c r="S240" t="s">
        <v>1734</v>
      </c>
      <c r="T240" t="s">
        <v>1735</v>
      </c>
      <c r="U240" t="s">
        <v>1736</v>
      </c>
      <c r="V240">
        <f>-512.810387977811 -269.233718465266 -94.5151355250831</f>
        <v>-876.55924196816011</v>
      </c>
      <c r="W240" t="s">
        <v>1737</v>
      </c>
      <c r="X240" t="s">
        <v>1738</v>
      </c>
      <c r="Y240" t="s">
        <v>1739</v>
      </c>
    </row>
    <row r="241" spans="1:25" x14ac:dyDescent="0.3">
      <c r="A241">
        <v>12000</v>
      </c>
      <c r="B241" t="s">
        <v>1740</v>
      </c>
      <c r="C241">
        <f>-544.35936149722 -178.928712766923 -97.0225472221854</f>
        <v>-820.31062148632839</v>
      </c>
      <c r="D241">
        <f>-571.112629107487 -192.763901151186 -208.866451911951</f>
        <v>-972.74298217062403</v>
      </c>
      <c r="E241">
        <f>-580.921370569233 -198.568547118741 -306.829474767334</f>
        <v>-1086.3193924553079</v>
      </c>
      <c r="F241">
        <f>-584.953698372549 -201.766913526448 -395.777450583607</f>
        <v>-1182.4980624826039</v>
      </c>
      <c r="G241">
        <f>-583.743293986833 -202.96079680358 -484.858098854752</f>
        <v>-1271.5621896451651</v>
      </c>
      <c r="H241">
        <f>-576.504741480722 -202.660369797278 -609.229742806471</f>
        <v>-1388.394854084471</v>
      </c>
      <c r="I241">
        <f>-539.632567285243 -193.947365324226 -683.186233814418</f>
        <v>-1416.7661664238869</v>
      </c>
      <c r="J241">
        <f>-585.041976460181 -175.606380727656 -554.745855599651</f>
        <v>-1315.394212787488</v>
      </c>
      <c r="K241">
        <f>-616.247696853193 -43.0126191732395 -536.202443564524</f>
        <v>-1195.4627595909565</v>
      </c>
      <c r="L241">
        <f>-683.502582223786 -23.4710544892203 -250.394603455491</f>
        <v>-957.36824016849732</v>
      </c>
      <c r="M241" t="s">
        <v>1741</v>
      </c>
      <c r="N241">
        <f>-574.338182560511 -229.978836621048 -554.254121489524</f>
        <v>-1358.571140671083</v>
      </c>
      <c r="O241">
        <f>-558.928211418258 -363.42771935587 -525.087957451988</f>
        <v>-1447.4438882261161</v>
      </c>
      <c r="P241">
        <f>-601.381368362954 -421.383042552399 -239.728385967591</f>
        <v>-1262.492796882944</v>
      </c>
      <c r="Q241">
        <f>-430.448347781015 -264.849865731651 -305.532327943974</f>
        <v>-1000.83054145664</v>
      </c>
      <c r="R241">
        <f>-576.032243563033 -88.8676482304954 -101.582702974175</f>
        <v>-766.48259476770352</v>
      </c>
      <c r="S241" t="s">
        <v>1742</v>
      </c>
      <c r="T241" t="s">
        <v>1743</v>
      </c>
      <c r="U241" t="s">
        <v>1744</v>
      </c>
      <c r="V241">
        <f>-512.962041266946 -269.197569371649 -94.5046098043348</f>
        <v>-876.66422044292983</v>
      </c>
      <c r="W241" t="s">
        <v>1745</v>
      </c>
      <c r="X241" t="s">
        <v>1746</v>
      </c>
      <c r="Y241" t="s">
        <v>1747</v>
      </c>
    </row>
    <row r="242" spans="1:25" x14ac:dyDescent="0.3">
      <c r="A242">
        <v>12050</v>
      </c>
      <c r="B242" t="s">
        <v>1748</v>
      </c>
      <c r="C242">
        <f>-544.451637648639 -178.949964619725 -97.034382157802</f>
        <v>-820.4359844261661</v>
      </c>
      <c r="D242">
        <f>-571.213561822709 -192.780192254734 -208.876822566432</f>
        <v>-972.8705766438751</v>
      </c>
      <c r="E242">
        <f>-581.080139554213 -198.614042316964 -306.832346477553</f>
        <v>-1086.5265283487302</v>
      </c>
      <c r="F242">
        <f>-585.185416513634 -201.852938499512 -395.775684217768</f>
        <v>-1182.814039230914</v>
      </c>
      <c r="G242">
        <f>-584.068170284923 -203.10227279899 -484.856610876468</f>
        <v>-1272.027053960381</v>
      </c>
      <c r="H242">
        <f>-576.981021504094 -202.895014480518 -609.237306590983</f>
        <v>-1389.113342575595</v>
      </c>
      <c r="I242">
        <f>-540.131449197705 -194.256882199051 -683.213783551879</f>
        <v>-1417.6021149486351</v>
      </c>
      <c r="J242">
        <f>-585.417573691291 -175.793549763192 -554.76115100486</f>
        <v>-1315.972274459343</v>
      </c>
      <c r="K242">
        <f>-616.450012784014 -43.16154885742 -536.202734746348</f>
        <v>-1195.8142963877822</v>
      </c>
      <c r="L242">
        <f>-683.541702987623 -23.5070238523517 -250.364256720922</f>
        <v>-957.41298356089669</v>
      </c>
      <c r="M242" t="s">
        <v>1749</v>
      </c>
      <c r="N242">
        <f>-574.781971008014 -230.178992173318 -554.245824116844</f>
        <v>-1359.2067872981761</v>
      </c>
      <c r="O242">
        <f>-559.447372704245 -363.638539745712 -525.095459730546</f>
        <v>-1448.1813721805031</v>
      </c>
      <c r="P242">
        <f>-601.765367338473 -421.627195100414 -239.722447716307</f>
        <v>-1263.1150101551939</v>
      </c>
      <c r="Q242">
        <f>-430.652324541911 -265.414854464161 -305.819793113696</f>
        <v>-1001.886972119768</v>
      </c>
      <c r="R242">
        <f>-576.074914874585 -88.9180936311902 -101.582485162961</f>
        <v>-766.57549366873627</v>
      </c>
      <c r="S242" t="s">
        <v>1750</v>
      </c>
      <c r="T242" t="s">
        <v>1751</v>
      </c>
      <c r="U242" t="s">
        <v>1752</v>
      </c>
      <c r="V242">
        <f>-513.097825995588 -269.196511906979 -94.4893833846178</f>
        <v>-876.78372128718479</v>
      </c>
      <c r="W242" t="s">
        <v>1753</v>
      </c>
      <c r="X242" t="s">
        <v>1754</v>
      </c>
      <c r="Y242" t="s">
        <v>1755</v>
      </c>
    </row>
    <row r="243" spans="1:25" x14ac:dyDescent="0.3">
      <c r="A243">
        <v>12100</v>
      </c>
      <c r="B243" t="s">
        <v>1756</v>
      </c>
      <c r="C243">
        <f>-544.833431057488 -179.244202208526 -97.0120867338335</f>
        <v>-821.08971999984749</v>
      </c>
      <c r="D243">
        <f>-571.562594243793 -193.050531663113 -208.865357796265</f>
        <v>-973.47848370317104</v>
      </c>
      <c r="E243">
        <f>-581.518275436531 -198.925426915624 -306.80931315716</f>
        <v>-1087.253015509315</v>
      </c>
      <c r="F243">
        <f>-585.752090542933 -202.226411495904 -395.744322298999</f>
        <v>-1183.7228243378361</v>
      </c>
      <c r="G243">
        <f>-584.811113497794 -203.56373283802 -484.826105304426</f>
        <v>-1273.20095164024</v>
      </c>
      <c r="H243">
        <f>-578.019924026501 -203.507249784161 -609.223323999665</f>
        <v>-1390.750497810327</v>
      </c>
      <c r="I243">
        <f>-541.232777416343 -195.020073411189 -683.248427282013</f>
        <v>-1419.5012781095452</v>
      </c>
      <c r="J243">
        <f>-586.258831029719 -176.326489403144 -554.756499133088</f>
        <v>-1317.341819565951</v>
      </c>
      <c r="K243">
        <f>-616.931857234078 -43.6221163475366 -536.167812292912</f>
        <v>-1196.7217858745266</v>
      </c>
      <c r="L243">
        <f>-683.64449857094 -23.8012601280475 -250.252315832</f>
        <v>-957.69807453098747</v>
      </c>
      <c r="M243" t="s">
        <v>1757</v>
      </c>
      <c r="N243">
        <f>-575.757959873138 -230.73772497567 -554.207977419217</f>
        <v>-1360.7036622680248</v>
      </c>
      <c r="O243">
        <f>-560.565457251088 -364.233280956372 -525.11347029804</f>
        <v>-1449.9122085055001</v>
      </c>
      <c r="P243">
        <f>-602.739460327149 -422.298841989991 -239.734937406259</f>
        <v>-1264.773239723399</v>
      </c>
      <c r="Q243">
        <f>-431.526253066982 -266.201349813218 -305.844464122981</f>
        <v>-1003.572067003181</v>
      </c>
      <c r="R243">
        <f>-576.32216348461 -89.0541756870089 -101.57003489558</f>
        <v>-766.9463740671988</v>
      </c>
      <c r="S243" t="s">
        <v>1758</v>
      </c>
      <c r="T243" t="s">
        <v>1759</v>
      </c>
      <c r="U243" t="s">
        <v>1760</v>
      </c>
      <c r="V243">
        <f>-513.598323634861 -269.654106429203 -94.4370818098524</f>
        <v>-877.68951187391644</v>
      </c>
      <c r="W243" t="s">
        <v>1761</v>
      </c>
      <c r="X243" t="s">
        <v>1762</v>
      </c>
      <c r="Y243" t="s">
        <v>1763</v>
      </c>
    </row>
    <row r="244" spans="1:25" x14ac:dyDescent="0.3">
      <c r="A244">
        <v>12150</v>
      </c>
      <c r="B244" t="s">
        <v>1764</v>
      </c>
      <c r="C244">
        <f>-545.119600205823 -179.324808775729 -96.9726287293055</f>
        <v>-821.41703771085747</v>
      </c>
      <c r="D244">
        <f>-571.829791953013 -193.102464158126 -208.833982661976</f>
        <v>-973.76623877311499</v>
      </c>
      <c r="E244">
        <f>-581.812654704393 -198.98987361671 -306.77448347157</f>
        <v>-1087.5770117926731</v>
      </c>
      <c r="F244">
        <f>-586.089445114908 -202.317381792799 -395.706366000955</f>
        <v>-1184.1131929086619</v>
      </c>
      <c r="G244">
        <f>-585.209367530117 -203.697187001868 -484.788160613433</f>
        <v>-1273.6947151454178</v>
      </c>
      <c r="H244">
        <f>-578.522699307515 -203.716889131911 -609.191107895258</f>
        <v>-1391.4306963346839</v>
      </c>
      <c r="I244">
        <f>-541.766599936044 -195.306672465854 -683.240249589966</f>
        <v>-1420.313521991864</v>
      </c>
      <c r="J244">
        <f>-586.677056541584 -176.495252138301 -554.731900730335</f>
        <v>-1317.9042094102201</v>
      </c>
      <c r="K244">
        <f>-617.138338294899 -43.7366937701606 -536.135196730563</f>
        <v>-1197.0102287956227</v>
      </c>
      <c r="L244">
        <f>-683.731613240107 -23.7982810684668 -250.199739004348</f>
        <v>-957.72963331292181</v>
      </c>
      <c r="M244" t="s">
        <v>1765</v>
      </c>
      <c r="N244">
        <f>-576.253119679902 -230.921139750079 -554.162983328263</f>
        <v>-1361.337242758244</v>
      </c>
      <c r="O244">
        <f>-561.182224514039 -364.435555792996 -525.117770597562</f>
        <v>-1450.7355509045969</v>
      </c>
      <c r="P244">
        <f>-603.360108772107 -422.480063824367 -239.735461878495</f>
        <v>-1265.5756344749691</v>
      </c>
      <c r="Q244">
        <f>-431.915796658112 -266.531869570614 -305.597848273819</f>
        <v>-1004.0455145025451</v>
      </c>
      <c r="R244">
        <f>-576.548308298959 -89.0188320812917 -101.548700454855</f>
        <v>-767.1158408351057</v>
      </c>
      <c r="S244" t="s">
        <v>1766</v>
      </c>
      <c r="T244" t="s">
        <v>1767</v>
      </c>
      <c r="U244" t="s">
        <v>1768</v>
      </c>
      <c r="V244">
        <f>-513.982302058921 -269.805291219596 -94.4069616038828</f>
        <v>-878.19455488239987</v>
      </c>
      <c r="W244" t="s">
        <v>1769</v>
      </c>
      <c r="X244" t="s">
        <v>1770</v>
      </c>
      <c r="Y244" t="s">
        <v>1771</v>
      </c>
    </row>
    <row r="245" spans="1:25" x14ac:dyDescent="0.3">
      <c r="A245">
        <v>12200</v>
      </c>
      <c r="B245" t="s">
        <v>1772</v>
      </c>
      <c r="C245">
        <f>-545.701380136032 -179.472169369421 -96.8799145062889</f>
        <v>-822.05346401174177</v>
      </c>
      <c r="D245">
        <f>-572.426472498996 -193.247741802167 -208.737866276081</f>
        <v>-974.41208057724396</v>
      </c>
      <c r="E245">
        <f>-582.4710211229 -199.160033533749 -306.670594769634</f>
        <v>-1088.3016494262829</v>
      </c>
      <c r="F245">
        <f>-586.822602293469 -202.522110083584 -395.597553860231</f>
        <v>-1184.942266237284</v>
      </c>
      <c r="G245">
        <f>-586.036116051945 -203.950811799118 -484.67940519038</f>
        <v>-1274.6663330414431</v>
      </c>
      <c r="H245">
        <f>-579.498675987376 -204.054667017286 -609.09035635265</f>
        <v>-1392.643699357312</v>
      </c>
      <c r="I245">
        <f>-542.785905880701 -195.774515605866 -683.17561734263</f>
        <v>-1421.7360388291968</v>
      </c>
      <c r="J245">
        <f>-587.50506947732 -176.780392348333 -554.635527329923</f>
        <v>-1318.9209891555761</v>
      </c>
      <c r="K245">
        <f>-617.468276268839 -43.9122082338433 -536.069899814957</f>
        <v>-1197.4503843176394</v>
      </c>
      <c r="L245">
        <f>-683.940144801826 -23.4936312756142 -250.140265162655</f>
        <v>-957.57404124009531</v>
      </c>
      <c r="M245" t="s">
        <v>1773</v>
      </c>
      <c r="N245">
        <f>-577.245955783246 -231.23751640095 -554.050924460331</f>
        <v>-1362.5343966445271</v>
      </c>
      <c r="O245">
        <f>-562.483457456292 -364.805106894284 -525.048374632953</f>
        <v>-1452.3369389835289</v>
      </c>
      <c r="P245">
        <f>-604.707751066115 -423.018169296117 -239.707124855823</f>
        <v>-1267.433045218055</v>
      </c>
      <c r="Q245">
        <f>-432.866187483914 -267.223992401057 -304.89578435223</f>
        <v>-1004.985964237201</v>
      </c>
      <c r="R245">
        <f>-576.963646095309 -89.0147310324844 -101.49848855851</f>
        <v>-767.47686568630331</v>
      </c>
      <c r="S245" t="s">
        <v>1774</v>
      </c>
      <c r="T245" t="s">
        <v>1775</v>
      </c>
      <c r="U245" t="s">
        <v>1776</v>
      </c>
      <c r="V245">
        <f>-514.733158633183 -270.109855414695 -94.3198354723511</f>
        <v>-879.1628495202292</v>
      </c>
      <c r="W245" t="s">
        <v>1777</v>
      </c>
      <c r="X245" t="s">
        <v>1778</v>
      </c>
      <c r="Y245" t="s">
        <v>1779</v>
      </c>
    </row>
    <row r="246" spans="1:25" x14ac:dyDescent="0.3">
      <c r="A246">
        <v>12250</v>
      </c>
      <c r="B246" t="s">
        <v>1780</v>
      </c>
      <c r="C246">
        <f>-545.916504436352 -179.471790290779 -96.8447938420647</f>
        <v>-822.23308856919584</v>
      </c>
      <c r="D246">
        <f>-572.66313640894 -193.248367947833 -208.697569903024</f>
        <v>-974.60907425979701</v>
      </c>
      <c r="E246">
        <f>-582.738343509526 -199.167544119318 -306.626737606996</f>
        <v>-1088.53262523584</v>
      </c>
      <c r="F246">
        <f>-587.122403786884 -202.538208003828 -395.551741255487</f>
        <v>-1185.212353046199</v>
      </c>
      <c r="G246">
        <f>-586.372995030545 -203.979020430203 -484.633711893421</f>
        <v>-1274.9857273541691</v>
      </c>
      <c r="H246">
        <f>-579.891568059028 -204.104084787072 -609.047564028454</f>
        <v>-1393.043216874554</v>
      </c>
      <c r="I246">
        <f>-543.183471413628 -195.879421623662 -683.141325980568</f>
        <v>-1422.2042190178581</v>
      </c>
      <c r="J246">
        <f>-587.834767683872 -176.813427463984 -554.59179983919</f>
        <v>-1319.239994987046</v>
      </c>
      <c r="K246">
        <f>-617.558958253988 -43.886726629418 -536.046215883246</f>
        <v>-1197.491900766652</v>
      </c>
      <c r="L246">
        <f>-683.961688865949 -23.0802300487815 -250.128467055302</f>
        <v>-957.17038597003238</v>
      </c>
      <c r="M246" t="s">
        <v>1781</v>
      </c>
      <c r="N246">
        <f>-577.652464966157 -231.284909825932 -554.006606108798</f>
        <v>-1362.943980900887</v>
      </c>
      <c r="O246">
        <f>-563.040503321434 -364.868877051929 -525.033340175767</f>
        <v>-1452.9427205491302</v>
      </c>
      <c r="P246">
        <f>-605.350524908847 -423.128502585131 -239.714349272088</f>
        <v>-1268.193376766066</v>
      </c>
      <c r="Q246">
        <f>-433.403763009312 -267.396060341719 -304.772855384331</f>
        <v>-1005.572678735362</v>
      </c>
      <c r="R246">
        <f>-577.079563412442 -89.0101852900311 -101.475855374321</f>
        <v>-767.5656040767941</v>
      </c>
      <c r="S246" t="s">
        <v>1782</v>
      </c>
      <c r="T246" t="s">
        <v>1783</v>
      </c>
      <c r="U246" t="s">
        <v>1784</v>
      </c>
      <c r="V246">
        <f>-515.011962464044 -270.10854860984 -94.2828177881793</f>
        <v>-879.40332886206329</v>
      </c>
      <c r="W246" t="s">
        <v>1785</v>
      </c>
      <c r="X246" t="s">
        <v>1786</v>
      </c>
      <c r="Y246" t="s">
        <v>1787</v>
      </c>
    </row>
    <row r="247" spans="1:25" x14ac:dyDescent="0.3">
      <c r="A247">
        <v>12300</v>
      </c>
      <c r="B247" t="s">
        <v>1788</v>
      </c>
      <c r="C247">
        <f>-546.276262016869 -179.33707163251 -96.8176733507051</f>
        <v>-822.43100700008415</v>
      </c>
      <c r="D247">
        <f>-573.077650751127 -193.102912882774 -208.658779318991</f>
        <v>-974.83934295289203</v>
      </c>
      <c r="E247">
        <f>-583.204796448718 -199.036331696536 -306.581630305873</f>
        <v>-1088.8227584511269</v>
      </c>
      <c r="F247">
        <f>-587.637713432921 -202.429853333226 -395.503269141289</f>
        <v>-1185.570835907436</v>
      </c>
      <c r="G247">
        <f>-586.938666406697 -203.904879538287 -484.585210586005</f>
        <v>-1275.4287565309892</v>
      </c>
      <c r="H247">
        <f>-580.52957045676 -204.090773520117 -609.002747723442</f>
        <v>-1393.623091700319</v>
      </c>
      <c r="I247">
        <f>-543.7946900855 -195.989331197076 -683.096758914753</f>
        <v>-1422.8807801973289</v>
      </c>
      <c r="J247">
        <f>-588.370059211636 -176.760133461853 -554.552037298071</f>
        <v>-1319.68222997156</v>
      </c>
      <c r="K247">
        <f>-617.623789695207 -43.7265401926484 -536.032588371465</f>
        <v>-1197.3829182593204</v>
      </c>
      <c r="L247">
        <f>-683.675999131644 -22.2280929260983 -250.084843984684</f>
        <v>-955.98893604242619</v>
      </c>
      <c r="M247" t="s">
        <v>1789</v>
      </c>
      <c r="N247">
        <f>-578.329790475854 -231.25771843037 -553.953423731784</f>
        <v>-1363.5409326380081</v>
      </c>
      <c r="O247">
        <f>-563.98369322467 -364.872382213242 -524.970240648108</f>
        <v>-1453.8263160860201</v>
      </c>
      <c r="P247">
        <f>-606.407176582752 -423.093121233028 -239.660208168012</f>
        <v>-1269.1605059837921</v>
      </c>
      <c r="Q247">
        <f>-434.205341477114 -267.547055243157 -304.489100395538</f>
        <v>-1006.241497115809</v>
      </c>
      <c r="R247">
        <f>-577.271667417071 -88.7668276442644 -101.46011648924</f>
        <v>-767.49861155057533</v>
      </c>
      <c r="S247" t="s">
        <v>1790</v>
      </c>
      <c r="T247" t="s">
        <v>1791</v>
      </c>
      <c r="U247" t="s">
        <v>1792</v>
      </c>
      <c r="V247">
        <f>-515.534444963531 -270.089328907877 -94.2261154503756</f>
        <v>-879.84988932178362</v>
      </c>
      <c r="W247" t="s">
        <v>1793</v>
      </c>
      <c r="X247" t="s">
        <v>1794</v>
      </c>
      <c r="Y247" t="s">
        <v>1795</v>
      </c>
    </row>
    <row r="248" spans="1:25" x14ac:dyDescent="0.3">
      <c r="A248">
        <v>12350</v>
      </c>
      <c r="B248" t="s">
        <v>1796</v>
      </c>
      <c r="C248">
        <f>-546.43509257004 -179.285413965044 -96.8006165639023</f>
        <v>-822.52112309898621</v>
      </c>
      <c r="D248">
        <f>-573.265450311872 -193.030910856944 -208.637113865091</f>
        <v>-974.93347503390703</v>
      </c>
      <c r="E248">
        <f>-583.408906688753 -198.968406585036 -306.558073578332</f>
        <v>-1088.9353868521212</v>
      </c>
      <c r="F248">
        <f>-587.853692982277 -202.373964211823 -395.478759483255</f>
        <v>-1185.706416677355</v>
      </c>
      <c r="G248">
        <f>-587.163631768284 -203.869924573778 -484.560364617085</f>
        <v>-1275.593920959147</v>
      </c>
      <c r="H248">
        <f>-580.764228286516 -204.094376563325 -608.978332325826</f>
        <v>-1393.8369371756671</v>
      </c>
      <c r="I248">
        <f>-544.013716076577 -196.051049661773 -683.071104463185</f>
        <v>-1423.135870201535</v>
      </c>
      <c r="J248">
        <f>-588.568976337216 -176.74099031976 -554.533824575574</f>
        <v>-1319.8437912325501</v>
      </c>
      <c r="K248">
        <f>-617.601192182677 -43.6527550417109 -536.047152996509</f>
        <v>-1197.3011002208968</v>
      </c>
      <c r="L248">
        <f>-683.513096079611 -21.801399241155 -250.093744067255</f>
        <v>-955.408239388021</v>
      </c>
      <c r="M248" t="s">
        <v>1797</v>
      </c>
      <c r="N248">
        <f>-578.591583445066 -231.250186171186 -553.922345125628</f>
        <v>-1363.7641147418799</v>
      </c>
      <c r="O248">
        <f>-564.337557197942 -364.869954805851 -524.934598420497</f>
        <v>-1454.14211042429</v>
      </c>
      <c r="P248">
        <f>-606.80373773905 -423.036260013651 -239.619882141543</f>
        <v>-1269.4598798942441</v>
      </c>
      <c r="Q248">
        <f>-434.527881037386 -267.575092660303 -304.456008267855</f>
        <v>-1006.558981965544</v>
      </c>
      <c r="R248">
        <f>-577.330821971771 -88.654392073335 -101.44393328288</f>
        <v>-767.42914732798602</v>
      </c>
      <c r="S248" t="s">
        <v>1798</v>
      </c>
      <c r="T248" t="s">
        <v>1799</v>
      </c>
      <c r="U248" t="s">
        <v>1800</v>
      </c>
      <c r="V248">
        <f>-515.784438369858 -270.113365512774 -94.2018871729493</f>
        <v>-880.09969105558127</v>
      </c>
      <c r="W248" t="s">
        <v>1801</v>
      </c>
      <c r="X248" t="s">
        <v>1802</v>
      </c>
      <c r="Y248" t="s">
        <v>1803</v>
      </c>
    </row>
    <row r="249" spans="1:25" x14ac:dyDescent="0.3">
      <c r="A249">
        <v>12400</v>
      </c>
      <c r="B249" t="s">
        <v>1804</v>
      </c>
      <c r="C249">
        <f>-546.589835499934 -179.25644642927 -96.7683036817972</f>
        <v>-822.61458561100119</v>
      </c>
      <c r="D249">
        <f>-573.42271651231 -192.934769225592 -208.612461739504</f>
        <v>-974.96994747740587</v>
      </c>
      <c r="E249">
        <f>-583.588468517412 -198.888589385727 -306.530166793104</f>
        <v>-1089.0072246962429</v>
      </c>
      <c r="F249">
        <f>-588.063354028802 -202.336567676455 -395.447665744281</f>
        <v>-1185.847587449538</v>
      </c>
      <c r="G249">
        <f>-587.414862590206 -203.902581114649 -484.528429618936</f>
        <v>-1275.845873323791</v>
      </c>
      <c r="H249">
        <f>-581.085464644116 -204.253497434765 -608.949538749601</f>
        <v>-1394.288500828482</v>
      </c>
      <c r="I249">
        <f>-544.333573315789 -196.354075266416 -683.057173218539</f>
        <v>-1423.7448218007439</v>
      </c>
      <c r="J249">
        <f>-588.792576149296 -176.83267253907 -554.525239452356</f>
        <v>-1320.150488140722</v>
      </c>
      <c r="K249">
        <f>-617.419031733701 -43.6388678867606 -536.151479896351</f>
        <v>-1197.2093795168125</v>
      </c>
      <c r="L249">
        <f>-682.9651756791 -21.2234613408473 -250.157665974932</f>
        <v>-954.34630299487924</v>
      </c>
      <c r="M249" t="s">
        <v>1805</v>
      </c>
      <c r="N249">
        <f>-578.948641860977 -231.365548653072 -553.87064238115</f>
        <v>-1364.184832895199</v>
      </c>
      <c r="O249">
        <f>-564.92519360738 -364.998242683765 -524.84361133856</f>
        <v>-1454.7670476297048</v>
      </c>
      <c r="P249">
        <f>-607.398383748087 -423.12455553631 -239.521806834284</f>
        <v>-1270.0447461186811</v>
      </c>
      <c r="Q249">
        <f>-434.934481462879 -267.872345111907 -304.358425190545</f>
        <v>-1007.165251765331</v>
      </c>
      <c r="R249">
        <f>-577.240985143092 -88.4593053097976 -101.399663547932</f>
        <v>-767.09995400082153</v>
      </c>
      <c r="S249" t="s">
        <v>1806</v>
      </c>
      <c r="T249" t="s">
        <v>1807</v>
      </c>
      <c r="U249" t="s">
        <v>1808</v>
      </c>
      <c r="V249">
        <f>-516.202873903986 -270.241732896809 -94.1510822632899</f>
        <v>-880.59568906408492</v>
      </c>
      <c r="W249" t="s">
        <v>1809</v>
      </c>
      <c r="X249" t="s">
        <v>1810</v>
      </c>
      <c r="Y249" t="s">
        <v>1811</v>
      </c>
    </row>
    <row r="250" spans="1:25" x14ac:dyDescent="0.3">
      <c r="A250">
        <v>12450</v>
      </c>
      <c r="B250" t="s">
        <v>1812</v>
      </c>
      <c r="C250">
        <f>-546.618295765796 -179.088591465373 -96.7359743835071</f>
        <v>-822.44286161467619</v>
      </c>
      <c r="D250">
        <f>-573.466166596207 -192.739260313738 -208.579917210219</f>
        <v>-974.78534412016404</v>
      </c>
      <c r="E250">
        <f>-583.652534476089 -198.698669694097 -306.495054912613</f>
        <v>-1088.846259082799</v>
      </c>
      <c r="F250">
        <f>-588.150474927599 -202.162694466483 -395.410867812357</f>
        <v>-1185.7240372064391</v>
      </c>
      <c r="G250">
        <f>-587.528611992311 -203.756582059519 -484.491242563044</f>
        <v>-1275.776436614874</v>
      </c>
      <c r="H250">
        <f>-581.241175494535 -204.158692057004 -608.914400771233</f>
        <v>-1394.314268322772</v>
      </c>
      <c r="I250">
        <f>-544.50076294334 -196.340127797909 -683.036154679707</f>
        <v>-1423.8770454209559</v>
      </c>
      <c r="J250">
        <f>-588.893015091595 -176.708754006728 -554.496897687252</f>
        <v>-1320.098666785575</v>
      </c>
      <c r="K250">
        <f>-617.280781698882 -43.4601001538042 -536.183400505752</f>
        <v>-1196.9242823584382</v>
      </c>
      <c r="L250">
        <f>-682.698426884933 -20.8472205409298 -250.175682982705</f>
        <v>-953.72133040856784</v>
      </c>
      <c r="M250" t="s">
        <v>1813</v>
      </c>
      <c r="N250">
        <f>-579.123077164772 -231.25475398484 -553.826932139008</f>
        <v>-1364.2047632886201</v>
      </c>
      <c r="O250">
        <f>-565.238809726745 -364.907629189108 -524.792712389264</f>
        <v>-1454.9391513051169</v>
      </c>
      <c r="P250">
        <f>-607.697681297985 -422.999777580143 -239.46173466153</f>
        <v>-1270.1591935396582</v>
      </c>
      <c r="Q250">
        <f>-435.126543441024 -267.87461043954 -304.317448042665</f>
        <v>-1007.318601923229</v>
      </c>
      <c r="R250">
        <f>-577.148742319482 -88.2477538734329 -101.38563093561</f>
        <v>-766.78212712852496</v>
      </c>
      <c r="S250" t="s">
        <v>1814</v>
      </c>
      <c r="T250" t="s">
        <v>1815</v>
      </c>
      <c r="U250" t="s">
        <v>1816</v>
      </c>
      <c r="V250">
        <f>-516.39473747438 -270.059943550319 -94.1285338811208</f>
        <v>-880.58321490581989</v>
      </c>
      <c r="W250" t="s">
        <v>1817</v>
      </c>
      <c r="X250" t="s">
        <v>1818</v>
      </c>
      <c r="Y250" t="s">
        <v>1819</v>
      </c>
    </row>
    <row r="251" spans="1:25" x14ac:dyDescent="0.3">
      <c r="A251">
        <v>12500</v>
      </c>
      <c r="B251" t="s">
        <v>1820</v>
      </c>
      <c r="C251">
        <f>-546.652422535901 -178.146372065179 -96.713553984677</f>
        <v>-821.51234858575697</v>
      </c>
      <c r="D251">
        <f>-573.520880533659 -191.741632470322 -208.559229717511</f>
        <v>-973.821742721492</v>
      </c>
      <c r="E251">
        <f>-583.744583048806 -197.708588409438 -306.47019064153</f>
        <v>-1087.9233620997741</v>
      </c>
      <c r="F251">
        <f>-588.285466480134 -201.2001144244 -395.382609829478</f>
        <v>-1184.8681907340119</v>
      </c>
      <c r="G251">
        <f>-587.716303113766 -202.842941926085 -484.462514199736</f>
        <v>-1275.021759239587</v>
      </c>
      <c r="H251">
        <f>-581.513300849307 -203.335599542205 -608.889553005047</f>
        <v>-1393.738453396559</v>
      </c>
      <c r="I251">
        <f>-544.792399863936 -195.69677546584 -683.039714914106</f>
        <v>-1423.528890243882</v>
      </c>
      <c r="J251">
        <f>-589.052328855482 -175.832502832193 -554.48315425358</f>
        <v>-1319.367985941255</v>
      </c>
      <c r="K251">
        <f>-616.969449932447 -42.466057512519 -536.261920295376</f>
        <v>-1195.6974277403419</v>
      </c>
      <c r="L251">
        <f>-681.63154897423 -19.1618305617676 -250.137912148442</f>
        <v>-950.93129168443966</v>
      </c>
      <c r="M251" t="s">
        <v>1821</v>
      </c>
      <c r="N251">
        <f>-579.433524658659 -230.405065908203 -553.787465906493</f>
        <v>-1363.6260564733552</v>
      </c>
      <c r="O251">
        <f>-565.871846985222 -364.077851533527 -524.728170266883</f>
        <v>-1454.677868785632</v>
      </c>
      <c r="P251">
        <f>-608.517459089862 -421.995833612366 -239.389665356058</f>
        <v>-1269.902958058286</v>
      </c>
      <c r="Q251">
        <f>-435.548813733399 -267.280563130127 -304.165690240204</f>
        <v>-1006.99506710373</v>
      </c>
      <c r="R251">
        <f>-576.975104859584 -87.3287805626337 -101.391040186283</f>
        <v>-765.69492560850074</v>
      </c>
      <c r="S251" t="s">
        <v>1822</v>
      </c>
      <c r="T251" t="s">
        <v>1823</v>
      </c>
      <c r="U251" t="s">
        <v>1824</v>
      </c>
      <c r="V251">
        <f>-516.604547601256 -269.07541040557 -94.1063225224909</f>
        <v>-879.78628052931685</v>
      </c>
      <c r="W251" t="s">
        <v>1825</v>
      </c>
      <c r="X251" t="s">
        <v>1826</v>
      </c>
      <c r="Y251" t="s">
        <v>1827</v>
      </c>
    </row>
    <row r="252" spans="1:25" x14ac:dyDescent="0.3">
      <c r="A252">
        <v>12550</v>
      </c>
      <c r="B252" t="s">
        <v>1828</v>
      </c>
      <c r="C252">
        <f>-546.64105088976 -177.688510830924 -96.7228683897987</f>
        <v>-821.05243011048265</v>
      </c>
      <c r="D252">
        <f>-573.501415543846 -191.252956967917 -208.574283143028</f>
        <v>-973.32865565479096</v>
      </c>
      <c r="E252">
        <f>-583.743640450785 -197.231594664285 -306.482356772737</f>
        <v>-1087.457591887807</v>
      </c>
      <c r="F252">
        <f>-588.312385908841 -200.747997730336 -395.392584182882</f>
        <v>-1184.452967822059</v>
      </c>
      <c r="G252">
        <f>-587.782607814348 -202.430788516306 -484.471847278359</f>
        <v>-1274.685243609013</v>
      </c>
      <c r="H252">
        <f>-581.646753538485 -202.995090023689 -608.901999469357</f>
        <v>-1393.543843031531</v>
      </c>
      <c r="I252">
        <f>-544.939327358534 -195.453564301415 -683.068864253212</f>
        <v>-1423.4617559131611</v>
      </c>
      <c r="J252">
        <f>-589.113291332068 -175.453154636575 -554.505313082572</f>
        <v>-1319.0717590512149</v>
      </c>
      <c r="K252">
        <f>-616.786927087333 -42.0278937490891 -536.356457495239</f>
        <v>-1195.1712783316611</v>
      </c>
      <c r="L252">
        <f>-680.998882812523 -18.2795892444531 -250.167627878013</f>
        <v>-949.44609993498909</v>
      </c>
      <c r="M252" t="s">
        <v>1829</v>
      </c>
      <c r="N252">
        <f>-579.580471053042 -230.040522101288 -553.787687300248</f>
        <v>-1363.4086804545777</v>
      </c>
      <c r="O252">
        <f>-566.218979676195 -363.728503147724 -524.687425882608</f>
        <v>-1454.6349087065269</v>
      </c>
      <c r="P252">
        <f>-608.979377981236 -421.511695939836 -239.338914793168</f>
        <v>-1269.82998871424</v>
      </c>
      <c r="Q252">
        <f>-435.74646652357 -267.072500743452 -304.066973364569</f>
        <v>-1006.885940631591</v>
      </c>
      <c r="R252">
        <f>-576.844457059063 -86.8644465486695 -101.403092055751</f>
        <v>-765.11199566348353</v>
      </c>
      <c r="S252" t="s">
        <v>1830</v>
      </c>
      <c r="T252" t="s">
        <v>1831</v>
      </c>
      <c r="U252" t="s">
        <v>1832</v>
      </c>
      <c r="V252">
        <f>-516.697885908063 -268.717399516491 -94.0948787959006</f>
        <v>-879.51016422045461</v>
      </c>
      <c r="W252" t="s">
        <v>1833</v>
      </c>
      <c r="X252" t="s">
        <v>1834</v>
      </c>
      <c r="Y252" t="s">
        <v>1835</v>
      </c>
    </row>
    <row r="253" spans="1:25" x14ac:dyDescent="0.3">
      <c r="A253">
        <v>12600</v>
      </c>
      <c r="B253" t="s">
        <v>1836</v>
      </c>
      <c r="C253">
        <f>-546.559247829732 -177.287823206993 -96.7286052251269</f>
        <v>-820.57567626185198</v>
      </c>
      <c r="D253">
        <f>-573.417299911039 -190.823284526149 -208.584168350615</f>
        <v>-972.82475278780294</v>
      </c>
      <c r="E253">
        <f>-583.676669919071 -196.808241461864 -306.490144628657</f>
        <v>-1086.975056009592</v>
      </c>
      <c r="F253">
        <f>-588.269263883703 -200.342566121228 -395.398368120258</f>
        <v>-1184.0101981251892</v>
      </c>
      <c r="G253">
        <f>-587.771926662663 -202.056082818654 -484.477213737788</f>
        <v>-1274.3052232191048</v>
      </c>
      <c r="H253">
        <f>-581.690350875757 -202.67673096919 -608.909714091217</f>
        <v>-1393.276795936164</v>
      </c>
      <c r="I253">
        <f>-544.997924439291 -195.230516102338 -683.093521346297</f>
        <v>-1423.3219618879261</v>
      </c>
      <c r="J253">
        <f>-589.087897340637 -175.10227969494 -554.520019833001</f>
        <v>-1318.7101968685779</v>
      </c>
      <c r="K253">
        <f>-616.495684867924 -41.6088018515775 -536.457138199932</f>
        <v>-1194.5616249194336</v>
      </c>
      <c r="L253">
        <f>-680.481404320165 -17.4056911223993 -250.255671742386</f>
        <v>-948.14276718495023</v>
      </c>
      <c r="M253" t="s">
        <v>1837</v>
      </c>
      <c r="N253">
        <f>-579.645223028148 -229.704929164189 -553.786164219109</f>
        <v>-1363.1363164114459</v>
      </c>
      <c r="O253">
        <f>-566.511312059458 -363.407686444409 -524.658163052983</f>
        <v>-1454.5771615568501</v>
      </c>
      <c r="P253">
        <f>-609.423786518046 -421.064445289277 -239.306691490358</f>
        <v>-1269.794923297681</v>
      </c>
      <c r="Q253">
        <f>-435.910767207898 -266.924725520224 -303.998617622413</f>
        <v>-1006.8341103505351</v>
      </c>
      <c r="R253">
        <f>-576.65042394875 -86.4574322728608 -101.420174713798</f>
        <v>-764.52803093540888</v>
      </c>
      <c r="S253" t="s">
        <v>1838</v>
      </c>
      <c r="T253" t="s">
        <v>1839</v>
      </c>
      <c r="U253" t="s">
        <v>1840</v>
      </c>
      <c r="V253">
        <f>-516.720861979307 -268.358859430722 -94.0882280611614</f>
        <v>-879.16794947119035</v>
      </c>
      <c r="W253" t="s">
        <v>1841</v>
      </c>
      <c r="X253" t="s">
        <v>1842</v>
      </c>
      <c r="Y253" t="s">
        <v>1843</v>
      </c>
    </row>
    <row r="254" spans="1:25" x14ac:dyDescent="0.3">
      <c r="A254">
        <v>12650</v>
      </c>
      <c r="B254" t="s">
        <v>1844</v>
      </c>
      <c r="C254">
        <f>-546.410902138891 -175.99349866448 -96.7226227039092</f>
        <v>-819.12702350728011</v>
      </c>
      <c r="D254">
        <f>-573.267279823968 -189.427246437775 -208.590868425243</f>
        <v>-971.28539468698602</v>
      </c>
      <c r="E254">
        <f>-583.533435870606 -195.405376199936 -306.496529886323</f>
        <v>-1085.4353419568649</v>
      </c>
      <c r="F254">
        <f>-588.138240000993 -198.963830866661 -395.403004570779</f>
        <v>-1182.5050754384329</v>
      </c>
      <c r="G254">
        <f>-587.659447600302 -200.732165337881 -484.481085775074</f>
        <v>-1272.872698713257</v>
      </c>
      <c r="H254">
        <f>-581.61175224824 -201.461490008044 -608.914514293652</f>
        <v>-1391.987756549936</v>
      </c>
      <c r="I254">
        <f>-544.923752771365 -194.194210601996 -683.118357063296</f>
        <v>-1422.236320436657</v>
      </c>
      <c r="J254">
        <f>-588.916178418433 -173.82596966037 -554.543249010062</f>
        <v>-1317.285397088865</v>
      </c>
      <c r="K254">
        <f>-615.912287475917 -40.2150383597411 -536.708993146514</f>
        <v>-1192.8363189821721</v>
      </c>
      <c r="L254">
        <f>-680.153742095357 -15.1614387938664 -250.638113063833</f>
        <v>-945.95329395305635</v>
      </c>
      <c r="M254" t="s">
        <v>1845</v>
      </c>
      <c r="N254">
        <f>-579.629885602462 -228.455058838868 -553.771760848284</f>
        <v>-1361.856705289614</v>
      </c>
      <c r="O254">
        <f>-566.921719499197 -362.170647106791 -524.520928267183</f>
        <v>-1453.6132948731711</v>
      </c>
      <c r="P254">
        <f>-610.249861865022 -419.458177892993 -239.157836850949</f>
        <v>-1268.8658766089641</v>
      </c>
      <c r="Q254">
        <f>-436.242139669837 -265.790037946426 -303.642697245469</f>
        <v>-1005.674874861732</v>
      </c>
      <c r="R254">
        <f>-576.332196269335 -85.0818578510557 -101.422661594535</f>
        <v>-762.83671571492573</v>
      </c>
      <c r="S254" t="s">
        <v>1846</v>
      </c>
      <c r="T254" t="s">
        <v>1847</v>
      </c>
      <c r="U254" t="s">
        <v>1848</v>
      </c>
      <c r="V254">
        <f>-516.776043304908 -267.035906821775 -94.0881729726748</f>
        <v>-877.90012309935764</v>
      </c>
      <c r="W254" t="s">
        <v>1849</v>
      </c>
      <c r="X254" t="s">
        <v>1850</v>
      </c>
      <c r="Y254" t="s">
        <v>1851</v>
      </c>
    </row>
    <row r="255" spans="1:25" x14ac:dyDescent="0.3">
      <c r="A255">
        <v>12700</v>
      </c>
      <c r="B255" t="s">
        <v>1852</v>
      </c>
      <c r="C255">
        <f>-546.145796737649 -174.607484354642 -96.6962007322113</f>
        <v>-817.4494818245023</v>
      </c>
      <c r="D255">
        <f>-573.042143887684 -187.958307013499 -208.564707662886</f>
        <v>-969.56515856406907</v>
      </c>
      <c r="E255">
        <f>-583.330386595282 -193.927176114892 -306.468723804003</f>
        <v>-1083.726286514177</v>
      </c>
      <c r="F255">
        <f>-587.952328965279 -197.500188626607 -395.373633340958</f>
        <v>-1180.826150932844</v>
      </c>
      <c r="G255">
        <f>-587.488851222707 -199.305993294071 -484.450997769907</f>
        <v>-1271.245842286685</v>
      </c>
      <c r="H255">
        <f>-581.460980633602 -200.110788142739 -608.885067878654</f>
        <v>-1390.4568366549952</v>
      </c>
      <c r="I255">
        <f>-544.743672690236 -193.00923799529 -683.090409644765</f>
        <v>-1420.8433203302911</v>
      </c>
      <c r="J255">
        <f>-588.709253827742 -172.434152975674 -554.527153821254</f>
        <v>-1315.6705606246701</v>
      </c>
      <c r="K255">
        <f>-615.421168990155 -38.7486964127809 -536.864949403686</f>
        <v>-1191.0348148066219</v>
      </c>
      <c r="L255">
        <f>-680.276337546787 -13.368220510612 -250.961310341088</f>
        <v>-944.60586839848702</v>
      </c>
      <c r="M255" t="s">
        <v>1853</v>
      </c>
      <c r="N255">
        <f>-579.517830706296 -227.078971762616 -553.728507900153</f>
        <v>-1360.3253103690649</v>
      </c>
      <c r="O255">
        <f>-567.037223558321 -360.797975229082 -524.390222719081</f>
        <v>-1452.2254215064841</v>
      </c>
      <c r="P255">
        <f>-610.663318431706 -418.120861768726 -239.079757737636</f>
        <v>-1267.8639379380679</v>
      </c>
      <c r="Q255">
        <f>-436.713854233016 -263.905919546215 -302.406168687714</f>
        <v>-1003.025942466945</v>
      </c>
      <c r="R255">
        <f>-575.873824511776 -83.7345328025604 -101.38756987095</f>
        <v>-760.99592718528629</v>
      </c>
      <c r="S255" t="s">
        <v>1854</v>
      </c>
      <c r="T255" t="s">
        <v>1855</v>
      </c>
      <c r="U255" t="s">
        <v>1856</v>
      </c>
      <c r="V255">
        <f>-516.66967850521 -265.638648533963 -94.0631986648208</f>
        <v>-876.37152570399383</v>
      </c>
      <c r="W255" t="s">
        <v>1857</v>
      </c>
      <c r="X255" t="s">
        <v>1858</v>
      </c>
      <c r="Y255" t="s">
        <v>1859</v>
      </c>
    </row>
    <row r="256" spans="1:25" x14ac:dyDescent="0.3">
      <c r="A256">
        <v>12750</v>
      </c>
      <c r="B256" t="s">
        <v>1860</v>
      </c>
      <c r="C256">
        <f>-545.991145476155 -173.989272523574 -96.6800421980091</f>
        <v>-816.66046019773808</v>
      </c>
      <c r="D256">
        <f>-572.922825270376 -187.316259231165 -208.54288697914</f>
        <v>-968.78197148068102</v>
      </c>
      <c r="E256">
        <f>-583.23130025819 -193.283159046507 -306.444778054931</f>
        <v>-1082.9592373596279</v>
      </c>
      <c r="F256">
        <f>-587.867904475723 -196.860568953262 -395.348945739304</f>
        <v>-1180.077419168289</v>
      </c>
      <c r="G256">
        <f>-587.415944665595 -198.677116552838 -484.426134169093</f>
        <v>-1270.519195387526</v>
      </c>
      <c r="H256">
        <f>-581.401027078824 -199.502961258107 -608.860703968281</f>
        <v>-1389.7646923052121</v>
      </c>
      <c r="I256">
        <f>-544.663858309804 -192.472908258596 -683.062917238035</f>
        <v>-1420.1996838064351</v>
      </c>
      <c r="J256">
        <f>-588.632215543063 -171.815370769802 -554.506097960448</f>
        <v>-1314.953684273313</v>
      </c>
      <c r="K256">
        <f>-615.2733998515 -38.1036774473453 -536.902475797651</f>
        <v>-1190.2795530964963</v>
      </c>
      <c r="L256">
        <f>-680.359207861976 -12.6819595943134 -251.054952086869</f>
        <v>-944.09611954315835</v>
      </c>
      <c r="M256" t="s">
        <v>1861</v>
      </c>
      <c r="N256">
        <f>-579.463636859429 -226.46382887377 -553.700211534025</f>
        <v>-1359.627677267224</v>
      </c>
      <c r="O256">
        <f>-567.039204076143 -360.188796251665 -524.364460773169</f>
        <v>-1451.5924611009771</v>
      </c>
      <c r="P256">
        <f>-610.725180500232 -417.88178762823 -239.13780306662</f>
        <v>-1267.7447711950822</v>
      </c>
      <c r="Q256">
        <f>-437.068976514971 -262.914726431603 -301.424379861238</f>
        <v>-1001.408082807812</v>
      </c>
      <c r="R256">
        <f>-575.628797636008 -83.1157982198017 -101.357171231167</f>
        <v>-760.10176708697668</v>
      </c>
      <c r="S256" t="s">
        <v>1862</v>
      </c>
      <c r="T256" t="s">
        <v>1863</v>
      </c>
      <c r="U256" t="s">
        <v>1864</v>
      </c>
      <c r="V256">
        <f>-516.59781299048 -265.066861577125 -94.0471682171436</f>
        <v>-875.71184278474857</v>
      </c>
      <c r="W256" t="s">
        <v>1865</v>
      </c>
      <c r="X256" t="s">
        <v>1866</v>
      </c>
      <c r="Y256" t="s">
        <v>1867</v>
      </c>
    </row>
    <row r="257" spans="1:25" x14ac:dyDescent="0.3">
      <c r="A257">
        <v>12800</v>
      </c>
      <c r="B257" t="s">
        <v>1868</v>
      </c>
      <c r="C257">
        <f>-545.743812708451 -172.904531378883 -96.6460110071512</f>
        <v>-815.29435509448513</v>
      </c>
      <c r="D257">
        <f>-572.715713795451 -186.16507726985 -208.506995243825</f>
        <v>-967.38778630912611</v>
      </c>
      <c r="E257">
        <f>-583.062894431997 -192.100293858439 -306.40684113185</f>
        <v>-1081.5700294222861</v>
      </c>
      <c r="F257">
        <f>-587.737434906532 -195.657535535423 -395.309809036857</f>
        <v>-1178.704779478812</v>
      </c>
      <c r="G257">
        <f>-587.326457325709 -197.461632829548 -484.387457740435</f>
        <v>-1269.175547895692</v>
      </c>
      <c r="H257">
        <f>-581.372631267644 -198.277618722092 -608.825020771865</f>
        <v>-1388.475270761601</v>
      </c>
      <c r="I257">
        <f>-544.597727614883 -191.352855337689 -683.018407008328</f>
        <v>-1418.9689899609</v>
      </c>
      <c r="J257">
        <f>-588.564428236962 -170.592212280625 -554.46404047012</f>
        <v>-1313.6206809877071</v>
      </c>
      <c r="K257">
        <f>-615.050559526724 -36.8421852514186 -536.964761344088</f>
        <v>-1188.8575061222305</v>
      </c>
      <c r="L257">
        <f>-680.160185191104 -11.2080244454312 -251.141629296751</f>
        <v>-942.50983893328623</v>
      </c>
      <c r="M257" t="s">
        <v>1869</v>
      </c>
      <c r="N257">
        <f>-579.420792342499 -225.244949052035 -553.668174333388</f>
        <v>-1358.333915727922</v>
      </c>
      <c r="O257">
        <f>-567.140880846586 -359.013652403246 -524.453985259895</f>
        <v>-1450.608518509727</v>
      </c>
      <c r="P257">
        <f>-610.3016718944 -418.590321524041 -239.534837021279</f>
        <v>-1268.4268304397199</v>
      </c>
      <c r="Q257">
        <f>-438.117680142064 -260.97963384551 -299.22080847391</f>
        <v>-998.31812246148399</v>
      </c>
      <c r="R257">
        <f>-575.291977401434 -82.0071153169722 -101.299727208145</f>
        <v>-758.59881992655119</v>
      </c>
      <c r="S257" t="s">
        <v>1870</v>
      </c>
      <c r="T257" t="s">
        <v>1871</v>
      </c>
      <c r="U257" t="s">
        <v>1872</v>
      </c>
      <c r="V257">
        <f>-516.471105183499 -263.989388665645 -94.0305539943319</f>
        <v>-874.49104784347594</v>
      </c>
      <c r="W257" t="s">
        <v>1873</v>
      </c>
      <c r="X257" t="s">
        <v>1874</v>
      </c>
      <c r="Y257" t="s">
        <v>1875</v>
      </c>
    </row>
    <row r="258" spans="1:25" x14ac:dyDescent="0.3">
      <c r="A258">
        <v>12850</v>
      </c>
      <c r="B258" t="s">
        <v>1876</v>
      </c>
      <c r="C258">
        <f>-545.644228904698 -172.334777353342 -96.6206362595291</f>
        <v>-814.59964251756912</v>
      </c>
      <c r="D258">
        <f>-572.648715975017 -185.558202880895 -208.478211340999</f>
        <v>-966.68513019691102</v>
      </c>
      <c r="E258">
        <f>-583.022816843065 -191.472504382188 -306.37640534123</f>
        <v>-1080.8717265664832</v>
      </c>
      <c r="F258">
        <f>-587.72171674773 -195.014759678736 -395.278643555647</f>
        <v>-1178.015119982113</v>
      </c>
      <c r="G258">
        <f>-587.33540590022 -196.807794877998 -484.35655566066</f>
        <v>-1268.499756438878</v>
      </c>
      <c r="H258">
        <f>-581.416070055325 -197.61226456631 -608.795882639978</f>
        <v>-1387.8242172616128</v>
      </c>
      <c r="I258">
        <f>-544.621608132076 -190.727719461133 -682.983472321811</f>
        <v>-1418.3327999150199</v>
      </c>
      <c r="J258">
        <f>-588.581370811994 -169.92987109348 -554.429889932758</f>
        <v>-1312.941131838232</v>
      </c>
      <c r="K258">
        <f>-614.922205922393 -36.1460873186224 -536.992226500619</f>
        <v>-1188.0605197416344</v>
      </c>
      <c r="L258">
        <f>-679.560914784367 -10.0482119556516 -251.10425643108</f>
        <v>-940.7133831710986</v>
      </c>
      <c r="M258" t="s">
        <v>1877</v>
      </c>
      <c r="N258">
        <f>-579.460271469569 -224.586598955659 -553.642669012084</f>
        <v>-1357.6895394373119</v>
      </c>
      <c r="O258">
        <f>-567.311393997883 -358.387520356493 -524.537354154817</f>
        <v>-1450.236268509193</v>
      </c>
      <c r="P258">
        <f>-609.712587896809 -419.624873497384 -239.856266893472</f>
        <v>-1269.193728287665</v>
      </c>
      <c r="Q258">
        <f>-439.0975624161 -259.807866921751 -298.164905131619</f>
        <v>-997.07033446947003</v>
      </c>
      <c r="R258">
        <f>-575.153888753643 -81.4240457962158 -101.256718352753</f>
        <v>-757.83465290261165</v>
      </c>
      <c r="S258" t="s">
        <v>1878</v>
      </c>
      <c r="T258" t="s">
        <v>1879</v>
      </c>
      <c r="U258" t="s">
        <v>1880</v>
      </c>
      <c r="V258">
        <f>-516.409347925011 -263.415330315172 -94.0266882670616</f>
        <v>-873.85136650724462</v>
      </c>
      <c r="W258" t="s">
        <v>1881</v>
      </c>
      <c r="X258" t="s">
        <v>1882</v>
      </c>
      <c r="Y258" t="s">
        <v>1883</v>
      </c>
    </row>
    <row r="259" spans="1:25" x14ac:dyDescent="0.3">
      <c r="A259">
        <v>12900</v>
      </c>
      <c r="B259" t="s">
        <v>1884</v>
      </c>
      <c r="C259">
        <f>-545.613395799246 -171.292654376633 -96.5579008294976</f>
        <v>-813.46395100537654</v>
      </c>
      <c r="D259">
        <f>-572.696228856055 -184.448378668689 -208.404555461196</f>
        <v>-965.54916298593992</v>
      </c>
      <c r="E259">
        <f>-583.157606625295 -190.315068726565 -306.296219206452</f>
        <v>-1079.768894558312</v>
      </c>
      <c r="F259">
        <f>-587.943603746019 -193.817685992256 -395.195526411872</f>
        <v>-1176.956816150147</v>
      </c>
      <c r="G259">
        <f>-587.651986961653 -195.575709663302 -484.274527633796</f>
        <v>-1267.5022242587511</v>
      </c>
      <c r="H259">
        <f>-581.873157972974 -196.336305998757 -608.720645761358</f>
        <v>-1386.930109733089</v>
      </c>
      <c r="I259">
        <f>-545.056486086924 -189.564678914163 -682.90759892906</f>
        <v>-1417.5287639301469</v>
      </c>
      <c r="J259">
        <f>-588.91944985473 -168.663577963529 -554.334139332858</f>
        <v>-1311.9171671511172</v>
      </c>
      <c r="K259">
        <f>-614.659617236236 -34.7661089851351 -536.892138360629</f>
        <v>-1186.3178645820003</v>
      </c>
      <c r="L259">
        <f>-675.335565250807 -6.0746516054262 -250.384772471466</f>
        <v>-931.79498932769923</v>
      </c>
      <c r="M259" t="s">
        <v>1885</v>
      </c>
      <c r="N259">
        <f>-579.912794825315 -223.339728222379 -553.581787633745</f>
        <v>-1356.8343106814391</v>
      </c>
      <c r="O259">
        <f>-568.024278356341 -357.199282825199 -524.682448765292</f>
        <v>-1449.906009946832</v>
      </c>
      <c r="P259">
        <f>-608.215019719999 -421.028006875857 -240.250049120569</f>
        <v>-1269.493075716425</v>
      </c>
      <c r="Q259">
        <f>-440.994956399564 -256.816326907887 -296.132676393739</f>
        <v>-993.94395970119012</v>
      </c>
      <c r="R259">
        <f>-575.067767025229 -80.3514068956099 -101.159272370696</f>
        <v>-756.57844629153499</v>
      </c>
      <c r="S259" t="s">
        <v>1886</v>
      </c>
      <c r="T259" t="s">
        <v>1887</v>
      </c>
      <c r="U259" t="s">
        <v>1888</v>
      </c>
      <c r="V259">
        <f>-516.474588871293 -262.389266100122 -94.0144521762128</f>
        <v>-872.87830714762777</v>
      </c>
      <c r="W259" t="s">
        <v>1889</v>
      </c>
      <c r="X259" t="s">
        <v>1890</v>
      </c>
      <c r="Y259" t="s">
        <v>1891</v>
      </c>
    </row>
    <row r="260" spans="1:25" x14ac:dyDescent="0.3">
      <c r="A260">
        <v>12950</v>
      </c>
      <c r="B260" t="s">
        <v>1892</v>
      </c>
      <c r="C260">
        <f>-545.683810872199 -170.816686211017 -96.5338876008027</f>
        <v>-813.03438468401873</v>
      </c>
      <c r="D260">
        <f>-572.803450829463 -183.910981575956 -208.378861915834</f>
        <v>-965.0932943212531</v>
      </c>
      <c r="E260">
        <f>-583.306191922995 -189.745708760504 -306.268027890864</f>
        <v>-1079.3199285743631</v>
      </c>
      <c r="F260">
        <f>-588.133649127678 -193.227916402685 -395.165773716301</f>
        <v>-1176.527339246664</v>
      </c>
      <c r="G260">
        <f>-587.887705229627 -194.974980045049 -484.245157109043</f>
        <v>-1267.1078423837191</v>
      </c>
      <c r="H260">
        <f>-582.176736532941 -195.730686864086 -608.694399364624</f>
        <v>-1386.601822761651</v>
      </c>
      <c r="I260">
        <f>-545.366571683338 -189.045119754313 -682.892464173936</f>
        <v>-1417.3041556115868</v>
      </c>
      <c r="J260">
        <f>-589.136871900177 -168.050823271629 -554.300570073392</f>
        <v>-1311.4882652451979</v>
      </c>
      <c r="K260">
        <f>-614.434067200615 -34.0759743692618 -536.792242564829</f>
        <v>-1185.3022841347058</v>
      </c>
      <c r="L260">
        <f>-672.412298577587 -3.67772456229136 -249.902637858207</f>
        <v>-925.99266099808528</v>
      </c>
      <c r="M260" t="s">
        <v>1893</v>
      </c>
      <c r="N260">
        <f>-580.242723017526 -222.745464270481 -553.560330187247</f>
        <v>-1356.5485174752539</v>
      </c>
      <c r="O260">
        <f>-568.528491379941 -356.638955757707 -524.674965878596</f>
        <v>-1449.8424130162439</v>
      </c>
      <c r="P260">
        <f>-607.753854098007 -421.269094204025 -240.288868308377</f>
        <v>-1269.3118166104091</v>
      </c>
      <c r="Q260">
        <f>-442.12599926946 -255.165741684439 -295.315935244481</f>
        <v>-992.60767619838009</v>
      </c>
      <c r="R260">
        <f>-575.019012708475 -79.8362089698685 -101.103665462702</f>
        <v>-755.95888714104547</v>
      </c>
      <c r="S260" t="s">
        <v>1894</v>
      </c>
      <c r="T260" t="s">
        <v>1895</v>
      </c>
      <c r="U260" t="s">
        <v>1896</v>
      </c>
      <c r="V260">
        <f>-516.681738478839 -261.962411780464 -93.9952751590605</f>
        <v>-872.63942541836343</v>
      </c>
      <c r="W260" t="s">
        <v>1897</v>
      </c>
      <c r="X260" t="s">
        <v>1898</v>
      </c>
      <c r="Y260" t="s">
        <v>1899</v>
      </c>
    </row>
    <row r="261" spans="1:25" x14ac:dyDescent="0.3">
      <c r="A261">
        <v>13000</v>
      </c>
      <c r="B261" t="s">
        <v>1900</v>
      </c>
      <c r="C261">
        <f>-545.691205651441 -169.830238706766 -96.4576441999914</f>
        <v>-811.97908855819833</v>
      </c>
      <c r="D261">
        <f>-572.813569624395 -182.75517694981 -208.321685994762</f>
        <v>-963.89043256896696</v>
      </c>
      <c r="E261">
        <f>-583.298068545619 -188.495968375337 -306.218303278561</f>
        <v>-1078.012340199517</v>
      </c>
      <c r="F261">
        <f>-588.102371928244 -191.913230054992 -395.119909804114</f>
        <v>-1175.13551178735</v>
      </c>
      <c r="G261">
        <f>-587.825855626107 -193.618834004382 -484.200029602301</f>
        <v>-1265.6447192327901</v>
      </c>
      <c r="H261">
        <f>-582.065400622626 -194.342388015684 -608.647143069086</f>
        <v>-1385.054931707396</v>
      </c>
      <c r="I261">
        <f>-545.246639672827 -187.873618932101 -682.860131258152</f>
        <v>-1415.9803898630801</v>
      </c>
      <c r="J261">
        <f>-588.877989395632 -166.649520968684 -554.241314958985</f>
        <v>-1309.7688253233009</v>
      </c>
      <c r="K261">
        <f>-612.959967082265 -32.4407238454205 -536.759657475284</f>
        <v>-1182.1603484029697</v>
      </c>
      <c r="L261" t="s">
        <v>1901</v>
      </c>
      <c r="M261" t="s">
        <v>1902</v>
      </c>
      <c r="N261">
        <f>-580.322630852463 -221.398598806484 -553.5268837647</f>
        <v>-1355.2481134236468</v>
      </c>
      <c r="O261">
        <f>-569.356300484788 -355.356613964798 -524.645700048569</f>
        <v>-1449.358614498155</v>
      </c>
      <c r="P261">
        <f>-607.604052215108 -420.531404136701 -240.250654276987</f>
        <v>-1268.3861106287959</v>
      </c>
      <c r="Q261">
        <f>-443.340208681306 -252.770987233451 -294.33093876224</f>
        <v>-990.44213467699706</v>
      </c>
      <c r="R261">
        <f>-574.609706178518 -78.8780552574981 -100.99412999759</f>
        <v>-754.48189143360605</v>
      </c>
      <c r="S261" t="s">
        <v>1903</v>
      </c>
      <c r="T261" t="s">
        <v>1904</v>
      </c>
      <c r="U261" t="s">
        <v>1905</v>
      </c>
      <c r="V261">
        <f>-517.03023144712 -261.018328293477 -93.9515301337639</f>
        <v>-872.00008987436081</v>
      </c>
      <c r="W261" t="s">
        <v>1906</v>
      </c>
      <c r="X261" t="s">
        <v>1907</v>
      </c>
      <c r="Y261" t="s">
        <v>1908</v>
      </c>
    </row>
    <row r="262" spans="1:25" x14ac:dyDescent="0.3">
      <c r="A262">
        <v>13050</v>
      </c>
      <c r="B262" t="s">
        <v>1909</v>
      </c>
      <c r="C262">
        <f>-545.569849928605 -169.312534486022 -96.4158760159536</f>
        <v>-811.29826043058063</v>
      </c>
      <c r="D262">
        <f>-572.673640099356 -182.127514027339 -208.296935449774</f>
        <v>-963.09808957646896</v>
      </c>
      <c r="E262">
        <f>-583.093454202928 -187.810540571536 -306.204065294605</f>
        <v>-1077.1080600690689</v>
      </c>
      <c r="F262">
        <f>-587.820222575069 -191.190210789055 -395.111131493595</f>
        <v>-1174.121564857719</v>
      </c>
      <c r="G262">
        <f>-587.447823474658 -192.875134855283 -484.191318900146</f>
        <v>-1264.5142772300869</v>
      </c>
      <c r="H262">
        <f>-581.534029226307 -193.588735921031 -608.631326553181</f>
        <v>-1383.754091700519</v>
      </c>
      <c r="I262">
        <f>-544.680536389987 -187.247979361405 -682.838126951732</f>
        <v>-1414.766642703124</v>
      </c>
      <c r="J262">
        <f>-588.310992134293 -165.884268570883 -554.226904306976</f>
        <v>-1308.4221650121522</v>
      </c>
      <c r="K262">
        <f>-611.811228389374 -31.5543197387283 -536.840496594474</f>
        <v>-1180.2060447225763</v>
      </c>
      <c r="L262" t="s">
        <v>1910</v>
      </c>
      <c r="M262" t="s">
        <v>1911</v>
      </c>
      <c r="N262">
        <f>-579.96164433592 -220.665150324921 -553.515861030476</f>
        <v>-1354.142655691317</v>
      </c>
      <c r="O262">
        <f>-569.475782864654 -354.640227288191 -524.539398262919</f>
        <v>-1448.655408415764</v>
      </c>
      <c r="P262">
        <f>-607.824253898291 -419.564408236625 -240.100522192892</f>
        <v>-1267.4891843278081</v>
      </c>
      <c r="Q262">
        <f>-443.330315397626 -252.101011551293 -294.401521933974</f>
        <v>-989.83284888289302</v>
      </c>
      <c r="R262">
        <f>-574.245271903736 -78.4176375453608 -100.946994612568</f>
        <v>-753.60990406166479</v>
      </c>
      <c r="S262" t="s">
        <v>1912</v>
      </c>
      <c r="T262" t="s">
        <v>1913</v>
      </c>
      <c r="U262" t="s">
        <v>1914</v>
      </c>
      <c r="V262">
        <f>-517.155941814885 -260.419335718633 -93.9313982143169</f>
        <v>-871.50667574783483</v>
      </c>
      <c r="W262" t="s">
        <v>1915</v>
      </c>
      <c r="X262" t="s">
        <v>1916</v>
      </c>
      <c r="Y262" t="s">
        <v>1917</v>
      </c>
    </row>
    <row r="263" spans="1:25" x14ac:dyDescent="0.3">
      <c r="A263">
        <v>13100</v>
      </c>
      <c r="B263" t="s">
        <v>1918</v>
      </c>
      <c r="C263">
        <f>-545.383283302246 -168.478214893296 -96.3296840361415</f>
        <v>-810.19118223168357</v>
      </c>
      <c r="D263">
        <f>-572.448906646943 -181.018817168516 -208.251092184548</f>
        <v>-961.718816000007</v>
      </c>
      <c r="E263">
        <f>-582.666107052129 -186.604266385934 -306.185033656809</f>
        <v>-1075.455407094872</v>
      </c>
      <c r="F263">
        <f>-587.145666755966 -189.948173706222 -395.106376056053</f>
        <v>-1172.2002165182409</v>
      </c>
      <c r="G263">
        <f>-586.463766079935 -191.652960939992 -484.184308651937</f>
        <v>-1262.3010356718639</v>
      </c>
      <c r="H263">
        <f>-580.054905016913 -192.453525547354 -608.599294593745</f>
        <v>-1381.1077251580118</v>
      </c>
      <c r="I263">
        <f>-543.084256032057 -186.421870158503 -682.773563761139</f>
        <v>-1412.2796899516991</v>
      </c>
      <c r="J263">
        <f>-586.879226195118 -164.685717220177 -554.233006527922</f>
        <v>-1305.7979499432172</v>
      </c>
      <c r="K263">
        <f>-609.678351822983 -30.1879628560871 -537.157921064237</f>
        <v>-1177.0242357433071</v>
      </c>
      <c r="L263" t="s">
        <v>1919</v>
      </c>
      <c r="M263" t="s">
        <v>1920</v>
      </c>
      <c r="N263">
        <f>-578.870913975201 -219.516735375834 -553.467769813121</f>
        <v>-1351.855419164156</v>
      </c>
      <c r="O263">
        <f>-569.254793874582 -353.481019006024 -524.188104724407</f>
        <v>-1446.923917605013</v>
      </c>
      <c r="P263">
        <f>-608.392853638049 -417.294714757476 -239.605551542178</f>
        <v>-1265.2931199377031</v>
      </c>
      <c r="Q263">
        <f>-442.440418654452 -251.612972473476 -294.92494756043</f>
        <v>-988.97833868835801</v>
      </c>
      <c r="R263">
        <f>-573.428519085826 -77.5905120633877 -100.828948657347</f>
        <v>-751.84797980656072</v>
      </c>
      <c r="S263" t="s">
        <v>1921</v>
      </c>
      <c r="T263" t="s">
        <v>1922</v>
      </c>
      <c r="U263" t="s">
        <v>1923</v>
      </c>
      <c r="V263">
        <f>-517.596387621016 -259.477370947699 -93.8812116962042</f>
        <v>-870.95497026491921</v>
      </c>
      <c r="W263" t="s">
        <v>1924</v>
      </c>
      <c r="X263" t="s">
        <v>1925</v>
      </c>
      <c r="Y263" t="s">
        <v>1926</v>
      </c>
    </row>
    <row r="264" spans="1:25" x14ac:dyDescent="0.3">
      <c r="A264">
        <v>13150</v>
      </c>
      <c r="B264" t="s">
        <v>1927</v>
      </c>
      <c r="C264">
        <f>-545.290111345677 -167.99414480624 -96.2796343565847</f>
        <v>-809.56389050850169</v>
      </c>
      <c r="D264">
        <f>-572.334110318651 -180.436118952244 -208.217279228431</f>
        <v>-960.98750849932605</v>
      </c>
      <c r="E264">
        <f>-582.442821412641 -186.003358909175 -306.163642252101</f>
        <v>-1074.609822573917</v>
      </c>
      <c r="F264">
        <f>-586.790396396805 -189.356033105014 -395.091093042151</f>
        <v>-1171.23752254397</v>
      </c>
      <c r="G264">
        <f>-585.943611218321 -191.095244256189 -484.166860240375</f>
        <v>-1261.2057157148849</v>
      </c>
      <c r="H264">
        <f>-579.271501440933 -191.971319307755 -608.567575303284</f>
        <v>-1379.810396051972</v>
      </c>
      <c r="I264">
        <f>-542.210126834511 -186.087146730946 -682.708425355053</f>
        <v>-1411.00569892051</v>
      </c>
      <c r="J264">
        <f>-586.161042348911 -164.163151204019 -554.230050134697</f>
        <v>-1304.5542436876269</v>
      </c>
      <c r="K264">
        <f>-608.828059449355 -29.633646794784 -537.287546545642</f>
        <v>-1175.7492527897812</v>
      </c>
      <c r="L264" t="s">
        <v>1928</v>
      </c>
      <c r="M264" t="s">
        <v>1929</v>
      </c>
      <c r="N264">
        <f>-578.254111252613 -219.008379993031 -553.419871129742</f>
        <v>-1350.682362375386</v>
      </c>
      <c r="O264">
        <f>-568.8986638551 -352.965535875919 -524.005302719617</f>
        <v>-1445.869502450636</v>
      </c>
      <c r="P264">
        <f>-608.542840430026 -416.179459486644 -239.358860105357</f>
        <v>-1264.081160022027</v>
      </c>
      <c r="Q264">
        <f>-441.844995861634 -251.473730037159 -295.347218540113</f>
        <v>-988.66594443890597</v>
      </c>
      <c r="R264">
        <f>-573.096837281049 -77.1026070536516 -100.77235953022</f>
        <v>-750.97180386492062</v>
      </c>
      <c r="S264" t="s">
        <v>1930</v>
      </c>
      <c r="T264" t="s">
        <v>1931</v>
      </c>
      <c r="U264" t="s">
        <v>1932</v>
      </c>
      <c r="V264">
        <f>-517.74853541468 -258.988083261191 -93.8412888455848</f>
        <v>-870.5779075214557</v>
      </c>
      <c r="W264" t="s">
        <v>1933</v>
      </c>
      <c r="X264" t="s">
        <v>1934</v>
      </c>
      <c r="Y264" t="s">
        <v>1935</v>
      </c>
    </row>
    <row r="265" spans="1:25" x14ac:dyDescent="0.3">
      <c r="A265">
        <v>13200</v>
      </c>
      <c r="B265" t="s">
        <v>1936</v>
      </c>
      <c r="C265">
        <f>-544.998226099181 -167.270504666439 -96.1960088958891</f>
        <v>-808.46473966150916</v>
      </c>
      <c r="D265">
        <f>-572.016191663269 -179.583487369829 -208.154267952376</f>
        <v>-959.75394698547393</v>
      </c>
      <c r="E265">
        <f>-581.941330165731 -185.162676510427 -306.118605324035</f>
        <v>-1073.2226120001928</v>
      </c>
      <c r="F265">
        <f>-586.061027301872 -188.575184836684 -395.05475730882</f>
        <v>-1169.6909694473759</v>
      </c>
      <c r="G265">
        <f>-584.926436726097 -190.425759829782 -484.125155663584</f>
        <v>-1259.477352219463</v>
      </c>
      <c r="H265">
        <f>-577.791122814233 -191.511330897013 -608.49845490237</f>
        <v>-1377.800908613616</v>
      </c>
      <c r="I265">
        <f>-540.520735674073 -185.932218632389 -682.557910704241</f>
        <v>-1409.0108650107029</v>
      </c>
      <c r="J265">
        <f>-584.814187928797 -163.601958464026 -554.229966303594</f>
        <v>-1302.6461126964168</v>
      </c>
      <c r="K265">
        <f>-607.205246138581 -29.0044577766862 -537.53396407257</f>
        <v>-1173.7436679878372</v>
      </c>
      <c r="L265" t="s">
        <v>1937</v>
      </c>
      <c r="M265" t="s">
        <v>1938</v>
      </c>
      <c r="N265">
        <f>-577.048046028286 -218.465445306013 -553.305558643073</f>
        <v>-1348.8190499773721</v>
      </c>
      <c r="O265">
        <f>-568.017494936081 -352.389878820095 -523.655134318604</f>
        <v>-1444.06250807478</v>
      </c>
      <c r="P265">
        <f>-607.575642027549 -415.015007251054 -238.866625164962</f>
        <v>-1261.457274443565</v>
      </c>
      <c r="Q265">
        <f>-440.67677913264 -251.131087199422 -296.639108164561</f>
        <v>-988.44697449662294</v>
      </c>
      <c r="R265">
        <f>-572.44250260603 -76.3754313587528 -100.686518069973</f>
        <v>-749.50445203475579</v>
      </c>
      <c r="S265" t="s">
        <v>1939</v>
      </c>
      <c r="T265" t="s">
        <v>1940</v>
      </c>
      <c r="U265" t="s">
        <v>1941</v>
      </c>
      <c r="V265">
        <f>-517.783259789172 -258.344472482991 -93.7858998262211</f>
        <v>-869.91363209838414</v>
      </c>
      <c r="W265" t="s">
        <v>1942</v>
      </c>
      <c r="X265" t="s">
        <v>1943</v>
      </c>
      <c r="Y265" t="s">
        <v>1944</v>
      </c>
    </row>
    <row r="266" spans="1:25" x14ac:dyDescent="0.3">
      <c r="A266">
        <v>13250</v>
      </c>
      <c r="B266" t="s">
        <v>1945</v>
      </c>
      <c r="C266">
        <f>-544.891501739515 -167.053164469992 -96.1774920120752</f>
        <v>-808.12215822158214</v>
      </c>
      <c r="D266">
        <f>-571.868668707617 -179.33110560353 -208.149333871911</f>
        <v>-959.34910818305798</v>
      </c>
      <c r="E266">
        <f>-581.708995393814 -184.943425649123 -306.120346683102</f>
        <v>-1072.7727677260391</v>
      </c>
      <c r="F266">
        <f>-585.733315389258 -188.412215992509 -395.058701775756</f>
        <v>-1169.204233157523</v>
      </c>
      <c r="G266">
        <f>-584.485494442368 -190.345749741465 -484.125777684315</f>
        <v>-1258.9570218681479</v>
      </c>
      <c r="H266">
        <f>-577.174225966516 -191.576317021514 -608.487512519899</f>
        <v>-1377.2380555079289</v>
      </c>
      <c r="I266">
        <f>-539.822778216582 -186.162142664749 -682.518527883734</f>
        <v>-1408.5034487650651</v>
      </c>
      <c r="J266">
        <f>-584.250310320161 -163.600300872006 -554.260339811668</f>
        <v>-1302.110951003835</v>
      </c>
      <c r="K266">
        <f>-606.555411646831 -28.9619261472699 -537.725219560798</f>
        <v>-1173.242557354899</v>
      </c>
      <c r="L266" t="s">
        <v>1946</v>
      </c>
      <c r="M266" t="s">
        <v>1947</v>
      </c>
      <c r="N266">
        <f>-576.53271341463 -218.469290264964 -553.263725191694</f>
        <v>-1348.265728871288</v>
      </c>
      <c r="O266">
        <f>-567.59245791592 -352.360218030544 -523.459092483989</f>
        <v>-1443.4117684304531</v>
      </c>
      <c r="P266">
        <f>-606.793302585246 -414.804838638022 -238.581666073536</f>
        <v>-1260.179807296804</v>
      </c>
      <c r="Q266">
        <f>-440.191647145353 -250.944688063685 -297.272615718435</f>
        <v>-988.40895092747292</v>
      </c>
      <c r="R266">
        <f>-572.242197582403 -76.0864881591674 -100.663550074078</f>
        <v>-748.99223581564843</v>
      </c>
      <c r="S266" t="s">
        <v>1948</v>
      </c>
      <c r="T266" t="s">
        <v>1949</v>
      </c>
      <c r="U266" t="s">
        <v>1950</v>
      </c>
      <c r="V266">
        <f>-517.767472050531 -258.24309527043 -93.7598472145845</f>
        <v>-869.77041453554546</v>
      </c>
      <c r="W266" t="s">
        <v>1951</v>
      </c>
      <c r="X266" t="s">
        <v>1952</v>
      </c>
      <c r="Y266" t="s">
        <v>1953</v>
      </c>
    </row>
    <row r="267" spans="1:25" x14ac:dyDescent="0.3">
      <c r="A267">
        <v>13300</v>
      </c>
      <c r="B267" t="s">
        <v>1954</v>
      </c>
      <c r="C267">
        <f>-544.70386312074 -166.554483921663 -96.1521761554408</f>
        <v>-807.41052319784387</v>
      </c>
      <c r="D267">
        <f>-571.541085248612 -178.80369733373 -208.160826628167</f>
        <v>-958.50560921050908</v>
      </c>
      <c r="E267">
        <f>-581.190823991248 -184.553540711916 -306.142839219668</f>
        <v>-1071.887203922832</v>
      </c>
      <c r="F267">
        <f>-585.017873732719 -188.213389749904 -395.082201448206</f>
        <v>-1168.313464930829</v>
      </c>
      <c r="G267">
        <f>-583.550098692729 -190.40575544717 -484.139892497162</f>
        <v>-1258.095746637061</v>
      </c>
      <c r="H267">
        <f>-575.910221271131 -192.069489334018 -608.476877148007</f>
        <v>-1376.4565877531559</v>
      </c>
      <c r="I267">
        <f>-538.45105116735 -186.997406274627 -682.477647351171</f>
        <v>-1407.9261047931479</v>
      </c>
      <c r="J267">
        <f>-583.113842930109 -163.902494869183 -554.365493548556</f>
        <v>-1301.3818313478478</v>
      </c>
      <c r="K267">
        <f>-605.375191758766 -29.2143759825469 -538.203447575968</f>
        <v>-1172.7930153172811</v>
      </c>
      <c r="L267" t="s">
        <v>1955</v>
      </c>
      <c r="M267" t="s">
        <v>1956</v>
      </c>
      <c r="N267">
        <f>-575.430518458884 -218.772250829446 -553.159221593991</f>
        <v>-1347.3619908823209</v>
      </c>
      <c r="O267">
        <f>-566.521290842185 -352.581138047118 -522.936792654261</f>
        <v>-1442.0392215435641</v>
      </c>
      <c r="P267">
        <f>-605.600099881163 -414.238256010476 -237.871115200122</f>
        <v>-1257.7094710917611</v>
      </c>
      <c r="Q267">
        <f>-439.472663302503 -250.521384503836 -298.281123320403</f>
        <v>-988.27517112674207</v>
      </c>
      <c r="R267">
        <f>-571.989312989299 -75.4616241248796 -100.644694121323</f>
        <v>-748.09563123550163</v>
      </c>
      <c r="S267" t="s">
        <v>1957</v>
      </c>
      <c r="T267" t="s">
        <v>1958</v>
      </c>
      <c r="U267" t="s">
        <v>1959</v>
      </c>
      <c r="V267">
        <f>-517.659297605737 -257.78076600989 -93.7091801118208</f>
        <v>-869.14924372744781</v>
      </c>
      <c r="W267" t="s">
        <v>1960</v>
      </c>
      <c r="X267" t="s">
        <v>1961</v>
      </c>
      <c r="Y267" t="s">
        <v>1962</v>
      </c>
    </row>
    <row r="268" spans="1:25" x14ac:dyDescent="0.3">
      <c r="A268">
        <v>13350</v>
      </c>
      <c r="B268" t="s">
        <v>1963</v>
      </c>
      <c r="C268">
        <f>-544.648268894506 -166.383072882048 -96.1471847918009</f>
        <v>-807.17852656835487</v>
      </c>
      <c r="D268">
        <f>-571.383608531102 -178.62175786613 -208.181400559839</f>
        <v>-958.18676695707109</v>
      </c>
      <c r="E268">
        <f>-580.927497553668 -184.455535867676 -306.168850389571</f>
        <v>-1071.5518838109149</v>
      </c>
      <c r="F268">
        <f>-584.654048220226 -188.228563583075 -395.107739552125</f>
        <v>-1167.9903513554259</v>
      </c>
      <c r="G268">
        <f>-583.081977453398 -190.572149272307 -484.159885186535</f>
        <v>-1257.8140119122399</v>
      </c>
      <c r="H268">
        <f>-575.293550035752 -192.486951916346 -608.483957646618</f>
        <v>-1376.264459598716</v>
      </c>
      <c r="I268">
        <f>-537.795503316223 -187.592102041398 -682.476994576813</f>
        <v>-1407.864599934434</v>
      </c>
      <c r="J268">
        <f>-582.553904063495 -164.20966667457 -554.437673589533</f>
        <v>-1301.201244327598</v>
      </c>
      <c r="K268">
        <f>-604.782046594393 -29.4905662843591 -538.483908231646</f>
        <v>-1172.7565211103981</v>
      </c>
      <c r="L268" t="s">
        <v>1964</v>
      </c>
      <c r="M268" t="s">
        <v>1965</v>
      </c>
      <c r="N268">
        <f>-574.887787534786 -219.079031812013 -553.112294163461</f>
        <v>-1347.07911351026</v>
      </c>
      <c r="O268">
        <f>-565.98421703476 -352.827951334256 -522.635039784671</f>
        <v>-1441.4472081536869</v>
      </c>
      <c r="P268">
        <f>-605.022055183778 -413.827666670797 -237.422386763829</f>
        <v>-1256.272108618404</v>
      </c>
      <c r="Q268">
        <f>-439.195360457992 -249.975592140429 -298.289841769702</f>
        <v>-987.46079436812306</v>
      </c>
      <c r="R268">
        <f>-571.878992425148 -75.210794681713 -100.657787915116</f>
        <v>-747.74757502197701</v>
      </c>
      <c r="S268" t="s">
        <v>1966</v>
      </c>
      <c r="T268" t="s">
        <v>1967</v>
      </c>
      <c r="U268" t="s">
        <v>1968</v>
      </c>
      <c r="V268">
        <f>-517.674072613001 -257.715809032142 -93.6864853441799</f>
        <v>-869.07636698932299</v>
      </c>
      <c r="W268" t="s">
        <v>1969</v>
      </c>
      <c r="X268" t="s">
        <v>1970</v>
      </c>
      <c r="Y268" t="s">
        <v>1971</v>
      </c>
    </row>
    <row r="269" spans="1:25" x14ac:dyDescent="0.3">
      <c r="A269">
        <v>13400</v>
      </c>
      <c r="B269" t="s">
        <v>1972</v>
      </c>
      <c r="C269">
        <f>-544.555072766696 -165.699182699607 -96.1493592053915</f>
        <v>-806.40361467169453</v>
      </c>
      <c r="D269">
        <f>-571.124304677808 -177.945939635119 -208.222232138566</f>
        <v>-957.29247645149303</v>
      </c>
      <c r="E269">
        <f>-580.475174448799 -183.979462383717 -306.216193213541</f>
        <v>-1070.6708300460568</v>
      </c>
      <c r="F269">
        <f>-584.011046164677 -188.011243505483 -395.151518632711</f>
        <v>-1167.1738083028711</v>
      </c>
      <c r="G269">
        <f>-582.235124309934 -190.691460672667 -484.190229115333</f>
        <v>-1257.1168140979341</v>
      </c>
      <c r="H269">
        <f>-574.150622344283 -193.159397010531 -608.485608077995</f>
        <v>-1375.7956274328089</v>
      </c>
      <c r="I269">
        <f>-536.580347721564 -188.668415756785 -682.467766252381</f>
        <v>-1407.7165297307301</v>
      </c>
      <c r="J269">
        <f>-581.517012994478 -164.638809883933 -554.581822344755</f>
        <v>-1300.7376452231661</v>
      </c>
      <c r="K269">
        <f>-603.588171372457 -29.8322716572648 -539.151403624843</f>
        <v>-1172.571846654565</v>
      </c>
      <c r="L269" t="s">
        <v>1973</v>
      </c>
      <c r="M269" t="s">
        <v>1974</v>
      </c>
      <c r="N269">
        <f>-573.899422385236 -219.508081673345 -552.996947336198</f>
        <v>-1346.404451394779</v>
      </c>
      <c r="O269">
        <f>-565.037775223724 -353.13093947643 -521.935935564245</f>
        <v>-1440.104650264399</v>
      </c>
      <c r="P269">
        <f>-603.982835796428 -413.294560857739 -236.53299611103</f>
        <v>-1253.8103927651969</v>
      </c>
      <c r="Q269">
        <f>-439.173654370976 -248.5605231273 -297.782172120974</f>
        <v>-985.51634961925004</v>
      </c>
      <c r="R269">
        <f>-571.702519096479 -74.4468312821025 -100.723290689065</f>
        <v>-746.87264106764655</v>
      </c>
      <c r="S269" t="s">
        <v>1975</v>
      </c>
      <c r="T269" t="s">
        <v>1976</v>
      </c>
      <c r="U269" t="s">
        <v>1977</v>
      </c>
      <c r="V269">
        <f>-517.692597276242 -257.086444563713 -93.6434716243513</f>
        <v>-868.42251346430623</v>
      </c>
      <c r="W269" t="s">
        <v>1978</v>
      </c>
      <c r="X269" t="s">
        <v>1979</v>
      </c>
      <c r="Y269" t="s">
        <v>1980</v>
      </c>
    </row>
    <row r="270" spans="1:25" x14ac:dyDescent="0.3">
      <c r="A270">
        <v>13450</v>
      </c>
      <c r="B270" t="s">
        <v>1981</v>
      </c>
      <c r="C270">
        <f>-544.54403204975 -165.224677429782 -96.1527760349763</f>
        <v>-805.92148551450828</v>
      </c>
      <c r="D270">
        <f>-571.054505829488 -177.46730329317 -208.239898906273</f>
        <v>-956.76170802893091</v>
      </c>
      <c r="E270">
        <f>-580.315580915095 -183.598774164089 -306.236317036624</f>
        <v>-1070.150672115808</v>
      </c>
      <c r="F270">
        <f>-583.757425240526 -187.759724016485 -395.169331089036</f>
        <v>-1166.6864803460469</v>
      </c>
      <c r="G270">
        <f>-581.875272079336 -190.61020436068 -484.200632730987</f>
        <v>-1256.686109171003</v>
      </c>
      <c r="H270">
        <f>-573.631372822487 -193.358923619649 -608.479698616993</f>
        <v>-1375.4699950591289</v>
      </c>
      <c r="I270">
        <f>-536.013067901895 -189.093990898347 -682.450808057221</f>
        <v>-1407.5578668574631</v>
      </c>
      <c r="J270">
        <f>-581.053276768131 -164.71464744511 -554.649079517938</f>
        <v>-1300.4170037311792</v>
      </c>
      <c r="K270">
        <f>-603.046700969179 -29.8653070238211 -539.502705497544</f>
        <v>-1172.414713490544</v>
      </c>
      <c r="L270" t="s">
        <v>1982</v>
      </c>
      <c r="M270" t="s">
        <v>1983</v>
      </c>
      <c r="N270">
        <f>-573.465040074557 -219.583915164857 -552.932322888905</f>
        <v>-1345.981278128319</v>
      </c>
      <c r="O270">
        <f>-564.662399296115 -353.138135989921 -521.581477702172</f>
        <v>-1439.3820129882081</v>
      </c>
      <c r="P270">
        <f>-603.61184062032 -412.977873887398 -236.111028291254</f>
        <v>-1252.700742798972</v>
      </c>
      <c r="Q270">
        <f>-439.313606840777 -247.790647904851 -297.512982442392</f>
        <v>-984.61723718802</v>
      </c>
      <c r="R270">
        <f>-571.660423073428 -73.9610056046283 -100.754582335667</f>
        <v>-746.37601101372331</v>
      </c>
      <c r="S270" t="s">
        <v>1984</v>
      </c>
      <c r="T270" t="s">
        <v>1985</v>
      </c>
      <c r="U270" t="s">
        <v>1986</v>
      </c>
      <c r="V270">
        <f>-517.712967748276 -256.564788529463 -93.6272707567229</f>
        <v>-867.9050270344618</v>
      </c>
      <c r="W270" t="s">
        <v>1987</v>
      </c>
      <c r="X270" t="s">
        <v>1988</v>
      </c>
      <c r="Y270" t="s">
        <v>1989</v>
      </c>
    </row>
    <row r="271" spans="1:25" x14ac:dyDescent="0.3">
      <c r="A271">
        <v>13500</v>
      </c>
      <c r="B271" t="s">
        <v>1990</v>
      </c>
      <c r="C271">
        <f>-544.555142799909 -164.32201582878 -96.1675816144206</f>
        <v>-805.04474024310957</v>
      </c>
      <c r="D271">
        <f>-570.965444571492 -176.541688646291 -208.281002049482</f>
        <v>-955.78813526726492</v>
      </c>
      <c r="E271">
        <f>-580.044665725861 -182.845137197897 -306.283486049506</f>
        <v>-1069.1732889732639</v>
      </c>
      <c r="F271">
        <f>-583.287768282357 -187.238644445864 -395.212757965394</f>
        <v>-1165.7391706936151</v>
      </c>
      <c r="G271">
        <f>-581.175702346168 -190.399470137257 -484.22838920205</f>
        <v>-1255.803561685475</v>
      </c>
      <c r="H271">
        <f>-572.580180176288 -193.663127613482 -608.471371806755</f>
        <v>-1374.714679596525</v>
      </c>
      <c r="I271">
        <f>-534.839210853187 -189.873539036278 -682.405595405428</f>
        <v>-1407.1183452948931</v>
      </c>
      <c r="J271">
        <f>-580.123381649571 -164.79181713812 -554.779021758765</f>
        <v>-1299.6942205464561</v>
      </c>
      <c r="K271">
        <f>-601.910792215153 -29.8469376211522 -540.194926248807</f>
        <v>-1171.9526560851123</v>
      </c>
      <c r="L271" t="s">
        <v>1991</v>
      </c>
      <c r="M271" t="s">
        <v>1992</v>
      </c>
      <c r="N271">
        <f>-572.601801260351 -219.66202929035 -552.817261155841</f>
        <v>-1345.0810917065419</v>
      </c>
      <c r="O271">
        <f>-564.001447781357 -353.09675472968 -520.886058349765</f>
        <v>-1437.9842608608019</v>
      </c>
      <c r="P271">
        <f>-603.0708755321 -412.254307507347 -235.289883068926</f>
        <v>-1250.615066108373</v>
      </c>
      <c r="Q271">
        <f>-439.349168607834 -246.791513618821 -297.483715181514</f>
        <v>-983.62439740816899</v>
      </c>
      <c r="R271">
        <f>-571.537851587083 -73.0378784235158 -100.799361489153</f>
        <v>-745.37509149975176</v>
      </c>
      <c r="S271" t="s">
        <v>1993</v>
      </c>
      <c r="T271" t="s">
        <v>1994</v>
      </c>
      <c r="U271" t="s">
        <v>1995</v>
      </c>
      <c r="V271">
        <f>-517.831302909546 -255.753577525794 -93.5888741205736</f>
        <v>-867.17375455591355</v>
      </c>
      <c r="W271" t="s">
        <v>1996</v>
      </c>
      <c r="X271" t="s">
        <v>1997</v>
      </c>
      <c r="Y271" t="s">
        <v>1998</v>
      </c>
    </row>
    <row r="272" spans="1:25" x14ac:dyDescent="0.3">
      <c r="A272">
        <v>13550</v>
      </c>
      <c r="B272" t="s">
        <v>1999</v>
      </c>
      <c r="C272">
        <f>-544.591102135969 -164.061010918367 -96.1579739822054</f>
        <v>-804.8100870365414</v>
      </c>
      <c r="D272">
        <f>-570.970846810452 -176.258367774126 -208.280887624626</f>
        <v>-955.51010220920398</v>
      </c>
      <c r="E272">
        <f>-579.968896148595 -182.634486659048 -306.286266643366</f>
        <v>-1068.8896494510091</v>
      </c>
      <c r="F272">
        <f>-583.118282124343 -187.131003574973 -395.213732751318</f>
        <v>-1165.4630184506339</v>
      </c>
      <c r="G272">
        <f>-580.89378131629 -190.432512271635 -484.221550039776</f>
        <v>-1255.547843627701</v>
      </c>
      <c r="H272">
        <f>-572.122388572002 -193.932755385493 -608.445597797838</f>
        <v>-1374.5007417553329</v>
      </c>
      <c r="I272">
        <f>-534.30838147788 -190.386185211629 -682.35469265556</f>
        <v>-1407.049259345069</v>
      </c>
      <c r="J272">
        <f>-579.722737151428 -164.956621047399 -554.817832797346</f>
        <v>-1299.497190996173</v>
      </c>
      <c r="K272">
        <f>-601.404399981707 -29.9629583603287 -540.501679315494</f>
        <v>-1171.8690376575296</v>
      </c>
      <c r="L272" t="s">
        <v>2000</v>
      </c>
      <c r="M272" t="s">
        <v>2001</v>
      </c>
      <c r="N272">
        <f>-572.241713906364 -219.828208102191 -552.743558789359</f>
        <v>-1344.8134807979141</v>
      </c>
      <c r="O272">
        <f>-563.77346065208 -353.19803423332 -520.52378704076</f>
        <v>-1437.49528192616</v>
      </c>
      <c r="P272">
        <f>-603.065617045821 -411.700374401913 -234.823295407084</f>
        <v>-1249.5892868548181</v>
      </c>
      <c r="Q272">
        <f>-439.153119885998 -246.587464583889 -297.443986448078</f>
        <v>-983.18457091796506</v>
      </c>
      <c r="R272">
        <f>-571.502460817182 -72.7180025470689 -100.80260340134</f>
        <v>-745.0230667655909</v>
      </c>
      <c r="S272" t="s">
        <v>2002</v>
      </c>
      <c r="T272" t="s">
        <v>2003</v>
      </c>
      <c r="U272" t="s">
        <v>2004</v>
      </c>
      <c r="V272">
        <f>-517.947649094635 -255.624840419908 -93.5550847214605</f>
        <v>-867.12757423600351</v>
      </c>
      <c r="W272" t="s">
        <v>2005</v>
      </c>
      <c r="X272" t="s">
        <v>2006</v>
      </c>
      <c r="Y272" t="s">
        <v>2007</v>
      </c>
    </row>
    <row r="273" spans="1:25" x14ac:dyDescent="0.3">
      <c r="A273">
        <v>13600</v>
      </c>
      <c r="B273" t="s">
        <v>2008</v>
      </c>
      <c r="C273">
        <f>-544.600474669908 -163.539539564453 -96.1351885752888</f>
        <v>-804.27520280964973</v>
      </c>
      <c r="D273">
        <f>-570.912477345232 -175.744370367565 -208.273238038426</f>
        <v>-954.93008575122303</v>
      </c>
      <c r="E273">
        <f>-579.73893265243 -182.285137678026 -306.283281532184</f>
        <v>-1068.30735186264</v>
      </c>
      <c r="F273">
        <f>-582.690630568828 -186.995684020304 -395.206565724886</f>
        <v>-1164.8928803140179</v>
      </c>
      <c r="G273">
        <f>-580.228126235141 -190.579096298957 -484.197123840848</f>
        <v>-1255.004346374946</v>
      </c>
      <c r="H273">
        <f>-571.083997466174 -194.544963331657 -608.380309969179</f>
        <v>-1374.0092707670101</v>
      </c>
      <c r="I273">
        <f>-533.106140881924 -191.496820205517 -682.227736546435</f>
        <v>-1406.8306976338761</v>
      </c>
      <c r="J273">
        <f>-578.802891088275 -165.362317381796 -554.881856513152</f>
        <v>-1299.0470649832232</v>
      </c>
      <c r="K273">
        <f>-600.263854553154 -30.2760551537419 -541.101298719249</f>
        <v>-1171.6412084261451</v>
      </c>
      <c r="L273" t="s">
        <v>2009</v>
      </c>
      <c r="M273" t="s">
        <v>2010</v>
      </c>
      <c r="N273">
        <f>-571.412710977723 -220.237344246668 -552.585131248301</f>
        <v>-1344.235186472692</v>
      </c>
      <c r="O273">
        <f>-563.265780552099 -353.489805153763 -519.814879025219</f>
        <v>-1436.5704647310811</v>
      </c>
      <c r="P273">
        <f>-603.13498706569 -410.549482436345 -233.902552001859</f>
        <v>-1247.587021503894</v>
      </c>
      <c r="Q273">
        <f>-438.513715327277 -246.505394692781 -297.465522169231</f>
        <v>-982.48463218928896</v>
      </c>
      <c r="R273">
        <f>-571.462238750147 -72.0696134833297 -100.820692735994</f>
        <v>-744.35254496947073</v>
      </c>
      <c r="S273" t="s">
        <v>2011</v>
      </c>
      <c r="T273" t="s">
        <v>2012</v>
      </c>
      <c r="U273" t="s">
        <v>2013</v>
      </c>
      <c r="V273">
        <f>-518.02049246881 -255.123717940401 -93.518038605565</f>
        <v>-866.66224901477597</v>
      </c>
      <c r="W273" t="s">
        <v>2014</v>
      </c>
      <c r="X273" t="s">
        <v>2015</v>
      </c>
      <c r="Y273" t="s">
        <v>2016</v>
      </c>
    </row>
    <row r="274" spans="1:25" x14ac:dyDescent="0.3">
      <c r="A274">
        <v>13650</v>
      </c>
      <c r="B274" t="s">
        <v>2017</v>
      </c>
      <c r="C274">
        <f>-544.612668584487 -163.10117692576 -96.1364224832238</f>
        <v>-803.85026799347077</v>
      </c>
      <c r="D274">
        <f>-570.884412566549 -175.307976778297 -208.283650210255</f>
        <v>-954.47603955510101</v>
      </c>
      <c r="E274">
        <f>-579.623179677187 -181.92746132136 -306.296302259583</f>
        <v>-1067.8469432581298</v>
      </c>
      <c r="F274">
        <f>-582.475673138325 -186.741553202335 -395.217226235551</f>
        <v>-1164.434452576211</v>
      </c>
      <c r="G274">
        <f>-579.894749031324 -190.461434401702 -484.198938412967</f>
        <v>-1254.555121845993</v>
      </c>
      <c r="H274">
        <f>-570.566918563235 -194.653935512316 -608.361018287604</f>
        <v>-1373.5818723631551</v>
      </c>
      <c r="I274">
        <f>-532.505912693807 -191.847386096471 -682.175029362901</f>
        <v>-1406.528328153179</v>
      </c>
      <c r="J274">
        <f>-578.348204428527 -165.371310061516 -554.926115252466</f>
        <v>-1298.6456297425088</v>
      </c>
      <c r="K274">
        <f>-599.72829530936 -30.2555128794509 -541.401164091473</f>
        <v>-1171.3849722802838</v>
      </c>
      <c r="L274" t="s">
        <v>2018</v>
      </c>
      <c r="M274" t="s">
        <v>2019</v>
      </c>
      <c r="N274">
        <f>-570.995164166502 -220.246688749716 -552.520686401725</f>
        <v>-1343.762539317943</v>
      </c>
      <c r="O274">
        <f>-562.957048006206 -353.445387342667 -519.4736476933</f>
        <v>-1435.8760830421729</v>
      </c>
      <c r="P274">
        <f>-603.213353509467 -409.67602176122 -233.451350230334</f>
        <v>-1246.3407255010209</v>
      </c>
      <c r="Q274">
        <f>-438.086329084006 -246.341809775001 -297.528312609138</f>
        <v>-981.95645146814513</v>
      </c>
      <c r="R274">
        <f>-571.47653860888 -71.6497211983776 -100.840462415722</f>
        <v>-743.96672222297957</v>
      </c>
      <c r="S274" t="s">
        <v>2020</v>
      </c>
      <c r="T274" t="s">
        <v>2021</v>
      </c>
      <c r="U274" t="s">
        <v>2022</v>
      </c>
      <c r="V274">
        <f>-518.018996687334 -254.621720411295 -93.5118352936978</f>
        <v>-866.15255239232681</v>
      </c>
      <c r="W274" t="s">
        <v>2023</v>
      </c>
      <c r="X274" t="s">
        <v>2024</v>
      </c>
      <c r="Y274" t="s">
        <v>2025</v>
      </c>
    </row>
    <row r="275" spans="1:25" x14ac:dyDescent="0.3">
      <c r="A275">
        <v>13700</v>
      </c>
      <c r="B275" t="s">
        <v>2026</v>
      </c>
      <c r="C275">
        <f>-544.764442931278 -162.3856795488 -96.1825523432093</f>
        <v>-803.33267482328733</v>
      </c>
      <c r="D275">
        <f>-570.91622640125 -174.592920972598 -208.357908515396</f>
        <v>-953.86705588924406</v>
      </c>
      <c r="E275">
        <f>-579.472412971993 -181.34667768656 -306.377450117442</f>
        <v>-1067.1965407759949</v>
      </c>
      <c r="F275">
        <f>-582.130582254218 -186.337649776346 -395.294492805575</f>
        <v>-1163.7627248361389</v>
      </c>
      <c r="G275">
        <f>-579.328273905438 -190.291265989955 -484.259540992537</f>
        <v>-1253.8790808879301</v>
      </c>
      <c r="H275">
        <f>-569.664832443881 -194.870713103367 -608.382237966457</f>
        <v>-1372.9177835137048</v>
      </c>
      <c r="I275">
        <f>-531.464338712883 -192.494984572839 -682.139411899432</f>
        <v>-1406.0987351851541</v>
      </c>
      <c r="J275">
        <f>-577.564338953249 -165.418161262597 -555.058292779352</f>
        <v>-1298.040792995198</v>
      </c>
      <c r="K275">
        <f>-598.81020075587 -30.2301125996221 -541.987956224258</f>
        <v>-1171.02826957975</v>
      </c>
      <c r="L275" t="s">
        <v>2027</v>
      </c>
      <c r="M275" t="s">
        <v>2028</v>
      </c>
      <c r="N275">
        <f>-570.270103865777 -220.292961314501 -552.465718799995</f>
        <v>-1343.0287839802729</v>
      </c>
      <c r="O275">
        <f>-562.44650684679 -353.374765876095 -518.92714598373</f>
        <v>-1434.7484187066152</v>
      </c>
      <c r="P275">
        <f>-603.52123207215 -408.109604053024 -232.731083209971</f>
        <v>-1244.3619193351451</v>
      </c>
      <c r="Q275">
        <f>-437.471669987088 -246.053371131558 -297.663251535216</f>
        <v>-981.18829265386194</v>
      </c>
      <c r="R275">
        <f>-571.612216373306 -70.9173274824548 -100.904855841115</f>
        <v>-743.43439969687574</v>
      </c>
      <c r="S275" t="s">
        <v>2029</v>
      </c>
      <c r="T275" t="s">
        <v>2030</v>
      </c>
      <c r="U275" t="s">
        <v>2031</v>
      </c>
      <c r="V275">
        <f>-518.170370322469 -253.980887494913 -93.5053290691832</f>
        <v>-865.65658688656515</v>
      </c>
      <c r="W275" t="s">
        <v>2032</v>
      </c>
      <c r="X275" t="s">
        <v>2033</v>
      </c>
      <c r="Y275" t="s">
        <v>2034</v>
      </c>
    </row>
    <row r="276" spans="1:25" x14ac:dyDescent="0.3">
      <c r="A276">
        <v>13750</v>
      </c>
      <c r="B276" t="s">
        <v>2035</v>
      </c>
      <c r="C276">
        <f>-544.785747318185 -162.111686637199 -96.204502418497</f>
        <v>-803.10193637388102</v>
      </c>
      <c r="D276">
        <f>-570.8709556507 -174.333489300967 -208.393680991477</f>
        <v>-953.59812594314405</v>
      </c>
      <c r="E276">
        <f>-579.334393755325 -181.160715152743 -306.416258266191</f>
        <v>-1066.9113671742589</v>
      </c>
      <c r="F276">
        <f>-581.895885846238 -186.243812153731 -395.331009050281</f>
        <v>-1163.47070705025</v>
      </c>
      <c r="G276">
        <f>-578.984839441937 -190.315615548668 -484.287074930752</f>
        <v>-1253.5875299213569</v>
      </c>
      <c r="H276">
        <f>-569.157532926808 -195.088189006835 -608.389645775216</f>
        <v>-1372.6353677088591</v>
      </c>
      <c r="I276">
        <f>-530.882078830561 -192.903905682403 -682.113853576076</f>
        <v>-1405.89983808904</v>
      </c>
      <c r="J276">
        <f>-577.113707444959 -165.550853414712 -555.121016109675</f>
        <v>-1297.785576969346</v>
      </c>
      <c r="K276">
        <f>-598.270844596158 -30.3293499030983 -542.269513179152</f>
        <v>-1170.8697076784083</v>
      </c>
      <c r="L276" t="s">
        <v>2036</v>
      </c>
      <c r="M276" t="s">
        <v>2037</v>
      </c>
      <c r="N276">
        <f>-569.850415690367 -220.425226708476 -552.435491080125</f>
        <v>-1342.7111334789679</v>
      </c>
      <c r="O276">
        <f>-562.139081070021 -353.46667806226 -518.699590424267</f>
        <v>-1434.305349556548</v>
      </c>
      <c r="P276">
        <f>-603.624553749165 -407.551174470246 -232.439195748995</f>
        <v>-1243.6149239684059</v>
      </c>
      <c r="Q276">
        <f>-437.244276083448 -245.962969922993 -297.690876040738</f>
        <v>-980.89812204717896</v>
      </c>
      <c r="R276">
        <f>-571.608388535322 -70.6568172272068 -100.950019562247</f>
        <v>-743.21522532477582</v>
      </c>
      <c r="S276" t="s">
        <v>2038</v>
      </c>
      <c r="T276" t="s">
        <v>2039</v>
      </c>
      <c r="U276" t="s">
        <v>2040</v>
      </c>
      <c r="V276">
        <f>-518.179407032415 -253.73321415909 -93.4982916256681</f>
        <v>-865.4109128171732</v>
      </c>
      <c r="W276" t="s">
        <v>2041</v>
      </c>
      <c r="X276" t="s">
        <v>2042</v>
      </c>
      <c r="Y276" t="s">
        <v>2043</v>
      </c>
    </row>
    <row r="277" spans="1:25" x14ac:dyDescent="0.3">
      <c r="A277">
        <v>13800</v>
      </c>
      <c r="B277" t="s">
        <v>2044</v>
      </c>
      <c r="C277">
        <f>-544.775180366175 -161.955390026257 -96.2347117860149</f>
        <v>-802.96528217844696</v>
      </c>
      <c r="D277">
        <f>-570.722210521817 -174.182135089132 -208.455355666045</f>
        <v>-953.35970127699397</v>
      </c>
      <c r="E277">
        <f>-578.958233497945 -181.115138054837 -306.489772737883</f>
        <v>-1066.5631442906649</v>
      </c>
      <c r="F277">
        <f>-581.272663103774 -186.337166601242 -395.403411451931</f>
        <v>-1163.0132411569471</v>
      </c>
      <c r="G277">
        <f>-578.074361339528 -190.594163397393 -484.340924079036</f>
        <v>-1253.0094488159571</v>
      </c>
      <c r="H277">
        <f>-567.805787643783 -195.675691175389 -608.395534846576</f>
        <v>-1371.8770136657481</v>
      </c>
      <c r="I277">
        <f>-529.321713906101 -193.833972086946 -682.020313753118</f>
        <v>-1405.175999746165</v>
      </c>
      <c r="J277">
        <f>-575.906784595891 -165.999784277057 -555.225782651277</f>
        <v>-1297.132351524225</v>
      </c>
      <c r="K277">
        <f>-596.767564526811 -30.6930690425652 -542.783559787277</f>
        <v>-1170.2441933566533</v>
      </c>
      <c r="L277" t="s">
        <v>2045</v>
      </c>
      <c r="M277" t="s">
        <v>2046</v>
      </c>
      <c r="N277">
        <f>-568.741960364725 -220.879312833051 -552.384697709258</f>
        <v>-1342.005970907034</v>
      </c>
      <c r="O277">
        <f>-561.349172168487 -353.837681145133 -518.261177261483</f>
        <v>-1433.4480305751031</v>
      </c>
      <c r="P277">
        <f>-603.195310153511 -407.098652465467 -231.898809792338</f>
        <v>-1242.1927724113159</v>
      </c>
      <c r="Q277">
        <f>-436.484539828149 -245.998211165618 -297.511664989201</f>
        <v>-979.99441598296801</v>
      </c>
      <c r="R277">
        <f>-571.478376970793 -70.4794959975766 -101.019432055423</f>
        <v>-742.9773050237925</v>
      </c>
      <c r="S277" t="s">
        <v>2047</v>
      </c>
      <c r="T277" t="s">
        <v>2048</v>
      </c>
      <c r="U277" t="s">
        <v>2049</v>
      </c>
      <c r="V277">
        <f>-518.324165180367 -253.637223041998 -93.4735841634275</f>
        <v>-865.43497238579255</v>
      </c>
      <c r="W277" t="s">
        <v>2050</v>
      </c>
      <c r="X277" t="s">
        <v>2051</v>
      </c>
      <c r="Y277" t="s">
        <v>2052</v>
      </c>
    </row>
    <row r="278" spans="1:25" x14ac:dyDescent="0.3">
      <c r="A278">
        <v>13850</v>
      </c>
      <c r="B278" t="s">
        <v>2053</v>
      </c>
      <c r="C278">
        <f>-544.743493555825 -161.892070459619 -96.2353487829561</f>
        <v>-802.87091279840013</v>
      </c>
      <c r="D278">
        <f>-570.610475305588 -174.092478363833 -208.477454421869</f>
        <v>-953.18040809129002</v>
      </c>
      <c r="E278">
        <f>-578.729989246935 -181.065603742076 -306.518628566408</f>
        <v>-1066.314221555419</v>
      </c>
      <c r="F278">
        <f>-580.921329022276 -186.349936287206 -395.43174847495</f>
        <v>-1162.703013784432</v>
      </c>
      <c r="G278">
        <f>-577.583292166952 -190.695576664302 -484.359883872458</f>
        <v>-1252.6387527037118</v>
      </c>
      <c r="H278">
        <f>-567.103249113696 -195.929369893218 -608.390431644955</f>
        <v>-1371.4230506518691</v>
      </c>
      <c r="I278">
        <f>-528.514230398826 -194.25546602895 -681.96432003064</f>
        <v>-1404.7340164584161</v>
      </c>
      <c r="J278">
        <f>-575.268319368428 -166.184673349889 -555.26887015904</f>
        <v>-1296.7218628773571</v>
      </c>
      <c r="K278">
        <f>-595.990560994413 -30.8419138070576 -542.99767919607</f>
        <v>-1169.8301539975405</v>
      </c>
      <c r="L278" t="s">
        <v>2054</v>
      </c>
      <c r="M278" t="s">
        <v>2055</v>
      </c>
      <c r="N278">
        <f>-568.161555297348 -221.067680265763 -552.35248502242</f>
        <v>-1341.581720585531</v>
      </c>
      <c r="O278">
        <f>-560.92383465555 -353.99810172553 -518.067347766056</f>
        <v>-1432.989284147136</v>
      </c>
      <c r="P278">
        <f>-603.008186128738 -406.990734288896 -231.69013388416</f>
        <v>-1241.6890543017939</v>
      </c>
      <c r="Q278">
        <f>-436.230336779804 -246.008756723462 -297.423033831144</f>
        <v>-979.66212733441012</v>
      </c>
      <c r="R278">
        <f>-571.331557134108 -70.4452234338394 -101.039510897319</f>
        <v>-742.81629146526643</v>
      </c>
      <c r="S278" t="s">
        <v>2056</v>
      </c>
      <c r="T278" t="s">
        <v>2057</v>
      </c>
      <c r="U278" t="s">
        <v>2058</v>
      </c>
      <c r="V278">
        <f>-518.404585277637 -253.515165568355 -93.4618411150973</f>
        <v>-865.38159196108927</v>
      </c>
      <c r="W278" t="s">
        <v>2059</v>
      </c>
      <c r="X278" t="s">
        <v>2060</v>
      </c>
      <c r="Y278" t="s">
        <v>2061</v>
      </c>
    </row>
    <row r="279" spans="1:25" x14ac:dyDescent="0.3">
      <c r="A279">
        <v>13900</v>
      </c>
      <c r="B279" t="s">
        <v>2062</v>
      </c>
      <c r="C279">
        <f>-544.7498546118 -161.756716660429 -96.2413631446144</f>
        <v>-802.74793441684335</v>
      </c>
      <c r="D279">
        <f>-570.543194496162 -173.900240678811 -208.506490934867</f>
        <v>-952.94992610983991</v>
      </c>
      <c r="E279">
        <f>-578.552352322778 -180.900122910765 -306.555022161242</f>
        <v>-1066.0074973947851</v>
      </c>
      <c r="F279">
        <f>-580.626509949 -186.238433710683 -395.467620085025</f>
        <v>-1162.3325637447081</v>
      </c>
      <c r="G279">
        <f>-577.155736848986 -190.669071422111 -484.386467071135</f>
        <v>-1252.2112753422318</v>
      </c>
      <c r="H279">
        <f>-566.474632351538 -196.053485634708 -608.393483583478</f>
        <v>-1370.9216015697241</v>
      </c>
      <c r="I279">
        <f>-527.777675268182 -194.534375986257 -681.914093749709</f>
        <v>-1404.2261450041478</v>
      </c>
      <c r="J279">
        <f>-574.702152800642 -166.241128129002 -555.319531062944</f>
        <v>-1296.262811992588</v>
      </c>
      <c r="K279">
        <f>-595.339636887785 -30.868558111923 -543.222960919356</f>
        <v>-1169.4311559190639</v>
      </c>
      <c r="L279" t="s">
        <v>2063</v>
      </c>
      <c r="M279" t="s">
        <v>2064</v>
      </c>
      <c r="N279">
        <f>-567.647521759473 -221.127004821255 -552.32867860301</f>
        <v>-1341.1032051837378</v>
      </c>
      <c r="O279">
        <f>-560.565702289747 -354.020332651528 -517.887005948761</f>
        <v>-1432.4730408900361</v>
      </c>
      <c r="P279">
        <f>-602.92214666722 -406.737226437301 -231.499074082819</f>
        <v>-1241.1584471873398</v>
      </c>
      <c r="Q279">
        <f>-436.063676893519 -245.899094348963 -297.379363086475</f>
        <v>-979.34213432895694</v>
      </c>
      <c r="R279">
        <f>-571.241404448835 -70.3054639531217 -101.054747755278</f>
        <v>-742.60161615723473</v>
      </c>
      <c r="S279" t="s">
        <v>2065</v>
      </c>
      <c r="T279" t="s">
        <v>2066</v>
      </c>
      <c r="U279" t="s">
        <v>2067</v>
      </c>
      <c r="V279">
        <f>-518.551496661952 -253.342694849194 -93.4662329383107</f>
        <v>-865.36042444945667</v>
      </c>
      <c r="W279" t="s">
        <v>2068</v>
      </c>
      <c r="X279" t="s">
        <v>2069</v>
      </c>
      <c r="Y279" t="s">
        <v>2070</v>
      </c>
    </row>
    <row r="280" spans="1:25" x14ac:dyDescent="0.3">
      <c r="A280">
        <v>13950</v>
      </c>
      <c r="B280" t="s">
        <v>2071</v>
      </c>
      <c r="C280">
        <f>-544.836424880504 -161.577365349391 -96.2349580224452</f>
        <v>-802.64874825234017</v>
      </c>
      <c r="D280">
        <f>-570.571052428574 -173.668411452158 -208.519240929106</f>
        <v>-952.75870480983804</v>
      </c>
      <c r="E280">
        <f>-578.483600564719 -180.691793416999 -306.573873148565</f>
        <v>-1065.749267130283</v>
      </c>
      <c r="F280">
        <f>-580.453667917246 -186.078837363105 -395.485864031992</f>
        <v>-1162.0183693123429</v>
      </c>
      <c r="G280">
        <f>-576.863152848736 -190.585578193055 -484.39616313118</f>
        <v>-1251.844894172971</v>
      </c>
      <c r="H280">
        <f>-565.999426410453 -196.105797907654 -608.381320638543</f>
        <v>-1370.4865449566501</v>
      </c>
      <c r="I280">
        <f>-527.201923155399 -194.72989920084 -681.851609404735</f>
        <v>-1403.7834317609741</v>
      </c>
      <c r="J280">
        <f>-574.279805504565 -166.232008526471 -555.350150742636</f>
        <v>-1295.8619647736718</v>
      </c>
      <c r="K280">
        <f>-594.798746865176 -30.8270667059448 -543.412705665578</f>
        <v>-1169.0385192366989</v>
      </c>
      <c r="L280" t="s">
        <v>2072</v>
      </c>
      <c r="M280" t="s">
        <v>2073</v>
      </c>
      <c r="N280">
        <f>-567.280203083813 -221.12130312499 -552.292902536865</f>
        <v>-1340.6944087456682</v>
      </c>
      <c r="O280">
        <f>-560.354686735105 -353.985819981748 -517.711461422822</f>
        <v>-1432.051968139675</v>
      </c>
      <c r="P280">
        <f>-603.005968594176 -406.486774086992 -231.327540174089</f>
        <v>-1240.8202828552571</v>
      </c>
      <c r="Q280">
        <f>-436.044819190661 -245.80495069892 -297.328804927989</f>
        <v>-979.17857481757005</v>
      </c>
      <c r="R280">
        <f>-571.22542100277 -70.0583801434875 -101.057917045075</f>
        <v>-742.34171819133246</v>
      </c>
      <c r="S280" t="s">
        <v>2074</v>
      </c>
      <c r="T280" t="s">
        <v>2075</v>
      </c>
      <c r="U280" t="s">
        <v>2076</v>
      </c>
      <c r="V280">
        <f>-518.770961244749 -253.186909961935 -93.4677433254788</f>
        <v>-865.42561453216263</v>
      </c>
      <c r="W280" t="s">
        <v>2077</v>
      </c>
      <c r="X280" t="s">
        <v>2078</v>
      </c>
      <c r="Y280" t="s">
        <v>2079</v>
      </c>
    </row>
    <row r="281" spans="1:25" x14ac:dyDescent="0.3">
      <c r="A281">
        <v>14000</v>
      </c>
      <c r="B281" t="s">
        <v>2080</v>
      </c>
      <c r="C281">
        <f>-544.974270010581 -160.825322015759 -96.1968177788251</f>
        <v>-801.99640980516506</v>
      </c>
      <c r="D281">
        <f>-570.619028347947 -172.780324481852 -208.516152455096</f>
        <v>-951.91550528489506</v>
      </c>
      <c r="E281">
        <f>-578.285831245375 -179.830972933566 -306.588358298961</f>
        <v>-1064.7051624779019</v>
      </c>
      <c r="F281">
        <f>-579.969493661941 -185.301189818175 -395.501362119967</f>
        <v>-1160.7720456000829</v>
      </c>
      <c r="G281">
        <f>-576.030534875537 -189.952648805996 -484.389269802673</f>
        <v>-1250.3724534842061</v>
      </c>
      <c r="H281">
        <f>-564.61792505073 -195.740585857736 -608.312907122078</f>
        <v>-1368.6714180305439</v>
      </c>
      <c r="I281">
        <f>-525.501357879527 -194.748604151421 -681.620150128058</f>
        <v>-1401.8701121590059</v>
      </c>
      <c r="J281">
        <f>-573.030529096652 -165.739024405473 -555.374804373727</f>
        <v>-1294.1443578758522</v>
      </c>
      <c r="K281">
        <f>-593.03353763955 -30.2264474492986 -543.800733030572</f>
        <v>-1167.0607181194205</v>
      </c>
      <c r="L281" t="s">
        <v>2081</v>
      </c>
      <c r="M281" t="s">
        <v>2082</v>
      </c>
      <c r="N281">
        <f>-566.249388832377 -220.648225062041 -552.185789274883</f>
        <v>-1339.0834031693009</v>
      </c>
      <c r="O281">
        <f>-559.936611841119 -353.464077735962 -517.292601283263</f>
        <v>-1430.693290860344</v>
      </c>
      <c r="P281">
        <f>-603.470181875914 -405.229253656881 -230.907542058373</f>
        <v>-1239.6069775911678</v>
      </c>
      <c r="Q281">
        <f>-435.616764912491 -245.462451557968 -296.867186345762</f>
        <v>-977.94640281622094</v>
      </c>
      <c r="R281">
        <f>-570.996514627905 -69.323731963193 -101.035221883286</f>
        <v>-741.355468474384</v>
      </c>
      <c r="S281" t="s">
        <v>2083</v>
      </c>
      <c r="T281" t="s">
        <v>2084</v>
      </c>
      <c r="U281" t="s">
        <v>2085</v>
      </c>
      <c r="V281">
        <f>-519.19646316618 -252.475489743967 -93.4360318461665</f>
        <v>-865.1079847563135</v>
      </c>
      <c r="W281" t="s">
        <v>2086</v>
      </c>
      <c r="X281" t="s">
        <v>2087</v>
      </c>
      <c r="Y281" t="s">
        <v>2088</v>
      </c>
    </row>
    <row r="282" spans="1:25" x14ac:dyDescent="0.3">
      <c r="A282">
        <v>14050</v>
      </c>
      <c r="B282" t="s">
        <v>2089</v>
      </c>
      <c r="C282">
        <f>-544.974679565459 -160.637590422986 -96.1868468524782</f>
        <v>-801.79911684092326</v>
      </c>
      <c r="D282">
        <f>-570.588754383942 -172.55021799413 -208.517696100907</f>
        <v>-951.65666847897899</v>
      </c>
      <c r="E282">
        <f>-578.184010436521 -179.599254716978 -306.59561802492</f>
        <v>-1064.3788831784191</v>
      </c>
      <c r="F282">
        <f>-579.786092757386 -185.081976426424 -395.509090106676</f>
        <v>-1160.3771592904859</v>
      </c>
      <c r="G282">
        <f>-575.748846974977 -189.761073997102 -484.39144914312</f>
        <v>-1249.9013701151989</v>
      </c>
      <c r="H282">
        <f>-564.182312077582 -195.604257345326 -608.298101142873</f>
        <v>-1368.0846705657809</v>
      </c>
      <c r="I282">
        <f>-524.963304071189 -194.732889794325 -681.552097336859</f>
        <v>-1401.2482912023729</v>
      </c>
      <c r="J282">
        <f>-572.620543673544 -165.574059365588 -555.380450601067</f>
        <v>-1293.575053640199</v>
      </c>
      <c r="K282">
        <f>-592.401574292949 -30.0254761796532 -543.876349650258</f>
        <v>-1166.3034001228602</v>
      </c>
      <c r="L282" t="s">
        <v>2090</v>
      </c>
      <c r="M282" t="s">
        <v>2091</v>
      </c>
      <c r="N282">
        <f>-565.923657199397 -220.49198804598 -552.165430518847</f>
        <v>-1338.5810757642239</v>
      </c>
      <c r="O282">
        <f>-559.867584777556 -353.302990359813 -517.204621903619</f>
        <v>-1430.375197040988</v>
      </c>
      <c r="P282">
        <f>-603.724499779608 -404.886039554831 -230.836046920467</f>
        <v>-1239.4465862549059</v>
      </c>
      <c r="Q282">
        <f>-435.501745094575 -245.459907777197 -296.678710016195</f>
        <v>-977.64036288796706</v>
      </c>
      <c r="R282">
        <f>-570.8435435897 -69.1299065665205 -101.019946185798</f>
        <v>-740.99339634201851</v>
      </c>
      <c r="S282" t="s">
        <v>2092</v>
      </c>
      <c r="T282" t="s">
        <v>2093</v>
      </c>
      <c r="U282" t="s">
        <v>2094</v>
      </c>
      <c r="V282">
        <f>-519.323560582238 -252.300211438774 -93.4136327065876</f>
        <v>-865.03740472759955</v>
      </c>
      <c r="W282" t="s">
        <v>2095</v>
      </c>
      <c r="X282" t="s">
        <v>2096</v>
      </c>
      <c r="Y282" t="s">
        <v>2097</v>
      </c>
    </row>
    <row r="283" spans="1:25" x14ac:dyDescent="0.3">
      <c r="A283">
        <v>14100</v>
      </c>
      <c r="B283" t="s">
        <v>2098</v>
      </c>
      <c r="C283">
        <f>-544.887618088404 -160.137885530623 -96.1658611818041</f>
        <v>-801.19136480083102</v>
      </c>
      <c r="D283">
        <f>-570.426828732501 -171.939786137305 -208.525427151582</f>
        <v>-950.89204202138797</v>
      </c>
      <c r="E283">
        <f>-577.866148125516 -178.984581248021 -306.615621399975</f>
        <v>-1063.466350773512</v>
      </c>
      <c r="F283">
        <f>-579.29259868966 -184.500070452525 -395.530032042204</f>
        <v>-1159.3227011843892</v>
      </c>
      <c r="G283">
        <f>-575.046606894574 -189.250815939834 -484.398753656213</f>
        <v>-1248.6961764906209</v>
      </c>
      <c r="H283">
        <f>-563.155168079618 -195.235935646854 -608.268086595911</f>
        <v>-1366.659190322383</v>
      </c>
      <c r="I283">
        <f>-523.727981543507 -194.617826470098 -681.412600519297</f>
        <v>-1399.758408532902</v>
      </c>
      <c r="J283">
        <f>-571.640435319219 -165.133510316933 -555.398817298872</f>
        <v>-1292.1727629350239</v>
      </c>
      <c r="K283">
        <f>-590.955346876525 -29.501087885674 -544.054414005702</f>
        <v>-1164.5108487679011</v>
      </c>
      <c r="L283" t="s">
        <v>2099</v>
      </c>
      <c r="M283" t="s">
        <v>2100</v>
      </c>
      <c r="N283">
        <f>-565.135547165351 -220.070741449257 -552.119802864932</f>
        <v>-1337.3260914795401</v>
      </c>
      <c r="O283">
        <f>-559.600067147699 -352.866218070464 -517.021200578638</f>
        <v>-1429.4874857968009</v>
      </c>
      <c r="P283">
        <f>-604.233932778688 -404.158750407194 -230.72041742493</f>
        <v>-1239.1131006108119</v>
      </c>
      <c r="Q283">
        <f>-435.42202183185 -245.252182052882 -296.310493180737</f>
        <v>-976.98469706546894</v>
      </c>
      <c r="R283">
        <f>-570.534898717992 -68.5713140667647 -100.993723388027</f>
        <v>-740.0999361727836</v>
      </c>
      <c r="S283" t="s">
        <v>2101</v>
      </c>
      <c r="T283" t="s">
        <v>2102</v>
      </c>
      <c r="U283" t="s">
        <v>2103</v>
      </c>
      <c r="V283">
        <f>-519.486461732729 -251.844576011138 -93.3956659107413</f>
        <v>-864.72670365460829</v>
      </c>
      <c r="W283" t="s">
        <v>2104</v>
      </c>
      <c r="X283" t="s">
        <v>2105</v>
      </c>
      <c r="Y283" t="s">
        <v>2106</v>
      </c>
    </row>
    <row r="284" spans="1:25" x14ac:dyDescent="0.3">
      <c r="A284">
        <v>14150</v>
      </c>
      <c r="B284" t="s">
        <v>2107</v>
      </c>
      <c r="C284">
        <f>-544.901912884934 -159.814920972993 -96.1361639819393</f>
        <v>-800.85299783986625</v>
      </c>
      <c r="D284">
        <f>-570.394653613213 -171.548715218404 -208.513494819695</f>
        <v>-950.45686365131201</v>
      </c>
      <c r="E284">
        <f>-577.75724262448 -178.591565535029 -306.609594404726</f>
        <v>-1062.958402564235</v>
      </c>
      <c r="F284">
        <f>-579.101076666571 -184.127629969254 -395.524068144302</f>
        <v>-1158.7527747801271</v>
      </c>
      <c r="G284">
        <f>-574.760012897953 -188.922463699993 -484.385749749407</f>
        <v>-1248.0682263473529</v>
      </c>
      <c r="H284">
        <f>-562.724043415665 -194.994130521648 -608.236882802441</f>
        <v>-1365.9550567397541</v>
      </c>
      <c r="I284">
        <f>-523.195333480771 -194.496160913238 -681.32764071741</f>
        <v>-1399.019135111419</v>
      </c>
      <c r="J284">
        <f>-571.22677228774 -164.849464941465 -555.394547841874</f>
        <v>-1291.4707850710788</v>
      </c>
      <c r="K284">
        <f>-590.327518119318 -29.1761362516768 -544.15295049692</f>
        <v>-1163.6566048679147</v>
      </c>
      <c r="L284" t="s">
        <v>2108</v>
      </c>
      <c r="M284" t="s">
        <v>2109</v>
      </c>
      <c r="N284">
        <f>-564.814198256406 -219.795145055706 -552.077768559648</f>
        <v>-1336.68711187176</v>
      </c>
      <c r="O284">
        <f>-559.538169523977 -352.579615621548 -516.894372403378</f>
        <v>-1429.0121575489029</v>
      </c>
      <c r="P284">
        <f>-604.617420503063 -403.662066740068 -230.626040514178</f>
        <v>-1238.9055277573091</v>
      </c>
      <c r="Q284">
        <f>-435.456791978546 -245.101629197993 -296.155706401438</f>
        <v>-976.71412757797702</v>
      </c>
      <c r="R284">
        <f>-570.413531356844 -68.1703166443633 -100.969083159674</f>
        <v>-739.55293116088137</v>
      </c>
      <c r="S284" t="s">
        <v>2110</v>
      </c>
      <c r="T284" t="s">
        <v>2111</v>
      </c>
      <c r="U284" t="s">
        <v>2112</v>
      </c>
      <c r="V284">
        <f>-519.644711241161 -251.570265934401 -93.3715412949083</f>
        <v>-864.5865184704702</v>
      </c>
      <c r="W284" t="s">
        <v>2113</v>
      </c>
      <c r="X284" t="s">
        <v>2114</v>
      </c>
      <c r="Y284" t="s">
        <v>2115</v>
      </c>
    </row>
    <row r="285" spans="1:25" x14ac:dyDescent="0.3">
      <c r="A285">
        <v>14200</v>
      </c>
      <c r="B285" t="s">
        <v>2116</v>
      </c>
      <c r="C285">
        <f>-544.763394768374 -159.00612581273 -96.0776654348616</f>
        <v>-799.84718601596569</v>
      </c>
      <c r="D285">
        <f>-570.190157870476 -170.624198802095 -208.48187495197</f>
        <v>-949.29623162454095</v>
      </c>
      <c r="E285">
        <f>-577.424825690793 -177.665077800624 -306.587746334649</f>
        <v>-1061.677649826066</v>
      </c>
      <c r="F285">
        <f>-578.626890494266 -183.238943118861 -395.501974699383</f>
        <v>-1157.3678083125101</v>
      </c>
      <c r="G285">
        <f>-574.119276460119 -188.113241788314 -484.351041612764</f>
        <v>-1246.583559861197</v>
      </c>
      <c r="H285">
        <f>-561.826327673117 -194.340390538471 -608.169115800165</f>
        <v>-1364.3358340117529</v>
      </c>
      <c r="I285">
        <f>-522.10014012855 -194.06450819615 -681.153833012361</f>
        <v>-1397.318481337061</v>
      </c>
      <c r="J285">
        <f>-570.346660063819 -164.118192204294 -555.373754228066</f>
        <v>-1289.838606496179</v>
      </c>
      <c r="K285">
        <f>-588.958780574975 -28.3664132867018 -544.311569668206</f>
        <v>-1161.6367635298827</v>
      </c>
      <c r="L285" t="s">
        <v>2117</v>
      </c>
      <c r="M285" t="s">
        <v>2118</v>
      </c>
      <c r="N285">
        <f>-564.124948681354 -219.082029318943 -551.991826428704</f>
        <v>-1335.198804429001</v>
      </c>
      <c r="O285">
        <f>-559.371558369483 -351.835891342438 -516.625726285318</f>
        <v>-1427.8331759972389</v>
      </c>
      <c r="P285">
        <f>-605.07283613243 -402.466925935985 -230.375514064975</f>
        <v>-1237.9152761333901</v>
      </c>
      <c r="Q285">
        <f>-435.259545198156 -244.552043819315 -295.775994170446</f>
        <v>-975.58758318791695</v>
      </c>
      <c r="R285">
        <f>-570.028853192938 -67.4149192934865 -100.886726301112</f>
        <v>-738.3304987875365</v>
      </c>
      <c r="S285" t="s">
        <v>2119</v>
      </c>
      <c r="T285" t="s">
        <v>2120</v>
      </c>
      <c r="U285" t="s">
        <v>2121</v>
      </c>
      <c r="V285">
        <f>-519.713453317345 -250.735215374385 -93.3206756200597</f>
        <v>-863.76934431178972</v>
      </c>
      <c r="W285" t="s">
        <v>2122</v>
      </c>
      <c r="X285" t="s">
        <v>2123</v>
      </c>
      <c r="Y285" t="s">
        <v>2124</v>
      </c>
    </row>
    <row r="286" spans="1:25" x14ac:dyDescent="0.3">
      <c r="A286">
        <v>14250</v>
      </c>
      <c r="B286" t="s">
        <v>2125</v>
      </c>
      <c r="C286">
        <f>-544.598494366348 -158.516011520197 -96.0453590505605</f>
        <v>-799.15986493710545</v>
      </c>
      <c r="D286">
        <f>-569.990380146452 -170.077466362966 -208.463349017713</f>
        <v>-948.53119552713099</v>
      </c>
      <c r="E286">
        <f>-577.161329549669 -177.116778119373 -306.573928762891</f>
        <v>-1060.8520364319329</v>
      </c>
      <c r="F286">
        <f>-578.293328042834 -182.707984027723 -395.487860654146</f>
        <v>-1156.4891727247029</v>
      </c>
      <c r="G286">
        <f>-573.703924792078 -187.619048730448 -484.330823989059</f>
        <v>-1245.653797511585</v>
      </c>
      <c r="H286">
        <f>-561.285334967036 -193.918629601951 -608.132704259465</f>
        <v>-1363.3366688284518</v>
      </c>
      <c r="I286">
        <f>-521.464355657628 -193.750988934588 -681.066164320274</f>
        <v>-1396.2815089124899</v>
      </c>
      <c r="J286">
        <f>-569.817257013483 -163.660669917354 -555.359803338142</f>
        <v>-1288.8377302689789</v>
      </c>
      <c r="K286">
        <f>-588.233127082177 -27.8735820643431 -544.401616977615</f>
        <v>-1160.5083261241352</v>
      </c>
      <c r="L286" t="s">
        <v>2126</v>
      </c>
      <c r="M286" t="s">
        <v>2127</v>
      </c>
      <c r="N286">
        <f>-563.683117365107 -218.632285373714 -551.94737928033</f>
        <v>-1334.262782019151</v>
      </c>
      <c r="O286">
        <f>-559.172330128808 -351.378386041892 -516.508113260365</f>
        <v>-1427.0588294310651</v>
      </c>
      <c r="P286">
        <f>-605.204428533112 -401.844177183777 -230.281775861683</f>
        <v>-1237.3303815785721</v>
      </c>
      <c r="Q286">
        <f>-435.078249704399 -244.250930271488 -295.64489525731</f>
        <v>-974.97407523319703</v>
      </c>
      <c r="R286">
        <f>-569.76939147233 -66.9410991220707 -100.851583833823</f>
        <v>-737.5620744282237</v>
      </c>
      <c r="S286" t="s">
        <v>2128</v>
      </c>
      <c r="T286" t="s">
        <v>2129</v>
      </c>
      <c r="U286" t="s">
        <v>2130</v>
      </c>
      <c r="V286">
        <f>-519.619423809585 -250.2187718683 -93.3037020380229</f>
        <v>-863.14189771590793</v>
      </c>
      <c r="W286" t="s">
        <v>2131</v>
      </c>
      <c r="X286" t="s">
        <v>2132</v>
      </c>
      <c r="Y286" t="s">
        <v>2133</v>
      </c>
    </row>
    <row r="287" spans="1:25" x14ac:dyDescent="0.3">
      <c r="A287">
        <v>14300</v>
      </c>
      <c r="B287" t="s">
        <v>2134</v>
      </c>
      <c r="C287">
        <f>-544.283753587373 -157.833960433607 -95.9975603801682</f>
        <v>-798.11527440114821</v>
      </c>
      <c r="D287">
        <f>-569.630983745403 -169.299696034684 -208.435514265785</f>
        <v>-947.36619404587191</v>
      </c>
      <c r="E287">
        <f>-576.710708519422 -176.345397244354 -306.552180174017</f>
        <v>-1059.608285937793</v>
      </c>
      <c r="F287">
        <f>-577.741403247274 -181.976693261347 -395.46488556607</f>
        <v>-1155.1829820746909</v>
      </c>
      <c r="G287">
        <f>-573.033112127668 -186.963229355981 -484.297331692998</f>
        <v>-1244.2936731766472</v>
      </c>
      <c r="H287">
        <f>-560.43131802059 -193.405066039792 -608.073306043476</f>
        <v>-1361.9096901038579</v>
      </c>
      <c r="I287">
        <f>-520.450433854942 -193.428155895253 -680.919482626755</f>
        <v>-1394.7980723769501</v>
      </c>
      <c r="J287">
        <f>-568.98343431298 -163.079732601777 -555.342519277682</f>
        <v>-1287.4056861924389</v>
      </c>
      <c r="K287">
        <f>-587.166204013114 -27.2462289311268 -544.560144054171</f>
        <v>-1158.9725769984118</v>
      </c>
      <c r="L287" t="s">
        <v>2135</v>
      </c>
      <c r="M287" t="s">
        <v>2136</v>
      </c>
      <c r="N287">
        <f>-562.970177704206 -218.060934232707 -551.868823008156</f>
        <v>-1332.8999349450692</v>
      </c>
      <c r="O287">
        <f>-558.83227799718 -350.775830262597 -516.275681184213</f>
        <v>-1425.8837894439901</v>
      </c>
      <c r="P287">
        <f>-605.418459777667 -400.928391610357 -230.08418039054</f>
        <v>-1236.4310317785639</v>
      </c>
      <c r="Q287">
        <f>-434.750705289961 -243.951236333975 -295.517527995515</f>
        <v>-974.21946961945105</v>
      </c>
      <c r="R287">
        <f>-569.274012599624 -66.2183503521242 -100.792946724466</f>
        <v>-736.28530967621418</v>
      </c>
      <c r="S287" t="s">
        <v>2137</v>
      </c>
      <c r="T287" t="s">
        <v>2138</v>
      </c>
      <c r="U287" t="s">
        <v>2139</v>
      </c>
      <c r="V287">
        <f>-519.553768758917 -249.576630675443 -93.2562442611431</f>
        <v>-862.38664369550315</v>
      </c>
      <c r="W287" t="s">
        <v>2140</v>
      </c>
      <c r="X287" t="s">
        <v>2141</v>
      </c>
      <c r="Y287" t="s">
        <v>2142</v>
      </c>
    </row>
    <row r="288" spans="1:25" x14ac:dyDescent="0.3">
      <c r="A288">
        <v>14350</v>
      </c>
      <c r="B288" t="s">
        <v>2143</v>
      </c>
      <c r="C288">
        <f>-544.103573839644 -157.3697513388 -95.9809168605553</f>
        <v>-797.45424203899938</v>
      </c>
      <c r="D288">
        <f>-569.429394304262 -168.797130622562 -208.427458451768</f>
        <v>-946.65398337859199</v>
      </c>
      <c r="E288">
        <f>-576.472834098862 -175.853647660248 -306.545983477033</f>
        <v>-1058.8724652361429</v>
      </c>
      <c r="F288">
        <f>-577.464523957327 -181.51227248571 -395.457551922031</f>
        <v>-1154.434348365068</v>
      </c>
      <c r="G288">
        <f>-572.712087150001 -186.543239868451 -484.285079971968</f>
        <v>-1243.54040699042</v>
      </c>
      <c r="H288">
        <f>-560.043207485812 -193.06551729074 -608.050071874439</f>
        <v>-1361.158796650991</v>
      </c>
      <c r="I288">
        <f>-519.982374535998 -193.165366914667 -680.852205524649</f>
        <v>-1393.9999469753141</v>
      </c>
      <c r="J288">
        <f>-568.605383631701 -162.703841692731 -555.341813393349</f>
        <v>-1286.6510387177809</v>
      </c>
      <c r="K288">
        <f>-586.701967704417 -26.8519950776731 -544.642926160212</f>
        <v>-1158.1968889423022</v>
      </c>
      <c r="L288" t="s">
        <v>2144</v>
      </c>
      <c r="M288" t="s">
        <v>2145</v>
      </c>
      <c r="N288">
        <f>-562.630828340936 -217.68703714593 -551.832627586866</f>
        <v>-1332.1504930737319</v>
      </c>
      <c r="O288">
        <f>-558.59982835543 -350.38620273992 -516.170645335055</f>
        <v>-1425.156676430405</v>
      </c>
      <c r="P288">
        <f>-605.35564769419 -400.376569445193 -229.978398325196</f>
        <v>-1235.710615464579</v>
      </c>
      <c r="Q288">
        <f>-434.560527448652 -243.573600050558 -295.497348773919</f>
        <v>-973.63147627312901</v>
      </c>
      <c r="R288">
        <f>-569.028618612667 -65.7818271964072 -100.768375946806</f>
        <v>-735.5788217558802</v>
      </c>
      <c r="S288" t="s">
        <v>2146</v>
      </c>
      <c r="T288" t="s">
        <v>2147</v>
      </c>
      <c r="U288" t="s">
        <v>2148</v>
      </c>
      <c r="V288">
        <f>-519.418303361486 -249.07201584565 -93.2456835775758</f>
        <v>-861.73600278471179</v>
      </c>
      <c r="W288" t="s">
        <v>2149</v>
      </c>
      <c r="X288" t="s">
        <v>2150</v>
      </c>
      <c r="Y288" t="s">
        <v>2151</v>
      </c>
    </row>
    <row r="289" spans="1:25" x14ac:dyDescent="0.3">
      <c r="A289">
        <v>14400</v>
      </c>
      <c r="B289" t="s">
        <v>2152</v>
      </c>
      <c r="C289">
        <f>-543.694298584368 -156.6565216284 -95.9356553336808</f>
        <v>-796.28647554644874</v>
      </c>
      <c r="D289">
        <f>-568.986593854092 -168.013673103851 -208.396934366512</f>
        <v>-945.39720132445507</v>
      </c>
      <c r="E289">
        <f>-575.962990568582 -175.101911486649 -306.518005104469</f>
        <v>-1057.5829071597</v>
      </c>
      <c r="F289">
        <f>-576.880651899955 -180.825804844643 -395.426046237973</f>
        <v>-1153.1325029825709</v>
      </c>
      <c r="G289">
        <f>-572.042301229857 -185.959614201628 -484.243069427468</f>
        <v>-1242.2449848589531</v>
      </c>
      <c r="H289">
        <f>-559.242185409725 -192.664899805457 -607.984720630568</f>
        <v>-1359.89180584575</v>
      </c>
      <c r="I289">
        <f>-519.049933000157 -192.902456549255 -680.71404288557</f>
        <v>-1392.6664324349822</v>
      </c>
      <c r="J289">
        <f>-567.83404649378 -162.222276173236 -555.328106185233</f>
        <v>-1285.3844288522489</v>
      </c>
      <c r="K289">
        <f>-585.735593756885 -26.3346478204121 -544.790977974417</f>
        <v>-1156.8612195517142</v>
      </c>
      <c r="L289" t="s">
        <v>2153</v>
      </c>
      <c r="M289" t="s">
        <v>2154</v>
      </c>
      <c r="N289">
        <f>-561.915578636224 -217.206366381012 -551.736299136929</f>
        <v>-1330.858244154165</v>
      </c>
      <c r="O289">
        <f>-558.018076851138 -349.862474571943 -515.9005048988</f>
        <v>-1423.7810563218809</v>
      </c>
      <c r="P289">
        <f>-604.870115220068 -399.60467480931 -229.680775302284</f>
        <v>-1234.155565331662</v>
      </c>
      <c r="Q289">
        <f>-434.124156314179 -242.842702420089 -295.425119328287</f>
        <v>-972.39197806255504</v>
      </c>
      <c r="R289">
        <f>-568.545188940494 -65.0874628118447 -100.705573848299</f>
        <v>-734.33822560063766</v>
      </c>
      <c r="S289" t="s">
        <v>2155</v>
      </c>
      <c r="T289" t="s">
        <v>2156</v>
      </c>
      <c r="U289" t="s">
        <v>2157</v>
      </c>
      <c r="V289">
        <f>-519.075266796336 -248.418022626224 -93.2218307319166</f>
        <v>-860.71512015447661</v>
      </c>
      <c r="W289" t="s">
        <v>2158</v>
      </c>
      <c r="X289" t="s">
        <v>2159</v>
      </c>
      <c r="Y289" t="s">
        <v>2160</v>
      </c>
    </row>
    <row r="290" spans="1:25" x14ac:dyDescent="0.3">
      <c r="A290">
        <v>14450</v>
      </c>
      <c r="B290" t="s">
        <v>2161</v>
      </c>
      <c r="C290">
        <f>-543.527551756908 -156.443654658823 -95.9185156765826</f>
        <v>-795.8897220923136</v>
      </c>
      <c r="D290">
        <f>-568.800148922866 -167.763737861534 -208.387924620337</f>
        <v>-944.95181140473699</v>
      </c>
      <c r="E290">
        <f>-575.731062206194 -174.868875794172 -306.511027374964</f>
        <v>-1057.1109653753301</v>
      </c>
      <c r="F290">
        <f>-576.597420367124 -180.628557086413 -395.417299520506</f>
        <v>-1152.6432769740429</v>
      </c>
      <c r="G290">
        <f>-571.697935669677 -185.81900972251 -484.227623046369</f>
        <v>-1241.7445684385561</v>
      </c>
      <c r="H290">
        <f>-558.803294143617 -192.626030805327 -607.954087892654</f>
        <v>-1359.3834128415979</v>
      </c>
      <c r="I290">
        <f>-518.558328952771 -192.942802577899 -680.653872589979</f>
        <v>-1392.155004120649</v>
      </c>
      <c r="J290">
        <f>-567.415436018913 -162.13788651538 -555.326955161717</f>
        <v>-1284.8802776960101</v>
      </c>
      <c r="K290">
        <f>-585.170384084391 -26.2236451066085 -544.860843912653</f>
        <v>-1156.2548731036525</v>
      </c>
      <c r="L290" t="s">
        <v>2162</v>
      </c>
      <c r="M290" t="s">
        <v>2163</v>
      </c>
      <c r="N290">
        <f>-561.539697811084 -217.123401853727 -551.689390663385</f>
        <v>-1330.3524903281959</v>
      </c>
      <c r="O290">
        <f>-557.746469969372 -349.763241542701 -515.773620217344</f>
        <v>-1423.2833317294171</v>
      </c>
      <c r="P290">
        <f>-604.63631253233 -399.345228612799 -229.532166754865</f>
        <v>-1233.513707899994</v>
      </c>
      <c r="Q290">
        <f>-433.843445120474 -242.675209782255 -295.374627467529</f>
        <v>-971.89328237025802</v>
      </c>
      <c r="R290">
        <f>-568.322079199342 -64.8120381982712 -100.671526567743</f>
        <v>-733.80564396535624</v>
      </c>
      <c r="S290" t="s">
        <v>2164</v>
      </c>
      <c r="T290" t="s">
        <v>2165</v>
      </c>
      <c r="U290" t="s">
        <v>2166</v>
      </c>
      <c r="V290">
        <f>-518.973787101308 -248.267231176185 -93.2099975753159</f>
        <v>-860.45101585280884</v>
      </c>
      <c r="W290" t="s">
        <v>2167</v>
      </c>
      <c r="X290" t="s">
        <v>2168</v>
      </c>
      <c r="Y290" t="s">
        <v>2169</v>
      </c>
    </row>
    <row r="291" spans="1:25" x14ac:dyDescent="0.3">
      <c r="A291">
        <v>14500</v>
      </c>
      <c r="B291" t="s">
        <v>2170</v>
      </c>
      <c r="C291">
        <f>-543.135675074859 -155.992978911933 -95.8578061788488</f>
        <v>-794.98646016564078</v>
      </c>
      <c r="D291">
        <f>-568.340382919056 -167.204140630629 -208.353383698105</f>
        <v>-943.89790724779004</v>
      </c>
      <c r="E291">
        <f>-575.17934395923 -174.308386272627 -306.482897985017</f>
        <v>-1055.970628216874</v>
      </c>
      <c r="F291">
        <f>-575.951202042341 -180.103907740104 -395.38768746274</f>
        <v>-1151.4427972451849</v>
      </c>
      <c r="G291">
        <f>-570.947485848879 -185.367756618441 -484.187887577707</f>
        <v>-1240.5031300450269</v>
      </c>
      <c r="H291">
        <f>-557.898240221473 -192.316420293422 -607.89027227955</f>
        <v>-1358.1049327944449</v>
      </c>
      <c r="I291">
        <f>-517.576027568912 -192.789103211523 -680.54655319747</f>
        <v>-1390.9116839779049</v>
      </c>
      <c r="J291">
        <f>-566.53835526163 -161.763799947316 -555.305155512561</f>
        <v>-1283.607310721507</v>
      </c>
      <c r="K291">
        <f>-584.074886425823 -25.8063110049741 -544.992150189183</f>
        <v>-1154.87334761998</v>
      </c>
      <c r="L291" t="s">
        <v>2171</v>
      </c>
      <c r="M291" t="s">
        <v>2172</v>
      </c>
      <c r="N291">
        <f>-560.742773761483 -216.753623518562 -551.604816198762</f>
        <v>-1329.101213478807</v>
      </c>
      <c r="O291">
        <f>-557.181295013059 -349.361766741749 -515.541579856147</f>
        <v>-1422.0846416109548</v>
      </c>
      <c r="P291">
        <f>-604.242286449566 -398.596931590695 -229.268279817724</f>
        <v>-1232.107497857985</v>
      </c>
      <c r="Q291">
        <f>-433.364862047178 -242.081085017365 -295.25777067862</f>
        <v>-970.703717743163</v>
      </c>
      <c r="R291">
        <f>-567.83235652549 -64.2493133753337 -100.571031301002</f>
        <v>-732.65270120182572</v>
      </c>
      <c r="S291" t="s">
        <v>2173</v>
      </c>
      <c r="T291" t="s">
        <v>2174</v>
      </c>
      <c r="U291" t="s">
        <v>2175</v>
      </c>
      <c r="V291">
        <f>-518.691036211337 -247.837697791417 -93.2002457945418</f>
        <v>-859.72897979729578</v>
      </c>
      <c r="W291" t="s">
        <v>2176</v>
      </c>
      <c r="X291" t="s">
        <v>2177</v>
      </c>
      <c r="Y291" t="s">
        <v>2178</v>
      </c>
    </row>
    <row r="292" spans="1:25" x14ac:dyDescent="0.3">
      <c r="A292">
        <v>14550</v>
      </c>
      <c r="B292" t="s">
        <v>2179</v>
      </c>
      <c r="C292">
        <f>-543.020450574221 -155.736651294168 -95.8277701489113</f>
        <v>-794.58487201730031</v>
      </c>
      <c r="D292">
        <f>-568.194718279172 -166.909317743955 -208.334025938851</f>
        <v>-943.43806196197806</v>
      </c>
      <c r="E292">
        <f>-574.995066114962 -174.020693890025 -306.465692844798</f>
        <v>-1055.481452849785</v>
      </c>
      <c r="F292">
        <f>-575.728596465544 -179.838078984965 -395.369455131754</f>
        <v>-1150.9361305822631</v>
      </c>
      <c r="G292">
        <f>-570.682928722928 -185.138788037019 -484.165211872172</f>
        <v>-1239.9869286321191</v>
      </c>
      <c r="H292">
        <f>-557.572624812334 -192.15453621956 -607.857096116658</f>
        <v>-1357.5842571485518</v>
      </c>
      <c r="I292">
        <f>-517.215591373267 -192.701223903104 -680.493482516459</f>
        <v>-1390.4102977928301</v>
      </c>
      <c r="J292">
        <f>-566.225428176912 -161.57185527329 -555.291574456849</f>
        <v>-1283.0888579070511</v>
      </c>
      <c r="K292">
        <f>-583.700024097522 -25.6031892332117 -545.045517813991</f>
        <v>-1154.3487311447248</v>
      </c>
      <c r="L292" t="s">
        <v>2180</v>
      </c>
      <c r="M292" t="s">
        <v>2181</v>
      </c>
      <c r="N292">
        <f>-560.458189730641 -216.562658240175 -551.561263922593</f>
        <v>-1328.5821118934091</v>
      </c>
      <c r="O292">
        <f>-556.997269592883 -349.152351198787 -515.427642405881</f>
        <v>-1421.577263197551</v>
      </c>
      <c r="P292">
        <f>-604.2234576041 -398.168801127023 -229.144134810655</f>
        <v>-1231.5363935417779</v>
      </c>
      <c r="Q292">
        <f>-433.255197812703 -241.78363412656 -295.207895653172</f>
        <v>-970.24672759243504</v>
      </c>
      <c r="R292">
        <f>-567.700430387389 -63.8842148605313 -100.532565904621</f>
        <v>-732.11721115254136</v>
      </c>
      <c r="S292" t="s">
        <v>2182</v>
      </c>
      <c r="T292" t="s">
        <v>2183</v>
      </c>
      <c r="U292" t="s">
        <v>2184</v>
      </c>
      <c r="V292">
        <f>-518.62864984439 -247.669930534944 -93.1826348812427</f>
        <v>-859.48121526057673</v>
      </c>
      <c r="W292" t="s">
        <v>2185</v>
      </c>
      <c r="X292" t="s">
        <v>2186</v>
      </c>
      <c r="Y292" t="s">
        <v>2187</v>
      </c>
    </row>
    <row r="293" spans="1:25" x14ac:dyDescent="0.3">
      <c r="A293">
        <v>14600</v>
      </c>
      <c r="B293" t="s">
        <v>2188</v>
      </c>
      <c r="C293">
        <f>-542.821775821343 -155.079277913571 -95.7803228340435</f>
        <v>-793.68137656895749</v>
      </c>
      <c r="D293">
        <f>-567.961012849449 -166.232660934609 -208.296276299648</f>
        <v>-942.48995008370616</v>
      </c>
      <c r="E293">
        <f>-574.670922611104 -173.385737685576 -306.431184962792</f>
        <v>-1054.4878452594719</v>
      </c>
      <c r="F293">
        <f>-575.299486170235 -179.263408971247 -395.331767359766</f>
        <v>-1149.8946625012481</v>
      </c>
      <c r="G293">
        <f>-570.12713392392 -184.648052100497 -484.115117834588</f>
        <v>-1238.8903038590051</v>
      </c>
      <c r="H293">
        <f>-556.81812538612 -191.805559358191 -607.777862290163</f>
        <v>-1356.4015470344739</v>
      </c>
      <c r="I293">
        <f>-516.341679833884 -192.458950462201 -680.346784024527</f>
        <v>-1389.1474143206119</v>
      </c>
      <c r="J293">
        <f>-565.54532022881 -161.161512344355 -555.260233933513</f>
        <v>-1281.9670665066778</v>
      </c>
      <c r="K293">
        <f>-582.913333883124 -25.1618180549658 -545.216103760195</f>
        <v>-1153.2912556982847</v>
      </c>
      <c r="L293" t="s">
        <v>2189</v>
      </c>
      <c r="M293" t="s">
        <v>2190</v>
      </c>
      <c r="N293">
        <f>-559.804187771414 -216.150185329572 -551.459664290549</f>
        <v>-1327.414037391535</v>
      </c>
      <c r="O293">
        <f>-556.519394291502 -348.695116355586 -515.169843115644</f>
        <v>-1420.384353762732</v>
      </c>
      <c r="P293">
        <f>-603.87978793858 -397.297482044951 -228.83787286164</f>
        <v>-1230.0151428451709</v>
      </c>
      <c r="Q293">
        <f>-432.825452478734 -241.073117981644 -295.058696085425</f>
        <v>-968.95726654580301</v>
      </c>
      <c r="R293">
        <f>-567.434829677388 -63.2585475425328 -100.487538401798</f>
        <v>-731.1809156217189</v>
      </c>
      <c r="S293" t="s">
        <v>2191</v>
      </c>
      <c r="T293" t="s">
        <v>2192</v>
      </c>
      <c r="U293" t="s">
        <v>2193</v>
      </c>
      <c r="V293">
        <f>-518.4467562526 -247.033239565319 -93.145092592013</f>
        <v>-858.62508840993212</v>
      </c>
      <c r="W293" t="s">
        <v>2194</v>
      </c>
      <c r="X293" t="s">
        <v>2195</v>
      </c>
      <c r="Y293" t="s">
        <v>2196</v>
      </c>
    </row>
    <row r="294" spans="1:25" x14ac:dyDescent="0.3">
      <c r="A294">
        <v>14650</v>
      </c>
      <c r="B294" t="s">
        <v>2197</v>
      </c>
      <c r="C294">
        <f>-542.776458658735 -154.947363767425 -95.7719310782927</f>
        <v>-793.49575350445275</v>
      </c>
      <c r="D294">
        <f>-567.905403537208 -166.09645497321 -208.290548210666</f>
        <v>-942.29240672108403</v>
      </c>
      <c r="E294">
        <f>-574.584005416574 -173.292171087777 -306.424532478619</f>
        <v>-1054.30070898297</v>
      </c>
      <c r="F294">
        <f>-575.176315418151 -179.22751009243 -395.321552796063</f>
        <v>-1149.725378306644</v>
      </c>
      <c r="G294">
        <f>-569.960534510587 -184.688604835665 -484.097712278492</f>
        <v>-1238.7468516247441</v>
      </c>
      <c r="H294">
        <f>-556.58360435849 -191.972801092094 -607.745686492389</f>
        <v>-1356.302091942973</v>
      </c>
      <c r="I294">
        <f>-516.048748980812 -192.69581165642 -680.281349827521</f>
        <v>-1389.025910464753</v>
      </c>
      <c r="J294">
        <f>-565.333687941761 -161.274305402163 -555.263653551339</f>
        <v>-1281.871646895263</v>
      </c>
      <c r="K294">
        <f>-582.662785859162 -25.2634593386069 -545.352622356798</f>
        <v>-1153.2788675545669</v>
      </c>
      <c r="L294" t="s">
        <v>2198</v>
      </c>
      <c r="M294" t="s">
        <v>2199</v>
      </c>
      <c r="N294">
        <f>-559.606611315229 -216.26043148353 -551.404863250156</f>
        <v>-1327.2719060489151</v>
      </c>
      <c r="O294">
        <f>-556.370956412789 -348.787450258656 -515.028357698983</f>
        <v>-1420.1867643704281</v>
      </c>
      <c r="P294">
        <f>-603.787361061539 -397.011700666682 -228.641592881331</f>
        <v>-1229.440654609552</v>
      </c>
      <c r="Q294">
        <f>-432.79175809631 -240.760268435827 -294.950461248173</f>
        <v>-968.50248778031005</v>
      </c>
      <c r="R294">
        <f>-567.35364030873 -63.1323480180938 -100.475617719305</f>
        <v>-730.96160604612874</v>
      </c>
      <c r="S294" t="s">
        <v>2200</v>
      </c>
      <c r="T294" t="s">
        <v>2201</v>
      </c>
      <c r="U294" t="s">
        <v>2202</v>
      </c>
      <c r="V294">
        <f>-518.447747742689 -246.947332265317 -93.1224745395415</f>
        <v>-858.51755454754743</v>
      </c>
      <c r="W294" t="s">
        <v>2203</v>
      </c>
      <c r="X294" t="s">
        <v>2204</v>
      </c>
      <c r="Y294" t="s">
        <v>2205</v>
      </c>
    </row>
    <row r="295" spans="1:25" x14ac:dyDescent="0.3">
      <c r="A295">
        <v>14700</v>
      </c>
      <c r="B295" t="s">
        <v>2206</v>
      </c>
      <c r="C295">
        <f>-542.680237871931 -154.70861735232 -95.7278506126746</f>
        <v>-793.11670583692569</v>
      </c>
      <c r="D295">
        <f>-567.81126199486 -165.880255862216 -208.243889763102</f>
        <v>-941.93540762017801</v>
      </c>
      <c r="E295">
        <f>-574.463950353937 -173.212977353339 -306.369448033358</f>
        <v>-1054.0463757406342</v>
      </c>
      <c r="F295">
        <f>-575.02390526871 -179.319634911004 -395.254986153879</f>
        <v>-1149.5985263335929</v>
      </c>
      <c r="G295">
        <f>-569.768890886343 -184.999494969807 -484.015080072377</f>
        <v>-1238.783465928527</v>
      </c>
      <c r="H295">
        <f>-556.331076457205 -192.639056978279 -607.635002587739</f>
        <v>-1356.6051360232229</v>
      </c>
      <c r="I295">
        <f>-515.709409066746 -193.568927445072 -680.11965479843</f>
        <v>-1389.397991310248</v>
      </c>
      <c r="J295">
        <f>-565.100098621003 -161.789045984898 -555.24519895465</f>
        <v>-1282.1343435605511</v>
      </c>
      <c r="K295">
        <f>-582.31454371305 -25.7344709105423 -545.693933440167</f>
        <v>-1153.7429480637593</v>
      </c>
      <c r="L295" t="s">
        <v>2207</v>
      </c>
      <c r="M295" t="s">
        <v>2208</v>
      </c>
      <c r="N295">
        <f>-559.38870968271 -216.765459953196 -551.226895530749</f>
        <v>-1327.3810651666549</v>
      </c>
      <c r="O295">
        <f>-556.197051145642 -349.216638624476 -514.578240077321</f>
        <v>-1419.991929847439</v>
      </c>
      <c r="P295">
        <f>-603.575412108971 -396.533568836672 -228.034003992053</f>
        <v>-1228.1429849376959</v>
      </c>
      <c r="Q295">
        <f>-432.981891659271 -240.145455153724 -295.052661588992</f>
        <v>-968.18000840198704</v>
      </c>
      <c r="R295">
        <f>-567.150745262663 -62.8919005686444 -100.448318536232</f>
        <v>-730.49096436753939</v>
      </c>
      <c r="S295" t="s">
        <v>2209</v>
      </c>
      <c r="T295" t="s">
        <v>2210</v>
      </c>
      <c r="U295" t="s">
        <v>2211</v>
      </c>
      <c r="V295">
        <f>-518.451327650873 -246.674158342265 -93.0572367960442</f>
        <v>-858.18272278918221</v>
      </c>
      <c r="W295" t="s">
        <v>2212</v>
      </c>
      <c r="X295" t="s">
        <v>2213</v>
      </c>
      <c r="Y295" t="s">
        <v>2214</v>
      </c>
    </row>
    <row r="296" spans="1:25" x14ac:dyDescent="0.3">
      <c r="A296">
        <v>14750</v>
      </c>
      <c r="B296" t="s">
        <v>2215</v>
      </c>
      <c r="C296">
        <f>-542.678934807525 -154.584688412206 -95.7154656072609</f>
        <v>-792.97908882699187</v>
      </c>
      <c r="D296">
        <f>-567.810215184979 -165.788978221861 -208.228193999485</f>
        <v>-941.82738740632499</v>
      </c>
      <c r="E296">
        <f>-574.469171903027 -173.226143319611 -306.34548538668</f>
        <v>-1054.040800609318</v>
      </c>
      <c r="F296">
        <f>-575.038768055148 -179.458611359333 -395.222117154828</f>
        <v>-1149.7194965693091</v>
      </c>
      <c r="G296">
        <f>-569.797959502496 -185.296092790647 -483.972979554543</f>
        <v>-1239.0670318476859</v>
      </c>
      <c r="H296">
        <f>-556.385898999304 -193.189086423087 -607.579706280763</f>
        <v>-1357.1546917031542</v>
      </c>
      <c r="I296">
        <f>-515.742569136335 -194.270599962443 -680.050417185631</f>
        <v>-1390.063586284409</v>
      </c>
      <c r="J296">
        <f>-565.13136952173 -162.230334243803 -555.250194451625</f>
        <v>-1282.6118982171579</v>
      </c>
      <c r="K296">
        <f>-582.231936050798 -26.1471060032513 -545.906917071989</f>
        <v>-1154.2859591260385</v>
      </c>
      <c r="L296" t="s">
        <v>2216</v>
      </c>
      <c r="M296" t="s">
        <v>2217</v>
      </c>
      <c r="N296">
        <f>-559.444232467613 -217.201146406355 -551.122927852374</f>
        <v>-1327.768306726342</v>
      </c>
      <c r="O296">
        <f>-556.292944061884 -349.593857796521 -514.270613089847</f>
        <v>-1420.1574149482519</v>
      </c>
      <c r="P296">
        <f>-603.549473359129 -396.374525611809 -227.618245403267</f>
        <v>-1227.542244374205</v>
      </c>
      <c r="Q296">
        <f>-433.129887221326 -240.024128455675 -295.165180217771</f>
        <v>-968.31919589477207</v>
      </c>
      <c r="R296">
        <f>-567.112468641806 -62.7776156927553 -100.45049106373</f>
        <v>-730.34057539829132</v>
      </c>
      <c r="S296" t="s">
        <v>2218</v>
      </c>
      <c r="T296" t="s">
        <v>2219</v>
      </c>
      <c r="U296" t="s">
        <v>2220</v>
      </c>
      <c r="V296">
        <f>-518.47106473182 -246.539996043041 -93.0177920125897</f>
        <v>-858.02885278745066</v>
      </c>
      <c r="W296" t="s">
        <v>2221</v>
      </c>
      <c r="X296" t="s">
        <v>2222</v>
      </c>
      <c r="Y296" t="s">
        <v>2223</v>
      </c>
    </row>
    <row r="297" spans="1:25" x14ac:dyDescent="0.3">
      <c r="A297">
        <v>14800</v>
      </c>
      <c r="B297" t="s">
        <v>2224</v>
      </c>
      <c r="C297">
        <f>-542.84336244963 -154.354912625137 -95.7085483774181</f>
        <v>-792.90682345218511</v>
      </c>
      <c r="D297">
        <f>-567.936544013495 -165.614779822616 -208.224122527215</f>
        <v>-941.77544636332595</v>
      </c>
      <c r="E297">
        <f>-574.61124436987 -173.299682982759 -306.321253851243</f>
        <v>-1054.232181203872</v>
      </c>
      <c r="F297">
        <f>-575.218677813998 -179.838612525435 -395.175764342738</f>
        <v>-1150.2330546821711</v>
      </c>
      <c r="G297">
        <f>-570.041498021654 -186.066469490362 -483.903754982155</f>
        <v>-1240.011722494171</v>
      </c>
      <c r="H297">
        <f>-556.747578162177 -194.594185219829 -607.481084121667</f>
        <v>-1358.8228475036731</v>
      </c>
      <c r="I297">
        <f>-516.096883341674 -196.089965211015 -679.940106500814</f>
        <v>-1392.126955053503</v>
      </c>
      <c r="J297">
        <f>-565.392828853411 -163.361657134554 -555.29786750697</f>
        <v>-1284.0523534949348</v>
      </c>
      <c r="K297">
        <f>-582.138525038179 -27.1978199022715 -546.524760112455</f>
        <v>-1155.8611050529055</v>
      </c>
      <c r="L297" t="s">
        <v>2225</v>
      </c>
      <c r="M297" t="s">
        <v>2226</v>
      </c>
      <c r="N297">
        <f>-559.802357837652 -218.32156767309 -550.903822348354</f>
        <v>-1329.0277478590961</v>
      </c>
      <c r="O297">
        <f>-556.791661719839 -350.573722350409 -513.523425447157</f>
        <v>-1420.888809517405</v>
      </c>
      <c r="P297">
        <f>-604.059155805583 -395.705894550701 -226.608764033164</f>
        <v>-1226.3738143894479</v>
      </c>
      <c r="Q297">
        <f>-433.738426592794 -239.837739218367 -295.505724224597</f>
        <v>-969.08189003575797</v>
      </c>
      <c r="R297">
        <f>-567.247044081979 -62.4710244025252 -100.486139965853</f>
        <v>-730.20420845035721</v>
      </c>
      <c r="S297" t="s">
        <v>2227</v>
      </c>
      <c r="T297" t="s">
        <v>2228</v>
      </c>
      <c r="U297" t="s">
        <v>2229</v>
      </c>
      <c r="V297">
        <f>-518.659074444736 -246.373735648265 -92.9792989188542</f>
        <v>-858.01210901185516</v>
      </c>
      <c r="W297" t="s">
        <v>2230</v>
      </c>
      <c r="X297" t="s">
        <v>2231</v>
      </c>
      <c r="Y297" t="s">
        <v>2232</v>
      </c>
    </row>
    <row r="298" spans="1:25" x14ac:dyDescent="0.3">
      <c r="A298">
        <v>14850</v>
      </c>
      <c r="B298" t="s">
        <v>2233</v>
      </c>
      <c r="C298">
        <f>-542.986455342176 -154.268636800744 -95.700522931532</f>
        <v>-792.95561507445188</v>
      </c>
      <c r="D298">
        <f>-568.041795356013 -165.56166005301 -208.221252830494</f>
        <v>-941.82470823951701</v>
      </c>
      <c r="E298">
        <f>-574.719978709067 -173.380057047426 -306.307550520223</f>
        <v>-1054.4075862767161</v>
      </c>
      <c r="F298">
        <f>-575.347349399058 -180.082080961541 -395.149685448407</f>
        <v>-1150.579115809006</v>
      </c>
      <c r="G298">
        <f>-570.208197368289 -186.515886794366 -483.865210579284</f>
        <v>-1240.5892947419391</v>
      </c>
      <c r="H298">
        <f>-556.98730134523 -195.376539287991 -607.427095298616</f>
        <v>-1359.7909359318369</v>
      </c>
      <c r="I298">
        <f>-516.337405657244 -197.107011496184 -679.881215667312</f>
        <v>-1393.3256328207399</v>
      </c>
      <c r="J298">
        <f>-565.573205533217 -164.000404333265 -555.320078868329</f>
        <v>-1284.8936887348109</v>
      </c>
      <c r="K298">
        <f>-582.106233919499 -27.7951936328607 -546.897764239011</f>
        <v>-1156.7991917913707</v>
      </c>
      <c r="L298" t="s">
        <v>2234</v>
      </c>
      <c r="M298" t="s">
        <v>2235</v>
      </c>
      <c r="N298">
        <f>-560.037174025029 -218.954524282139 -550.787063377913</f>
        <v>-1329.778761685081</v>
      </c>
      <c r="O298">
        <f>-557.131765012264 -351.13324822343 -513.120464533646</f>
        <v>-1421.38547776934</v>
      </c>
      <c r="P298">
        <f>-604.557087788902 -395.596277859813 -226.127309013195</f>
        <v>-1226.2806746619099</v>
      </c>
      <c r="Q298">
        <f>-434.457048086059 -239.754566353064 -295.626940189702</f>
        <v>-969.83855462882502</v>
      </c>
      <c r="R298">
        <f>-567.369938228032 -62.3732102652687 -100.519666134698</f>
        <v>-730.26281462799864</v>
      </c>
      <c r="S298" t="s">
        <v>2236</v>
      </c>
      <c r="T298" t="s">
        <v>2237</v>
      </c>
      <c r="U298" t="s">
        <v>2238</v>
      </c>
      <c r="V298">
        <f>-518.822812567031 -246.333751235928 -92.9408316107431</f>
        <v>-858.09739541370209</v>
      </c>
      <c r="W298" t="s">
        <v>2239</v>
      </c>
      <c r="X298" t="s">
        <v>2240</v>
      </c>
      <c r="Y298" t="s">
        <v>2241</v>
      </c>
    </row>
    <row r="299" spans="1:25" x14ac:dyDescent="0.3">
      <c r="A299">
        <v>14900</v>
      </c>
      <c r="B299" t="s">
        <v>2242</v>
      </c>
      <c r="C299">
        <f>-543.296039217581 -153.612258852782 -95.7417112887098</f>
        <v>-792.65000935907278</v>
      </c>
      <c r="D299">
        <f>-568.245549714165 -165.016284389979 -208.274731079895</f>
        <v>-941.53656518403898</v>
      </c>
      <c r="E299">
        <f>-574.902426501447 -173.13932302211 -306.3378418428</f>
        <v>-1054.3795913663571</v>
      </c>
      <c r="F299">
        <f>-575.543437214525 -180.200397311842 -395.152041225486</f>
        <v>-1150.8958757518531</v>
      </c>
      <c r="G299">
        <f>-570.453259772629 -187.077389114265 -483.837197466133</f>
        <v>-1241.3678463530271</v>
      </c>
      <c r="H299">
        <f>-557.339984024208 -196.644792403431 -607.357664066239</f>
        <v>-1361.3424404938778</v>
      </c>
      <c r="I299">
        <f>-516.684137397309 -198.871109082353 -679.795000471472</f>
        <v>-1395.3502469511341</v>
      </c>
      <c r="J299">
        <f>-565.80076125902 -164.962319099912 -555.415835631485</f>
        <v>-1286.178915990417</v>
      </c>
      <c r="K299">
        <f>-581.803605223691 -28.6435950351588 -547.79836584445</f>
        <v>-1158.2455661032998</v>
      </c>
      <c r="L299" t="s">
        <v>2243</v>
      </c>
      <c r="M299" t="s">
        <v>2244</v>
      </c>
      <c r="N299">
        <f>-560.420073094817 -219.906981571123 -550.588786677614</f>
        <v>-1330.9158413435539</v>
      </c>
      <c r="O299">
        <f>-557.881569842508 -351.914239559789 -512.303624753155</f>
        <v>-1422.0994341554519</v>
      </c>
      <c r="P299">
        <f>-605.474497999492 -394.611535993058 -225.070122535797</f>
        <v>-1225.1561565283471</v>
      </c>
      <c r="Q299">
        <f>-435.173373135206 -239.232630442178 -295.111509611136</f>
        <v>-969.51751318852007</v>
      </c>
      <c r="R299">
        <f>-567.64140975121 -61.645146472941 -100.669500762933</f>
        <v>-729.95605698708391</v>
      </c>
      <c r="S299" t="s">
        <v>2245</v>
      </c>
      <c r="T299" t="s">
        <v>2246</v>
      </c>
      <c r="U299" t="s">
        <v>2247</v>
      </c>
      <c r="V299">
        <f>-519.192223309765 -245.679707974455 -92.8853042569651</f>
        <v>-857.7572355411852</v>
      </c>
      <c r="W299" t="s">
        <v>2248</v>
      </c>
      <c r="X299" t="s">
        <v>2249</v>
      </c>
      <c r="Y299" t="s">
        <v>2250</v>
      </c>
    </row>
    <row r="300" spans="1:25" x14ac:dyDescent="0.3">
      <c r="A300">
        <v>14950</v>
      </c>
      <c r="B300" t="s">
        <v>2251</v>
      </c>
      <c r="C300">
        <f>-543.550802759821 -153.186464455756 -95.7867613828216</f>
        <v>-792.52402859839856</v>
      </c>
      <c r="D300">
        <f>-568.452235946018 -164.624975008401 -208.326911588802</f>
        <v>-941.40412254322109</v>
      </c>
      <c r="E300">
        <f>-575.110279627984 -172.890542280049 -306.377949457792</f>
        <v>-1054.3787713658251</v>
      </c>
      <c r="F300">
        <f>-575.772047951756 -180.125751295147 -395.178131099436</f>
        <v>-1151.075930346339</v>
      </c>
      <c r="G300">
        <f>-570.723421444568 -187.222500674537 -483.848162361218</f>
        <v>-1241.7940844803229</v>
      </c>
      <c r="H300">
        <f>-557.691692596151 -197.145194708084 -607.349286485212</f>
        <v>-1362.1861737894469</v>
      </c>
      <c r="I300">
        <f>-517.036149205093 -199.619183027766 -679.778855547141</f>
        <v>-1396.43418778</v>
      </c>
      <c r="J300">
        <f>-566.066984713346 -165.30800388712 -555.488386071907</f>
        <v>-1286.8633746723731</v>
      </c>
      <c r="K300">
        <f>-581.786449759261 -28.9351561346173 -548.310628849991</f>
        <v>-1159.0322347438691</v>
      </c>
      <c r="L300" t="s">
        <v>2252</v>
      </c>
      <c r="M300" t="s">
        <v>2253</v>
      </c>
      <c r="N300">
        <f>-560.785746112181 -220.249440096499 -550.516821625312</f>
        <v>-1331.5520078339919</v>
      </c>
      <c r="O300">
        <f>-558.483538586829 -352.155181973581 -511.863736219443</f>
        <v>-1422.5024567798532</v>
      </c>
      <c r="P300">
        <f>-606.241655628058 -393.920741096923 -224.520750157098</f>
        <v>-1224.683146882079</v>
      </c>
      <c r="Q300">
        <f>-435.615203647994 -239.124028280032 -295.057913668844</f>
        <v>-969.79714559687</v>
      </c>
      <c r="R300">
        <f>-567.826105840659 -61.237308509827 -100.753887175459</f>
        <v>-729.81730152594503</v>
      </c>
      <c r="S300" t="s">
        <v>2254</v>
      </c>
      <c r="T300" t="s">
        <v>2255</v>
      </c>
      <c r="U300" t="s">
        <v>2256</v>
      </c>
      <c r="V300">
        <f>-519.569540622317 -245.221573356083 -92.8548357214409</f>
        <v>-857.64594969984091</v>
      </c>
      <c r="W300" t="s">
        <v>2257</v>
      </c>
      <c r="X300" t="s">
        <v>2258</v>
      </c>
      <c r="Y300" t="s">
        <v>2259</v>
      </c>
    </row>
    <row r="301" spans="1:25" x14ac:dyDescent="0.3">
      <c r="A301">
        <v>15000</v>
      </c>
      <c r="B301" t="s">
        <v>2260</v>
      </c>
      <c r="C301">
        <f>-543.913032885263 -152.4120575961 -95.8253871514777</f>
        <v>-792.15047763284065</v>
      </c>
      <c r="D301">
        <f>-568.662034954515 -163.8911300523 -208.395042791805</f>
        <v>-940.94820779861993</v>
      </c>
      <c r="E301">
        <f>-575.284279581075 -172.416617339733 -306.426202427194</f>
        <v>-1054.127099348002</v>
      </c>
      <c r="F301">
        <f>-575.957615675308 -179.976864442211 -395.199229066833</f>
        <v>-1151.133709184352</v>
      </c>
      <c r="G301">
        <f>-570.967693191616 -187.490646659532 -483.838334655356</f>
        <v>-1242.2966745065041</v>
      </c>
      <c r="H301">
        <f>-558.069142836655 -198.09282432744 -607.296957976049</f>
        <v>-1363.4589251401439</v>
      </c>
      <c r="I301">
        <f>-517.389955676236 -201.047824703698 -679.695084209493</f>
        <v>-1398.1328645894268</v>
      </c>
      <c r="J301">
        <f>-566.246439804822 -165.956037895797 -555.589331953002</f>
        <v>-1287.7918096536209</v>
      </c>
      <c r="K301">
        <f>-581.179701961469 -29.4576092837879 -549.225660087606</f>
        <v>-1159.8629713328628</v>
      </c>
      <c r="L301" t="s">
        <v>2261</v>
      </c>
      <c r="M301" t="s">
        <v>2262</v>
      </c>
      <c r="N301">
        <f>-561.243824476364 -220.898536900741 -550.348492991635</f>
        <v>-1332.49085436874</v>
      </c>
      <c r="O301">
        <f>-559.657790774285 -352.626753300455 -511.066009951417</f>
        <v>-1423.3505540261569</v>
      </c>
      <c r="P301">
        <f>-607.916325852102 -392.393357162291 -223.52304801707</f>
        <v>-1223.832731031463</v>
      </c>
      <c r="Q301">
        <f>-435.513566959004 -239.913666156958 -294.783775152596</f>
        <v>-970.21100826855786</v>
      </c>
      <c r="R301">
        <f>-567.905922579603 -60.5121484936881 -100.920305573928</f>
        <v>-729.33837664721909</v>
      </c>
      <c r="S301" t="s">
        <v>2263</v>
      </c>
      <c r="T301" t="s">
        <v>2264</v>
      </c>
      <c r="U301" t="s">
        <v>2265</v>
      </c>
      <c r="V301">
        <f>-520.127028431301 -244.456232285606 -92.7954535137445</f>
        <v>-857.37871423065155</v>
      </c>
      <c r="W301" t="s">
        <v>2266</v>
      </c>
      <c r="X301" t="s">
        <v>2267</v>
      </c>
      <c r="Y301" t="s">
        <v>2268</v>
      </c>
    </row>
    <row r="302" spans="1:25" x14ac:dyDescent="0.3">
      <c r="A302">
        <v>15050</v>
      </c>
      <c r="B302" t="s">
        <v>2269</v>
      </c>
      <c r="C302">
        <f>-543.96988749143 -152.012509025229 -95.852153543048</f>
        <v>-791.834550059707</v>
      </c>
      <c r="D302">
        <f>-568.62796770719 -163.470404236077 -208.443891466086</f>
        <v>-940.54226340935304</v>
      </c>
      <c r="E302">
        <f>-575.215626736935 -172.083902374407 -306.469712547183</f>
        <v>-1053.7692416585251</v>
      </c>
      <c r="F302">
        <f>-575.878297101088 -179.765085456249 -395.232339965588</f>
        <v>-1150.8757225229251</v>
      </c>
      <c r="G302">
        <f>-570.899104416111 -187.442248102806 -483.858162926943</f>
        <v>-1242.19951544586</v>
      </c>
      <c r="H302">
        <f>-558.039449970223 -198.316973273416 -607.297044250925</f>
        <v>-1363.653467494564</v>
      </c>
      <c r="I302">
        <f>-517.343978687055 -201.493274124243 -679.676652769283</f>
        <v>-1398.513905580581</v>
      </c>
      <c r="J302">
        <f>-566.122665761626 -166.058426587455 -555.650537434317</f>
        <v>-1287.8316297833981</v>
      </c>
      <c r="K302">
        <f>-580.6852530138 -29.4929730630545 -549.675694985019</f>
        <v>-1159.8539210618735</v>
      </c>
      <c r="L302" t="s">
        <v>2270</v>
      </c>
      <c r="M302" t="s">
        <v>2271</v>
      </c>
      <c r="N302">
        <f>-561.274027991268 -221.004617865598 -550.30477251537</f>
        <v>-1332.5834183722359</v>
      </c>
      <c r="O302">
        <f>-560.077877449913 -352.645334947761 -510.698018275331</f>
        <v>-1423.4212306730049</v>
      </c>
      <c r="P302">
        <f>-608.967425314942 -391.440885132015 -223.128977629546</f>
        <v>-1223.537288076503</v>
      </c>
      <c r="Q302">
        <f>-434.932381732628 -240.868272808269 -294.4770367895</f>
        <v>-970.27769133039715</v>
      </c>
      <c r="R302">
        <f>-567.789337230964 -60.1486551719474 -100.990128358641</f>
        <v>-728.92812076155235</v>
      </c>
      <c r="S302" t="s">
        <v>2272</v>
      </c>
      <c r="T302" t="s">
        <v>2273</v>
      </c>
      <c r="U302" t="s">
        <v>2274</v>
      </c>
      <c r="V302">
        <f>-520.339844865991 -244.050342176302 -92.7870517299071</f>
        <v>-857.17723877220021</v>
      </c>
      <c r="W302" t="s">
        <v>2275</v>
      </c>
      <c r="X302" t="s">
        <v>2276</v>
      </c>
      <c r="Y302" t="s">
        <v>2277</v>
      </c>
    </row>
    <row r="303" spans="1:25" x14ac:dyDescent="0.3">
      <c r="A303">
        <v>15100</v>
      </c>
      <c r="B303" t="s">
        <v>2278</v>
      </c>
      <c r="C303">
        <f>-544.069012477654 -151.08030368855 -95.8947836608936</f>
        <v>-791.04409982709763</v>
      </c>
      <c r="D303">
        <f>-568.66227639511 -162.438368919481 -208.51089466279</f>
        <v>-939.61153997738097</v>
      </c>
      <c r="E303">
        <f>-575.25005576752 -171.178939059138 -306.525545474375</f>
        <v>-1052.9545403010329</v>
      </c>
      <c r="F303">
        <f>-575.94110890913 -179.056098854861 -395.270667512873</f>
        <v>-1150.2678752768641</v>
      </c>
      <c r="G303">
        <f>-571.020551419032 -187.010901119146 -483.875201341209</f>
        <v>-1241.906653879387</v>
      </c>
      <c r="H303">
        <f>-558.277048414976 -198.358146199799 -607.283704871914</f>
        <v>-1363.918899486689</v>
      </c>
      <c r="I303">
        <f>-517.60079736052 -201.8788480436 -679.658266177873</f>
        <v>-1399.137911581993</v>
      </c>
      <c r="J303">
        <f>-566.169365758246 -165.888581916674 -555.740044889007</f>
        <v>-1287.797992563927</v>
      </c>
      <c r="K303">
        <f>-580.07423481518 -29.2276398073514 -550.374297408748</f>
        <v>-1159.6761720312793</v>
      </c>
      <c r="L303" t="s">
        <v>2279</v>
      </c>
      <c r="M303" t="s">
        <v>2280</v>
      </c>
      <c r="N303">
        <f>-561.600228362357 -220.840971645165 -550.215385673291</f>
        <v>-1332.6565856808131</v>
      </c>
      <c r="O303">
        <f>-561.060120677212 -352.328028724884 -510.12089410439</f>
        <v>-1423.509043506486</v>
      </c>
      <c r="P303">
        <f>-611.632400589388 -388.998691610172 -222.563988077147</f>
        <v>-1223.1950802767071</v>
      </c>
      <c r="Q303">
        <f>-433.661571336289 -242.890975141398 -293.48520620763</f>
        <v>-970.03775268531695</v>
      </c>
      <c r="R303">
        <f>-567.581987857453 -59.1721396466348 -101.085907482295</f>
        <v>-727.84003498638276</v>
      </c>
      <c r="S303" t="s">
        <v>2281</v>
      </c>
      <c r="T303" t="s">
        <v>2282</v>
      </c>
      <c r="U303" t="s">
        <v>2283</v>
      </c>
      <c r="V303">
        <f>-520.873333624932 -243.079139899921 -92.7673778158437</f>
        <v>-856.71985134069666</v>
      </c>
      <c r="W303" t="s">
        <v>2284</v>
      </c>
      <c r="X303" t="s">
        <v>2285</v>
      </c>
      <c r="Y303" t="s">
        <v>2286</v>
      </c>
    </row>
    <row r="304" spans="1:25" x14ac:dyDescent="0.3">
      <c r="A304">
        <v>15150</v>
      </c>
      <c r="B304" t="s">
        <v>2287</v>
      </c>
      <c r="C304">
        <f>-544.091225116988 -150.64486559666 -95.900544432041</f>
        <v>-790.63663514568896</v>
      </c>
      <c r="D304">
        <f>-568.69477810459 -161.969649962914 -208.517780364034</f>
        <v>-939.18220843153802</v>
      </c>
      <c r="E304">
        <f>-575.308102161123 -170.758294541827 -306.526332999629</f>
        <v>-1052.5927297025789</v>
      </c>
      <c r="F304">
        <f>-576.030365083205 -178.708104260004 -395.264803330169</f>
        <v>-1150.003272673378</v>
      </c>
      <c r="G304">
        <f>-571.150581939267 -186.76465279671 -483.862251840594</f>
        <v>-1241.7774865765709</v>
      </c>
      <c r="H304">
        <f>-558.474218387813 -198.284213071253 -607.26175913506</f>
        <v>-1364.020190594126</v>
      </c>
      <c r="I304">
        <f>-517.81719296998 -201.909183183805 -679.642022455689</f>
        <v>-1399.3683986094741</v>
      </c>
      <c r="J304">
        <f>-566.271860983443 -165.73664176075 -555.752879486713</f>
        <v>-1287.7613822309061</v>
      </c>
      <c r="K304">
        <f>-579.835211276919 -29.0354549476992 -550.622417690138</f>
        <v>-1159.4930839147564</v>
      </c>
      <c r="L304" t="s">
        <v>2288</v>
      </c>
      <c r="M304" t="s">
        <v>2289</v>
      </c>
      <c r="N304">
        <f>-561.833149106204 -220.69359608514 -550.166492846903</f>
        <v>-1332.693238038247</v>
      </c>
      <c r="O304">
        <f>-561.655261270739 -352.132408471676 -509.911216801527</f>
        <v>-1423.6988865439419</v>
      </c>
      <c r="P304">
        <f>-612.838680140003 -388.003090518345 -222.361648948258</f>
        <v>-1223.2034196066061</v>
      </c>
      <c r="Q304">
        <f>-433.411849214036 -243.607152560919 -293.119801843667</f>
        <v>-970.13880361862198</v>
      </c>
      <c r="R304">
        <f>-567.396279847675 -58.8010711410357 -101.114834018545</f>
        <v>-727.31218500725572</v>
      </c>
      <c r="S304" t="s">
        <v>2290</v>
      </c>
      <c r="T304" t="s">
        <v>2291</v>
      </c>
      <c r="U304" t="s">
        <v>2292</v>
      </c>
      <c r="V304">
        <f>-521.044648345263 -242.634540291731 -92.7661362542921</f>
        <v>-856.44532489128608</v>
      </c>
      <c r="W304" t="s">
        <v>2293</v>
      </c>
      <c r="X304" t="s">
        <v>2294</v>
      </c>
      <c r="Y304" t="s">
        <v>2295</v>
      </c>
    </row>
    <row r="305" spans="1:25" x14ac:dyDescent="0.3">
      <c r="A305">
        <v>15200</v>
      </c>
      <c r="B305" t="s">
        <v>2296</v>
      </c>
      <c r="C305">
        <f>-544.020240585104 -150.371230955701 -95.9373177749022</f>
        <v>-790.32878931570724</v>
      </c>
      <c r="D305">
        <f>-568.713597688271 -161.62686802828 -208.541863099827</f>
        <v>-938.88232881637794</v>
      </c>
      <c r="E305">
        <f>-575.406987162628 -170.451283718049 -306.541613190779</f>
        <v>-1052.399884071456</v>
      </c>
      <c r="F305">
        <f>-576.205046938747 -178.469141661389 -395.273452341949</f>
        <v>-1149.9476409420849</v>
      </c>
      <c r="G305">
        <f>-571.405194402083 -186.631653909138 -483.865643251923</f>
        <v>-1241.9024915631439</v>
      </c>
      <c r="H305">
        <f>-558.846016119981 -198.339084955287 -607.259279629082</f>
        <v>-1364.4443807043499</v>
      </c>
      <c r="I305">
        <f>-518.27474172219 -202.075187359673 -679.682095169766</f>
        <v>-1400.0320242516291</v>
      </c>
      <c r="J305">
        <f>-566.469621143981 -165.702098361724 -555.78114544262</f>
        <v>-1287.952864948325</v>
      </c>
      <c r="K305">
        <f>-579.296147490003 -28.9186040826778 -550.937341284375</f>
        <v>-1159.1520928570558</v>
      </c>
      <c r="L305" t="s">
        <v>2297</v>
      </c>
      <c r="M305" t="s">
        <v>2298</v>
      </c>
      <c r="N305">
        <f>-562.275730576931 -220.672533715888 -550.138713110167</f>
        <v>-1333.0869774029861</v>
      </c>
      <c r="O305">
        <f>-562.753781643952 -352.070036115256 -509.748752191388</f>
        <v>-1424.5725699505961</v>
      </c>
      <c r="P305">
        <f>-614.761796399103 -386.922431751088 -222.22198720536</f>
        <v>-1223.906215355551</v>
      </c>
      <c r="Q305">
        <f>-433.64623462457 -244.645471836427 -292.969947708272</f>
        <v>-971.26165416926904</v>
      </c>
      <c r="R305">
        <f>-566.973031638453 -58.5789492836652 -101.139994182022</f>
        <v>-726.69197510414017</v>
      </c>
      <c r="S305" t="s">
        <v>2299</v>
      </c>
      <c r="T305" t="s">
        <v>2300</v>
      </c>
      <c r="U305" t="s">
        <v>2301</v>
      </c>
      <c r="V305">
        <f>-521.317427521116 -242.358287419003 -92.7592555469197</f>
        <v>-856.43497048703864</v>
      </c>
      <c r="W305" t="s">
        <v>2302</v>
      </c>
      <c r="X305" t="s">
        <v>2303</v>
      </c>
      <c r="Y305" t="s">
        <v>2304</v>
      </c>
    </row>
    <row r="306" spans="1:25" x14ac:dyDescent="0.3">
      <c r="A306">
        <v>15250</v>
      </c>
      <c r="B306" t="s">
        <v>2305</v>
      </c>
      <c r="C306">
        <f>-543.920132769229 -150.297536817111 -95.93119088838</f>
        <v>-790.14886047471998</v>
      </c>
      <c r="D306">
        <f>-568.631262177332 -161.520439234359 -208.534997971382</f>
        <v>-938.68669938307301</v>
      </c>
      <c r="E306">
        <f>-575.352778165982 -170.338072060002 -306.533686474547</f>
        <v>-1052.224536700531</v>
      </c>
      <c r="F306">
        <f>-576.182025135755 -178.358665798724 -395.264735624518</f>
        <v>-1149.8054265589969</v>
      </c>
      <c r="G306">
        <f>-571.419195124482 -186.533686139701 -483.857893329839</f>
        <v>-1241.810774594022</v>
      </c>
      <c r="H306">
        <f>-558.918130546866 -198.269611986952 -607.254790325889</f>
        <v>-1364.4425328597069</v>
      </c>
      <c r="I306">
        <f>-518.410859873594 -202.027245208144 -679.711986875313</f>
        <v>-1400.1500919570508</v>
      </c>
      <c r="J306">
        <f>-566.458323081473 -165.615672436714 -555.774853029031</f>
        <v>-1287.848848547218</v>
      </c>
      <c r="K306">
        <f>-578.925788918964 -28.7981131187091 -550.977293669762</f>
        <v>-1158.7011957074351</v>
      </c>
      <c r="L306" t="s">
        <v>2306</v>
      </c>
      <c r="M306" t="s">
        <v>2307</v>
      </c>
      <c r="N306">
        <f>-562.380227319284 -220.594739210303 -550.13292889219</f>
        <v>-1333.1078954217769</v>
      </c>
      <c r="O306">
        <f>-563.173395504061 -351.993855492287 -509.756598195662</f>
        <v>-1424.92384919201</v>
      </c>
      <c r="P306">
        <f>-615.548751332841 -386.626737095552 -222.270006875613</f>
        <v>-1224.445495304006</v>
      </c>
      <c r="Q306">
        <f>-434.006422438866 -244.83545841803 -292.898841970185</f>
        <v>-971.74072282708107</v>
      </c>
      <c r="R306">
        <f>-566.740138545223 -58.4849282451698 -101.145662239972</f>
        <v>-726.37072903036483</v>
      </c>
      <c r="S306" t="s">
        <v>2308</v>
      </c>
      <c r="T306" t="s">
        <v>2309</v>
      </c>
      <c r="U306" t="s">
        <v>2310</v>
      </c>
      <c r="V306">
        <f>-521.278488504189 -242.280530064248 -92.7441872274878</f>
        <v>-856.3032057959249</v>
      </c>
      <c r="W306" t="s">
        <v>2311</v>
      </c>
      <c r="X306" t="s">
        <v>2312</v>
      </c>
      <c r="Y306" t="s">
        <v>2313</v>
      </c>
    </row>
    <row r="307" spans="1:25" x14ac:dyDescent="0.3">
      <c r="A307">
        <v>15300</v>
      </c>
      <c r="B307" t="s">
        <v>2314</v>
      </c>
      <c r="C307">
        <f>-543.488501792201 -150.54762458707 -95.9063237695973</f>
        <v>-789.94245014886826</v>
      </c>
      <c r="D307">
        <f>-568.218188616201 -161.687040235418 -208.514330673383</f>
        <v>-938.41955952500211</v>
      </c>
      <c r="E307">
        <f>-575.012472027618 -170.423782214791 -306.51513921192</f>
        <v>-1051.9513934543288</v>
      </c>
      <c r="F307">
        <f>-575.930410596802 -178.366664422046 -395.252439418157</f>
        <v>-1149.549514437005</v>
      </c>
      <c r="G307">
        <f>-571.278608257468 -186.46167842892 -483.858821136198</f>
        <v>-1241.5991078225861</v>
      </c>
      <c r="H307">
        <f>-558.955754155017 -198.083910630393 -607.28440017395</f>
        <v>-1364.3240649593599</v>
      </c>
      <c r="I307">
        <f>-518.646532708658 -201.798530501028 -679.854364348463</f>
        <v>-1400.2994275581491</v>
      </c>
      <c r="J307">
        <f>-566.310972373571 -165.468362317423 -555.753419246927</f>
        <v>-1287.5327539379209</v>
      </c>
      <c r="K307">
        <f>-578.116352684186 -28.5939670394851 -550.946782470079</f>
        <v>-1157.6571021937502</v>
      </c>
      <c r="L307" t="s">
        <v>2315</v>
      </c>
      <c r="M307" t="s">
        <v>2316</v>
      </c>
      <c r="N307">
        <f>-562.445927094243 -220.47063723496 -550.188399941422</f>
        <v>-1333.1049642706248</v>
      </c>
      <c r="O307">
        <f>-563.793687746782 -351.91295576016 -509.94827199265</f>
        <v>-1425.6549154995919</v>
      </c>
      <c r="P307">
        <f>-616.425980514224 -386.61071204323 -222.516241482526</f>
        <v>-1225.5529340399801</v>
      </c>
      <c r="Q307">
        <f>-434.79332333078 -244.923403972706 -293.121747212405</f>
        <v>-972.83847451589111</v>
      </c>
      <c r="R307">
        <f>-566.104374621739 -58.6553185244347 -101.131950703793</f>
        <v>-725.89164384996673</v>
      </c>
      <c r="S307" t="s">
        <v>2317</v>
      </c>
      <c r="T307" t="s">
        <v>2318</v>
      </c>
      <c r="U307" t="s">
        <v>2319</v>
      </c>
      <c r="V307">
        <f>-521.080648907227 -242.581694544318 -92.7392885317312</f>
        <v>-856.40163198327616</v>
      </c>
      <c r="W307" t="s">
        <v>2320</v>
      </c>
      <c r="X307" t="s">
        <v>2321</v>
      </c>
      <c r="Y307" t="s">
        <v>2322</v>
      </c>
    </row>
    <row r="308" spans="1:25" x14ac:dyDescent="0.3">
      <c r="A308">
        <v>15350</v>
      </c>
      <c r="B308" t="s">
        <v>2323</v>
      </c>
      <c r="C308">
        <f>-543.343203749402 -150.651592376873 -95.8894970466175</f>
        <v>-789.88429317289263</v>
      </c>
      <c r="D308">
        <f>-568.079154480604 -161.745182188528 -208.500786316347</f>
        <v>-938.32512298547897</v>
      </c>
      <c r="E308">
        <f>-574.905986560258 -170.421790654589 -306.504613500961</f>
        <v>-1051.8323907158081</v>
      </c>
      <c r="F308">
        <f>-575.8639458382 -178.301271036478 -395.24707249038</f>
        <v>-1149.4122893650579</v>
      </c>
      <c r="G308">
        <f>-571.262319461471 -186.323997501065 -483.862629221216</f>
        <v>-1241.448946183752</v>
      </c>
      <c r="H308">
        <f>-559.019501130282 -197.836216014457 -607.306424461398</f>
        <v>-1364.1621416061371</v>
      </c>
      <c r="I308">
        <f>-518.812125897574 -201.476622885818 -679.936587427337</f>
        <v>-1400.225336210729</v>
      </c>
      <c r="J308">
        <f>-566.305460298359 -165.263780745927 -555.738446248868</f>
        <v>-1287.3076872931538</v>
      </c>
      <c r="K308">
        <f>-577.848728129326 -28.3705683654105 -550.857611423922</f>
        <v>-1157.0769079186584</v>
      </c>
      <c r="L308" t="s">
        <v>2324</v>
      </c>
      <c r="M308" t="s">
        <v>2325</v>
      </c>
      <c r="N308">
        <f>-562.508561751635 -220.276663465509 -550.231510803698</f>
        <v>-1333.016736020842</v>
      </c>
      <c r="O308">
        <f>-564.018284083178 -351.750173591018 -510.095658186494</f>
        <v>-1425.8641158606899</v>
      </c>
      <c r="P308">
        <f>-616.761996072293 -386.459809167088 -222.685591180761</f>
        <v>-1225.907396420142</v>
      </c>
      <c r="Q308">
        <f>-435.099083833864 -244.743509879919 -293.154919308402</f>
        <v>-972.99751302218499</v>
      </c>
      <c r="R308">
        <f>-565.898795569217 -58.6775979856557 -101.12423396863</f>
        <v>-725.70062752350259</v>
      </c>
      <c r="S308" t="s">
        <v>2326</v>
      </c>
      <c r="T308" t="s">
        <v>2327</v>
      </c>
      <c r="U308" t="s">
        <v>2328</v>
      </c>
      <c r="V308">
        <f>-521.034424420729 -242.709451473518 -92.7353412781713</f>
        <v>-856.47921717241832</v>
      </c>
      <c r="W308" t="s">
        <v>2329</v>
      </c>
      <c r="X308" t="s">
        <v>2330</v>
      </c>
      <c r="Y308" t="s">
        <v>2331</v>
      </c>
    </row>
    <row r="309" spans="1:25" x14ac:dyDescent="0.3">
      <c r="A309">
        <v>15400</v>
      </c>
      <c r="B309" t="s">
        <v>2332</v>
      </c>
      <c r="C309">
        <f>-543.258457499064 -150.833116290881 -95.8923643225795</f>
        <v>-789.98393811252447</v>
      </c>
      <c r="D309">
        <f>-568.003772448596 -161.830239236839 -208.510996232773</f>
        <v>-938.34500791820801</v>
      </c>
      <c r="E309">
        <f>-574.849209921229 -170.358400145412 -306.526716455872</f>
        <v>-1051.7343265225131</v>
      </c>
      <c r="F309">
        <f>-575.826968965186 -178.076358873672 -395.283056453182</f>
        <v>-1149.18638429204</v>
      </c>
      <c r="G309">
        <f>-571.247154748939 -185.911330995961 -483.916485344123</f>
        <v>-1241.0749710890229</v>
      </c>
      <c r="H309">
        <f>-559.036025849259 -197.133152472769 -607.390332197764</f>
        <v>-1363.559510519792</v>
      </c>
      <c r="I309">
        <f>-518.972023246832 -200.53733278661 -680.111177513024</f>
        <v>-1399.620533546466</v>
      </c>
      <c r="J309">
        <f>-566.268828708784 -164.679012492802 -555.740317441049</f>
        <v>-1286.688158642635</v>
      </c>
      <c r="K309">
        <f>-577.457814408441 -27.7589117407101 -550.678861379761</f>
        <v>-1155.8955875289121</v>
      </c>
      <c r="L309" t="s">
        <v>2333</v>
      </c>
      <c r="M309" t="s">
        <v>2334</v>
      </c>
      <c r="N309">
        <f>-562.550142666499 -219.710951975052 -550.370936534523</f>
        <v>-1332.6320311760742</v>
      </c>
      <c r="O309">
        <f>-564.22957565444 -351.254469547676 -510.487079732684</f>
        <v>-1425.9711249347999</v>
      </c>
      <c r="P309">
        <f>-616.902218768925 -386.687221353217 -223.152379425624</f>
        <v>-1226.741819547766</v>
      </c>
      <c r="Q309">
        <f>-435.651094824943 -244.136746309853 -292.996983577679</f>
        <v>-972.78482471247503</v>
      </c>
      <c r="R309">
        <f>-565.723423130979 -58.6429194612729 -101.10176283645</f>
        <v>-725.46810542870185</v>
      </c>
      <c r="S309" t="s">
        <v>2335</v>
      </c>
      <c r="T309" t="s">
        <v>2336</v>
      </c>
      <c r="U309" t="s">
        <v>2337</v>
      </c>
      <c r="V309">
        <f>-521.058056239151 -243.106194694419 -92.7878145337961</f>
        <v>-856.95206546736608</v>
      </c>
      <c r="W309" t="s">
        <v>2338</v>
      </c>
      <c r="X309" t="s">
        <v>2339</v>
      </c>
      <c r="Y309" t="s">
        <v>2340</v>
      </c>
    </row>
    <row r="310" spans="1:25" x14ac:dyDescent="0.3">
      <c r="A310">
        <v>15450</v>
      </c>
      <c r="B310" t="s">
        <v>2341</v>
      </c>
      <c r="C310">
        <f>-543.17295456797 -150.939571361864 -95.9248257580296</f>
        <v>-790.03735168786352</v>
      </c>
      <c r="D310">
        <f>-567.930975376875 -161.898255682644 -208.544379699708</f>
        <v>-938.37361075922706</v>
      </c>
      <c r="E310">
        <f>-574.79208240014 -170.359068106875 -306.564861949739</f>
        <v>-1051.716012456754</v>
      </c>
      <c r="F310">
        <f>-575.785534169532 -178.002112701899 -395.327614032288</f>
        <v>-1149.115260903719</v>
      </c>
      <c r="G310">
        <f>-571.221947662479 -185.748557015375 -483.969723553212</f>
        <v>-1240.9402282310662</v>
      </c>
      <c r="H310">
        <f>-559.033675320175 -196.83274623077 -607.458105402844</f>
        <v>-1363.324526953789</v>
      </c>
      <c r="I310">
        <f>-519.040637289676 -200.110035278775 -680.223798315343</f>
        <v>-1399.3744708837939</v>
      </c>
      <c r="J310">
        <f>-566.242346511337 -164.435173901418 -555.769188041373</f>
        <v>-1286.4467084541279</v>
      </c>
      <c r="K310">
        <f>-577.304926070041 -27.5018832333644 -550.576116745643</f>
        <v>-1155.3829260490484</v>
      </c>
      <c r="L310" t="s">
        <v>2342</v>
      </c>
      <c r="M310" t="s">
        <v>2343</v>
      </c>
      <c r="N310">
        <f>-562.551990966577 -219.475158437371 -550.464598625336</f>
        <v>-1332.4917480292838</v>
      </c>
      <c r="O310">
        <f>-564.236959793535 -351.064891889474 -510.765746423347</f>
        <v>-1426.0675981063559</v>
      </c>
      <c r="P310">
        <f>-616.889040199689 -386.862803028749 -223.47245583373</f>
        <v>-1227.224299062168</v>
      </c>
      <c r="Q310">
        <f>-435.830210003056 -243.838102048577 -292.844555879019</f>
        <v>-972.51286793065196</v>
      </c>
      <c r="R310">
        <f>-565.593769442815 -58.7613907069665 -101.098025142267</f>
        <v>-725.45318529204849</v>
      </c>
      <c r="S310" t="s">
        <v>2344</v>
      </c>
      <c r="T310" t="s">
        <v>2345</v>
      </c>
      <c r="U310" t="s">
        <v>2346</v>
      </c>
      <c r="V310">
        <f>-520.952328311428 -243.218916387167 -92.8356747095223</f>
        <v>-857.00691940811737</v>
      </c>
      <c r="W310" t="s">
        <v>2347</v>
      </c>
      <c r="X310" t="s">
        <v>2348</v>
      </c>
      <c r="Y310" t="s">
        <v>2349</v>
      </c>
    </row>
    <row r="311" spans="1:25" x14ac:dyDescent="0.3">
      <c r="A311">
        <v>15500</v>
      </c>
      <c r="B311" t="s">
        <v>2350</v>
      </c>
      <c r="C311">
        <f>-542.994005221138 -151.330254320389 -95.9500094688392</f>
        <v>-790.2742690103662</v>
      </c>
      <c r="D311">
        <f>-567.802325127984 -162.263517297541 -208.560973375718</f>
        <v>-938.62681580124308</v>
      </c>
      <c r="E311">
        <f>-574.734611193787 -170.575145033735 -306.589085982368</f>
        <v>-1051.8988422098901</v>
      </c>
      <c r="F311">
        <f>-575.800336908389 -178.033874500336 -395.366763375914</f>
        <v>-1149.2009747846389</v>
      </c>
      <c r="G311">
        <f>-571.315355906429 -185.547757312914 -484.032940905497</f>
        <v>-1240.89605412484</v>
      </c>
      <c r="H311">
        <f>-559.241915244913 -196.257379040022 -607.565674422415</f>
        <v>-1363.0649687073501</v>
      </c>
      <c r="I311">
        <f>-519.391372233707 -199.246241294691 -680.421888499173</f>
        <v>-1399.0595020275709</v>
      </c>
      <c r="J311">
        <f>-566.393512110588 -164.016008756376 -555.771206338834</f>
        <v>-1286.1807272057979</v>
      </c>
      <c r="K311">
        <f>-577.37725900899 -27.1015402847361 -550.238933821122</f>
        <v>-1154.7177331148482</v>
      </c>
      <c r="L311" t="s">
        <v>2351</v>
      </c>
      <c r="M311" t="s">
        <v>2352</v>
      </c>
      <c r="N311">
        <f>-562.716136544186 -219.073238281339 -550.638628721841</f>
        <v>-1332.4280035473662</v>
      </c>
      <c r="O311">
        <f>-564.41496014904 -350.808968964784 -511.383277870196</f>
        <v>-1426.60720698402</v>
      </c>
      <c r="P311">
        <f>-616.936370747723 -387.601883097515 -224.191711060979</f>
        <v>-1228.729964906217</v>
      </c>
      <c r="Q311">
        <f>-436.269221066601 -243.65945135709 -292.680850552853</f>
        <v>-972.60952297654399</v>
      </c>
      <c r="R311">
        <f>-565.460262533672 -59.0910224744382 -101.091405365174</f>
        <v>-725.64269037328415</v>
      </c>
      <c r="S311" t="s">
        <v>2353</v>
      </c>
      <c r="T311" t="s">
        <v>2354</v>
      </c>
      <c r="U311" t="s">
        <v>2355</v>
      </c>
      <c r="V311">
        <f>-520.754337384577 -243.667956961824 -92.8823972036759</f>
        <v>-857.30469155007677</v>
      </c>
      <c r="W311" t="s">
        <v>2356</v>
      </c>
      <c r="X311" t="s">
        <v>2357</v>
      </c>
      <c r="Y311" t="s">
        <v>2358</v>
      </c>
    </row>
    <row r="312" spans="1:25" x14ac:dyDescent="0.3">
      <c r="A312">
        <v>15550</v>
      </c>
      <c r="B312" t="s">
        <v>2359</v>
      </c>
      <c r="C312">
        <f>-542.925428848967 -151.495429293909 -95.9310236871655</f>
        <v>-790.35188183004163</v>
      </c>
      <c r="D312">
        <f>-567.786572798043 -162.371668070065 -208.535913544298</f>
        <v>-938.69415441240608</v>
      </c>
      <c r="E312">
        <f>-574.759956083422 -170.579426652772 -306.56989085263</f>
        <v>-1051.9092735888239</v>
      </c>
      <c r="F312">
        <f>-575.859927771102 -177.922549762764 -395.356769045083</f>
        <v>-1149.139246578949</v>
      </c>
      <c r="G312">
        <f>-571.405335345097 -185.298493265827 -484.036004067385</f>
        <v>-1240.7398326783091</v>
      </c>
      <c r="H312">
        <f>-559.369364274256 -195.79301046605 -607.590884472737</f>
        <v>-1362.7532592130428</v>
      </c>
      <c r="I312">
        <f>-519.585253630209 -198.632904161872 -680.489344577352</f>
        <v>-1398.7075023694329</v>
      </c>
      <c r="J312">
        <f>-566.507246127492 -163.641976885526 -555.738486974321</f>
        <v>-1285.8877099873389</v>
      </c>
      <c r="K312">
        <f>-577.478228087444 -26.7337345612491 -549.978885002099</f>
        <v>-1154.190847650792</v>
      </c>
      <c r="L312" t="s">
        <v>2360</v>
      </c>
      <c r="M312" t="s">
        <v>2361</v>
      </c>
      <c r="N312">
        <f>-562.824293716414 -218.707739002598 -550.702419042272</f>
        <v>-1332.2344517612842</v>
      </c>
      <c r="O312">
        <f>-564.481390828617 -350.518759208818 -511.707667189859</f>
        <v>-1426.7078172272941</v>
      </c>
      <c r="P312">
        <f>-616.918116971672 -387.805031134915 -224.564318476655</f>
        <v>-1229.2874665832419</v>
      </c>
      <c r="Q312">
        <f>-436.483991388417 -243.419825859582 -292.735276884401</f>
        <v>-972.63909413240003</v>
      </c>
      <c r="R312">
        <f>-565.384469475468 -59.2070361990313 -101.052795637053</f>
        <v>-725.64430131155234</v>
      </c>
      <c r="S312" t="s">
        <v>2362</v>
      </c>
      <c r="T312" t="s">
        <v>2363</v>
      </c>
      <c r="U312" t="s">
        <v>2364</v>
      </c>
      <c r="V312">
        <f>-520.730928026008 -243.89959484785 -92.9051733346959</f>
        <v>-857.53569620855387</v>
      </c>
      <c r="W312" t="s">
        <v>2365</v>
      </c>
      <c r="X312" t="s">
        <v>2366</v>
      </c>
      <c r="Y312" t="s">
        <v>2367</v>
      </c>
    </row>
    <row r="313" spans="1:25" x14ac:dyDescent="0.3">
      <c r="A313">
        <v>15600</v>
      </c>
      <c r="B313" t="s">
        <v>2368</v>
      </c>
      <c r="C313">
        <f>-542.978672899751 -151.878192739839 -95.941017538765</f>
        <v>-790.79788317835505</v>
      </c>
      <c r="D313">
        <f>-567.917610245974 -162.679812376653 -208.535786042061</f>
        <v>-939.13320866468791</v>
      </c>
      <c r="E313">
        <f>-574.965275370414 -170.685407848907 -306.581266593299</f>
        <v>-1052.2319498126201</v>
      </c>
      <c r="F313">
        <f>-576.132177571102 -177.790359507701 -395.3866486409</f>
        <v>-1149.309185719703</v>
      </c>
      <c r="G313">
        <f>-571.742102201308 -184.873750050238 -484.092885930376</f>
        <v>-1240.7087381819219</v>
      </c>
      <c r="H313">
        <f>-559.792034844477 -194.902424560725 -607.69486832234</f>
        <v>-1362.389327727542</v>
      </c>
      <c r="I313">
        <f>-520.194101870645 -197.416140712493 -680.706581391567</f>
        <v>-1398.3168239747051</v>
      </c>
      <c r="J313">
        <f>-566.888543846977 -162.946798613797 -555.716231916489</f>
        <v>-1285.551574377263</v>
      </c>
      <c r="K313">
        <f>-577.768322337873 -26.0531105142752 -549.472813962797</f>
        <v>-1153.2942468149452</v>
      </c>
      <c r="L313" t="s">
        <v>2369</v>
      </c>
      <c r="M313" t="s">
        <v>2370</v>
      </c>
      <c r="N313">
        <f>-563.212939342334 -218.031954829652 -550.891295907233</f>
        <v>-1332.136190079219</v>
      </c>
      <c r="O313">
        <f>-564.792685048871 -349.993153216944 -512.39896709879</f>
        <v>-1427.1848053646049</v>
      </c>
      <c r="P313">
        <f>-616.889806548049 -388.441243340764 -225.347008431344</f>
        <v>-1230.6780583201571</v>
      </c>
      <c r="Q313">
        <f>-436.95881543365 -243.233531539237 -293.099184636455</f>
        <v>-973.29153160934197</v>
      </c>
      <c r="R313">
        <f>-565.331304687073 -59.5604961151694 -100.988660555954</f>
        <v>-725.88046135819638</v>
      </c>
      <c r="S313" t="s">
        <v>2371</v>
      </c>
      <c r="T313" t="s">
        <v>2372</v>
      </c>
      <c r="U313" t="s">
        <v>2373</v>
      </c>
      <c r="V313">
        <f>-520.90988410696 -244.322981108348 -92.9586552672963</f>
        <v>-858.19152048260435</v>
      </c>
      <c r="W313" t="s">
        <v>2374</v>
      </c>
      <c r="X313" t="s">
        <v>2375</v>
      </c>
      <c r="Y313" t="s">
        <v>2376</v>
      </c>
    </row>
    <row r="314" spans="1:25" x14ac:dyDescent="0.3">
      <c r="A314">
        <v>15650</v>
      </c>
      <c r="B314" t="s">
        <v>2377</v>
      </c>
      <c r="C314">
        <f>-543.016879032991 -152.105011284869 -95.9293803153547</f>
        <v>-791.0512706332147</v>
      </c>
      <c r="D314">
        <f>-567.973370054972 -162.867920582289 -208.523991729863</f>
        <v>-939.365282367124</v>
      </c>
      <c r="E314">
        <f>-575.040526030597 -170.760577417196 -306.577168637095</f>
        <v>-1052.3782720848881</v>
      </c>
      <c r="F314">
        <f>-576.224942277684 -177.732243833407 -395.392889900383</f>
        <v>-1149.3500760114739</v>
      </c>
      <c r="G314">
        <f>-571.851192942561 -184.651388425425 -484.112829541158</f>
        <v>-1240.615410909144</v>
      </c>
      <c r="H314">
        <f>-559.921702030948 -194.419178660068 -607.737689245362</f>
        <v>-1362.0785699363782</v>
      </c>
      <c r="I314">
        <f>-520.442986785116 -196.754253888814 -680.819973918249</f>
        <v>-1398.017214592179</v>
      </c>
      <c r="J314">
        <f>-567.000759226351 -162.572726622267 -555.689797835477</f>
        <v>-1285.2632836840949</v>
      </c>
      <c r="K314">
        <f>-577.825133780909 -25.6909287686726 -549.184969530346</f>
        <v>-1152.7010320799277</v>
      </c>
      <c r="L314" t="s">
        <v>2378</v>
      </c>
      <c r="M314" t="s">
        <v>2379</v>
      </c>
      <c r="N314">
        <f>-563.341692059786 -217.669226521946 -550.98337803856</f>
        <v>-1331.9942966202921</v>
      </c>
      <c r="O314">
        <f>-564.941125312813 -349.715552645258 -512.771132525503</f>
        <v>-1427.4278104835739</v>
      </c>
      <c r="P314">
        <f>-616.94898468545 -388.827725262251 -225.792829801901</f>
        <v>-1231.569539749602</v>
      </c>
      <c r="Q314">
        <f>-437.240259729879 -243.24078094129 -293.320950959527</f>
        <v>-973.80199163069597</v>
      </c>
      <c r="R314">
        <f>-565.281998810867 -59.8726212793172 -100.956922446409</f>
        <v>-726.11154253659311</v>
      </c>
      <c r="S314" t="s">
        <v>2380</v>
      </c>
      <c r="T314" t="s">
        <v>2381</v>
      </c>
      <c r="U314" t="s">
        <v>2382</v>
      </c>
      <c r="V314">
        <f>-520.99578564727 -244.475626137945 -92.9764245748545</f>
        <v>-858.44783636006957</v>
      </c>
      <c r="W314" t="s">
        <v>2383</v>
      </c>
      <c r="X314" t="s">
        <v>2384</v>
      </c>
      <c r="Y314" t="s">
        <v>2385</v>
      </c>
    </row>
    <row r="315" spans="1:25" x14ac:dyDescent="0.3">
      <c r="A315">
        <v>15700</v>
      </c>
      <c r="B315" t="s">
        <v>2386</v>
      </c>
      <c r="C315">
        <f>-542.997702345084 -152.402147378496 -95.8780172539158</f>
        <v>-791.27786697749582</v>
      </c>
      <c r="D315">
        <f>-567.961810004583 -163.069502860523 -208.480010084122</f>
        <v>-939.51132294922797</v>
      </c>
      <c r="E315">
        <f>-575.010502983305 -170.721449794688 -306.553514865035</f>
        <v>-1052.2854676430279</v>
      </c>
      <c r="F315">
        <f>-576.164468321085 -177.412299230097 -395.39132853519</f>
        <v>-1148.968096086372</v>
      </c>
      <c r="G315">
        <f>-571.744638947343 -183.989159632434 -484.135040710088</f>
        <v>-1239.8688392898648</v>
      </c>
      <c r="H315">
        <f>-559.732596966501 -193.215236482861 -607.793481278123</f>
        <v>-1360.7413147274849</v>
      </c>
      <c r="I315">
        <f>-520.499832373835 -195.154914756749 -681.019531931162</f>
        <v>-1396.6742790617459</v>
      </c>
      <c r="J315">
        <f>-566.817603715151 -161.594853727903 -555.608640561348</f>
        <v>-1284.0210980044021</v>
      </c>
      <c r="K315">
        <f>-577.4612772139 -24.7230468002374 -548.54332846458</f>
        <v>-1150.7276524787173</v>
      </c>
      <c r="L315" t="s">
        <v>2387</v>
      </c>
      <c r="M315" t="s">
        <v>2388</v>
      </c>
      <c r="N315">
        <f>-563.21951807978 -216.715736504931 -551.146544982075</f>
        <v>-1331.081799566786</v>
      </c>
      <c r="O315">
        <f>-564.915296016981 -348.931483953662 -513.546499836633</f>
        <v>-1427.393279807276</v>
      </c>
      <c r="P315">
        <f>-616.939812239439 -389.582060897462 -226.784806953518</f>
        <v>-1233.3066800904189</v>
      </c>
      <c r="Q315">
        <f>-437.696931938379 -243.137966628043 -293.695062260682</f>
        <v>-974.52996082710399</v>
      </c>
      <c r="R315">
        <f>-565.130069875491 -60.1445762214794 -100.857908363302</f>
        <v>-726.13255446027244</v>
      </c>
      <c r="S315" t="s">
        <v>2389</v>
      </c>
      <c r="T315" t="s">
        <v>2390</v>
      </c>
      <c r="U315" t="s">
        <v>2391</v>
      </c>
      <c r="V315">
        <f>-521.101156945749 -244.749049911733 -92.9898930887556</f>
        <v>-858.84009994623761</v>
      </c>
      <c r="W315" t="s">
        <v>2392</v>
      </c>
      <c r="X315" t="s">
        <v>2393</v>
      </c>
      <c r="Y315" t="s">
        <v>2394</v>
      </c>
    </row>
    <row r="316" spans="1:25" x14ac:dyDescent="0.3">
      <c r="A316">
        <v>15750</v>
      </c>
      <c r="B316" t="s">
        <v>2395</v>
      </c>
      <c r="C316">
        <f>-542.977278193114 -152.589123471473 -95.8372677154124</f>
        <v>-791.40366937999931</v>
      </c>
      <c r="D316">
        <f>-567.951898160805 -163.186815314675 -208.443648391623</f>
        <v>-939.58236186710292</v>
      </c>
      <c r="E316">
        <f>-574.977391881938 -170.717808084984 -306.528125258535</f>
        <v>-1052.2233252254571</v>
      </c>
      <c r="F316">
        <f>-576.096208856552 -177.275385837472 -395.376285251137</f>
        <v>-1148.747879945161</v>
      </c>
      <c r="G316">
        <f>-571.625968860971 -183.696043088837 -484.12887105304</f>
        <v>-1239.4508830028481</v>
      </c>
      <c r="H316">
        <f>-559.527501728336 -192.680565680822 -607.79659494611</f>
        <v>-1360.004662355268</v>
      </c>
      <c r="I316">
        <f>-520.41178202668 -194.421119470554 -681.090249922439</f>
        <v>-1395.9231514196731</v>
      </c>
      <c r="J316">
        <f>-566.627038664792 -161.160548043182 -555.553081766087</f>
        <v>-1283.340668474061</v>
      </c>
      <c r="K316">
        <f>-577.164511507171 -24.2912638782529 -548.222376085373</f>
        <v>-1149.6781514707968</v>
      </c>
      <c r="L316" t="s">
        <v>2396</v>
      </c>
      <c r="M316" t="s">
        <v>2397</v>
      </c>
      <c r="N316">
        <f>-563.075795534946 -216.29315338754 -551.200248074429</f>
        <v>-1330.569196996915</v>
      </c>
      <c r="O316">
        <f>-564.842616762158 -348.573422841708 -513.858957048645</f>
        <v>-1427.2749966525112</v>
      </c>
      <c r="P316">
        <f>-616.902113974836 -389.935231554764 -227.205503149081</f>
        <v>-1234.0428486786811</v>
      </c>
      <c r="Q316">
        <f>-437.671688555791 -243.324875085706 -293.783994797654</f>
        <v>-974.78055843915104</v>
      </c>
      <c r="R316">
        <f>-565.037580192543 -60.2958775060597 -100.792262935633</f>
        <v>-726.12572063423568</v>
      </c>
      <c r="S316" t="s">
        <v>2398</v>
      </c>
      <c r="T316" t="s">
        <v>2399</v>
      </c>
      <c r="U316" t="s">
        <v>2400</v>
      </c>
      <c r="V316">
        <f>-521.138119181753 -245.01793039848 -92.9901015270765</f>
        <v>-859.14615110730949</v>
      </c>
      <c r="W316" t="s">
        <v>2401</v>
      </c>
      <c r="X316" t="s">
        <v>2402</v>
      </c>
      <c r="Y316" t="s">
        <v>2403</v>
      </c>
    </row>
    <row r="317" spans="1:25" x14ac:dyDescent="0.3">
      <c r="A317">
        <v>15800</v>
      </c>
      <c r="B317" t="s">
        <v>2404</v>
      </c>
      <c r="C317">
        <f>-542.884168931201 -153.106426836956 -95.7743162290495</f>
        <v>-791.76491199720647</v>
      </c>
      <c r="D317">
        <f>-567.924758123198 -163.595862685529 -208.376086207765</f>
        <v>-939.89670701649197</v>
      </c>
      <c r="E317">
        <f>-574.913408931089 -170.913601436173 -306.479396755659</f>
        <v>-1052.306407122921</v>
      </c>
      <c r="F317">
        <f>-575.958293530479 -177.232545761537 -395.345740190007</f>
        <v>-1148.5365794820229</v>
      </c>
      <c r="G317">
        <f>-571.372318323954 -183.371648792302 -484.112420137082</f>
        <v>-1238.856387253338</v>
      </c>
      <c r="H317">
        <f>-559.067165707752 -191.919685446791 -607.790690848773</f>
        <v>-1358.7775420033161</v>
      </c>
      <c r="I317">
        <f>-520.196571084594 -193.2668643985 -681.222837498711</f>
        <v>-1394.6862729818049</v>
      </c>
      <c r="J317">
        <f>-566.206010491067 -160.580849772857 -555.443513995271</f>
        <v>-1282.2303742591948</v>
      </c>
      <c r="K317">
        <f>-576.473168961909 -23.7225192417618 -547.572048970157</f>
        <v>-1147.7677371738278</v>
      </c>
      <c r="L317" t="s">
        <v>2405</v>
      </c>
      <c r="M317" t="s">
        <v>2406</v>
      </c>
      <c r="N317">
        <f>-562.758179762098 -215.735344794165 -551.288497898336</f>
        <v>-1329.782022454599</v>
      </c>
      <c r="O317">
        <f>-564.69394879265 -348.153299773332 -514.418114164568</f>
        <v>-1427.2653627305499</v>
      </c>
      <c r="P317">
        <f>-616.66928580998 -390.660878635956 -227.916915114909</f>
        <v>-1235.2470795608451</v>
      </c>
      <c r="Q317">
        <f>-437.418629224199 -243.82698415558 -293.946379560486</f>
        <v>-975.19199294026498</v>
      </c>
      <c r="R317">
        <f>-564.825742288442 -60.7560242691786 -100.646274100965</f>
        <v>-726.22804065858566</v>
      </c>
      <c r="S317" t="s">
        <v>2407</v>
      </c>
      <c r="T317" t="s">
        <v>2408</v>
      </c>
      <c r="U317" t="s">
        <v>2409</v>
      </c>
      <c r="V317">
        <f>-521.20208335874 -245.597122441959 -92.9967582527623</f>
        <v>-859.79596405346126</v>
      </c>
      <c r="W317" t="s">
        <v>2410</v>
      </c>
      <c r="X317" t="s">
        <v>2411</v>
      </c>
      <c r="Y317" t="s">
        <v>2412</v>
      </c>
    </row>
    <row r="318" spans="1:25" x14ac:dyDescent="0.3">
      <c r="A318">
        <v>15850</v>
      </c>
      <c r="B318" t="s">
        <v>2413</v>
      </c>
      <c r="C318">
        <f>-542.822097598757 -153.351609244487 -95.7474685632582</f>
        <v>-791.92117540650213</v>
      </c>
      <c r="D318">
        <f>-567.894321666759 -163.78809899344 -208.347043139492</f>
        <v>-940.02946379969103</v>
      </c>
      <c r="E318">
        <f>-574.856795149615 -171.005637105563 -306.459823564666</f>
        <v>-1052.322255819844</v>
      </c>
      <c r="F318">
        <f>-575.855075360073 -177.213389445164 -395.334419710735</f>
        <v>-1148.4028845159719</v>
      </c>
      <c r="G318">
        <f>-571.19906666385 -183.221847463971 -484.106369591134</f>
        <v>-1238.527283718955</v>
      </c>
      <c r="H318">
        <f>-558.771117531478 -191.567976685706 -607.786284891681</f>
        <v>-1358.125379108865</v>
      </c>
      <c r="I318">
        <f>-520.021093516984 -192.712225940697 -681.285516836591</f>
        <v>-1394.0188362942722</v>
      </c>
      <c r="J318">
        <f>-565.941295350484 -160.313197613165 -555.393075590312</f>
        <v>-1281.647568553961</v>
      </c>
      <c r="K318">
        <f>-576.134357815035 -23.4664924434785 -547.271367407116</f>
        <v>-1146.8722176656295</v>
      </c>
      <c r="L318" t="s">
        <v>2414</v>
      </c>
      <c r="M318" t="s">
        <v>2415</v>
      </c>
      <c r="N318">
        <f>-562.538739569087 -215.477209348247 -551.32861410663</f>
        <v>-1329.3445630239639</v>
      </c>
      <c r="O318">
        <f>-564.539903979446 -347.950153015855 -514.667320298644</f>
        <v>-1427.157377293945</v>
      </c>
      <c r="P318">
        <f>-616.529423180654 -390.991449254439 -228.248508679232</f>
        <v>-1235.7693811143249</v>
      </c>
      <c r="Q318">
        <f>-437.27598915637 -244.039117325784 -294.006420430708</f>
        <v>-975.32152691286194</v>
      </c>
      <c r="R318">
        <f>-564.691424706204 -60.9669363048665 -100.569455437793</f>
        <v>-726.22781644886345</v>
      </c>
      <c r="S318" t="s">
        <v>2416</v>
      </c>
      <c r="T318" t="s">
        <v>2417</v>
      </c>
      <c r="U318" t="s">
        <v>2418</v>
      </c>
      <c r="V318">
        <f>-521.191277280996 -245.850516318043 -92.9957150054536</f>
        <v>-860.03750860449259</v>
      </c>
      <c r="W318" t="s">
        <v>2419</v>
      </c>
      <c r="X318" t="s">
        <v>2420</v>
      </c>
      <c r="Y318" t="s">
        <v>2421</v>
      </c>
    </row>
    <row r="319" spans="1:25" x14ac:dyDescent="0.3">
      <c r="A319">
        <v>15900</v>
      </c>
      <c r="B319" t="s">
        <v>2422</v>
      </c>
      <c r="C319">
        <f>-542.580464961973 -153.810706792146 -95.685263088695</f>
        <v>-792.07643484281402</v>
      </c>
      <c r="D319">
        <f>-567.656310879017 -164.156960453965 -208.292473213278</f>
        <v>-940.10574454625998</v>
      </c>
      <c r="E319">
        <f>-574.545464902239 -171.182831956702 -306.424223998293</f>
        <v>-1052.1525208572339</v>
      </c>
      <c r="F319">
        <f>-575.444241407852 -177.172868821602 -395.314820654055</f>
        <v>-1147.931930883509</v>
      </c>
      <c r="G319">
        <f>-570.654106241811 -182.921880757314 -484.096813447987</f>
        <v>-1237.672800447112</v>
      </c>
      <c r="H319">
        <f>-558.001598879608 -190.863204075539 -607.780651104265</f>
        <v>-1356.6454540594118</v>
      </c>
      <c r="I319">
        <f>-519.538073326547 -191.597756091717 -681.435410311544</f>
        <v>-1392.571239729808</v>
      </c>
      <c r="J319">
        <f>-565.235200329459 -159.777936601265 -555.295438479397</f>
        <v>-1280.308575410121</v>
      </c>
      <c r="K319">
        <f>-575.348393415206 -22.955174139043 -546.684524014735</f>
        <v>-1144.9880915689841</v>
      </c>
      <c r="L319" t="s">
        <v>2423</v>
      </c>
      <c r="M319" t="s">
        <v>2424</v>
      </c>
      <c r="N319">
        <f>-561.903485745082 -214.95926615902 -551.411594963111</f>
        <v>-1328.2743468672129</v>
      </c>
      <c r="O319">
        <f>-563.98614438367 -347.544881271089 -515.157919665695</f>
        <v>-1426.688945320454</v>
      </c>
      <c r="P319">
        <f>-616.068654337296 -391.687746549306 -228.923761465256</f>
        <v>-1236.6801623518581</v>
      </c>
      <c r="Q319">
        <f>-436.90807723769 -244.388434773861 -294.155899792485</f>
        <v>-975.45241180403605</v>
      </c>
      <c r="R319">
        <f>-564.364699894617 -61.4618336324438 -100.43268066594</f>
        <v>-726.25921419300084</v>
      </c>
      <c r="S319" t="s">
        <v>2425</v>
      </c>
      <c r="T319" t="s">
        <v>2426</v>
      </c>
      <c r="U319" t="s">
        <v>2427</v>
      </c>
      <c r="V319">
        <f>-520.997874133685 -246.23796081738 -92.997962952728</f>
        <v>-860.23379790379295</v>
      </c>
      <c r="W319" t="s">
        <v>2428</v>
      </c>
      <c r="X319" t="s">
        <v>2429</v>
      </c>
      <c r="Y319" t="s">
        <v>2430</v>
      </c>
    </row>
    <row r="320" spans="1:25" x14ac:dyDescent="0.3">
      <c r="A320">
        <v>15950</v>
      </c>
      <c r="B320" t="s">
        <v>2431</v>
      </c>
      <c r="C320">
        <f>-542.528825633061 -154.105625309226 -95.6618461621687</f>
        <v>-792.29629710445568</v>
      </c>
      <c r="D320">
        <f>-567.616133535527 -164.430706558052 -208.268500645507</f>
        <v>-940.31534073908597</v>
      </c>
      <c r="E320">
        <f>-574.468832724096 -171.3678239649 -306.409067907154</f>
        <v>-1052.24572459615</v>
      </c>
      <c r="F320">
        <f>-575.314478747912 -177.250256937895 -395.307446813419</f>
        <v>-1147.8721824992258</v>
      </c>
      <c r="G320">
        <f>-570.450389909681 -182.865314533785 -484.093949860296</f>
        <v>-1237.4096543037622</v>
      </c>
      <c r="H320">
        <f>-557.671957737789 -190.592373831748 -607.778376893422</f>
        <v>-1356.0427084629589</v>
      </c>
      <c r="I320">
        <f>-519.344170080226 -191.114404778772 -681.50579025526</f>
        <v>-1391.964365114258</v>
      </c>
      <c r="J320">
        <f>-564.952983217531 -159.597619740843 -555.24616757484</f>
        <v>-1279.7967705332139</v>
      </c>
      <c r="K320">
        <f>-575.056984929639 -22.788004635888 -546.382949230341</f>
        <v>-1144.2279387958679</v>
      </c>
      <c r="L320" t="s">
        <v>2432</v>
      </c>
      <c r="M320" t="s">
        <v>2433</v>
      </c>
      <c r="N320">
        <f>-561.637213603042 -214.786458442295 -551.455663079391</f>
        <v>-1327.8793351247282</v>
      </c>
      <c r="O320">
        <f>-563.734796896697 -347.427197703591 -515.410149987626</f>
        <v>-1426.572144587914</v>
      </c>
      <c r="P320">
        <f>-615.754927874328 -392.262021523374 -229.272219720713</f>
        <v>-1237.289169118415</v>
      </c>
      <c r="Q320">
        <f>-436.756669472735 -244.638537538613 -294.216786280105</f>
        <v>-975.61199329145302</v>
      </c>
      <c r="R320">
        <f>-564.287338083538 -61.6920642701082 -100.382357151871</f>
        <v>-726.36175950551717</v>
      </c>
      <c r="S320" t="s">
        <v>2434</v>
      </c>
      <c r="T320" t="s">
        <v>2435</v>
      </c>
      <c r="U320" t="s">
        <v>2436</v>
      </c>
      <c r="V320">
        <f>-521.005902331993 -246.642050809712 -92.989283873098</f>
        <v>-860.63723701480296</v>
      </c>
      <c r="W320" t="s">
        <v>2437</v>
      </c>
      <c r="X320" t="s">
        <v>2438</v>
      </c>
      <c r="Y320" t="s">
        <v>2439</v>
      </c>
    </row>
    <row r="321" spans="1:25" x14ac:dyDescent="0.3">
      <c r="A321">
        <v>16000</v>
      </c>
      <c r="B321" t="s">
        <v>2440</v>
      </c>
      <c r="C321">
        <f>-542.435158929442 -154.500812213974 -95.6189395581441</f>
        <v>-792.55491070156006</v>
      </c>
      <c r="D321">
        <f>-567.534263207659 -164.752042022434 -208.229672708983</f>
        <v>-940.51597793907604</v>
      </c>
      <c r="E321">
        <f>-574.31336477892 -171.50228385614 -306.388370003269</f>
        <v>-1052.204018638329</v>
      </c>
      <c r="F321">
        <f>-575.055851602887 -177.167586539122 -395.301763235206</f>
        <v>-1147.5252013772149</v>
      </c>
      <c r="G321">
        <f>-570.050577885169 -182.518220615711 -484.096844626768</f>
        <v>-1236.6656431276481</v>
      </c>
      <c r="H321">
        <f>-557.034520493605 -189.827700806767 -607.781808271326</f>
        <v>-1354.644029571698</v>
      </c>
      <c r="I321">
        <f>-518.942288235615 -189.929659246375 -681.632938074599</f>
        <v>-1390.504885556589</v>
      </c>
      <c r="J321">
        <f>-564.422637105787 -159.011025590645 -555.160014791746</f>
        <v>-1278.5936774881779</v>
      </c>
      <c r="K321">
        <f>-574.571313324831 -22.2354625346832 -545.830970987674</f>
        <v>-1142.6377468471883</v>
      </c>
      <c r="L321" t="s">
        <v>2441</v>
      </c>
      <c r="M321" t="s">
        <v>2442</v>
      </c>
      <c r="N321">
        <f>-561.101687056409 -214.211390467425 -551.548283150857</f>
        <v>-1326.8613606746908</v>
      </c>
      <c r="O321">
        <f>-563.134560455538 -346.964042834476 -515.924190679228</f>
        <v>-1426.022793969242</v>
      </c>
      <c r="P321">
        <f>-615.028928551049 -393.010666042544 -229.95582894956</f>
        <v>-1237.995423543153</v>
      </c>
      <c r="Q321">
        <f>-436.271276543168 -244.868080915976 -294.379159364685</f>
        <v>-975.51851682382903</v>
      </c>
      <c r="R321">
        <f>-564.166801681183 -62.0171175309013 -100.297994160371</f>
        <v>-726.48191337245521</v>
      </c>
      <c r="S321" t="s">
        <v>2443</v>
      </c>
      <c r="T321" t="s">
        <v>2444</v>
      </c>
      <c r="U321" t="s">
        <v>2445</v>
      </c>
      <c r="V321">
        <f>-520.933748193 -247.088786628599 -93.0018533792661</f>
        <v>-861.02438820086513</v>
      </c>
      <c r="W321" t="s">
        <v>2446</v>
      </c>
      <c r="X321" t="s">
        <v>2447</v>
      </c>
      <c r="Y321" t="s">
        <v>2448</v>
      </c>
    </row>
    <row r="322" spans="1:25" x14ac:dyDescent="0.3">
      <c r="A322">
        <v>16050</v>
      </c>
      <c r="B322" t="s">
        <v>2449</v>
      </c>
      <c r="C322">
        <f>-542.381187069049 -154.836727425592 -95.5960694901811</f>
        <v>-792.81398398482213</v>
      </c>
      <c r="D322">
        <f>-567.486633833854 -165.060592225831 -208.207798874262</f>
        <v>-940.75502493394697</v>
      </c>
      <c r="E322">
        <f>-574.222553150611 -171.725947401178 -306.375331124067</f>
        <v>-1052.3238316758561</v>
      </c>
      <c r="F322">
        <f>-574.905238816812 -177.290795523636 -395.295587716239</f>
        <v>-1147.491622056687</v>
      </c>
      <c r="G322">
        <f>-569.818499011214 -182.517506974041 -484.093364249526</f>
        <v>-1236.4293702347811</v>
      </c>
      <c r="H322">
        <f>-556.665905750179 -189.630260924311 -607.775438839325</f>
        <v>-1354.071605513815</v>
      </c>
      <c r="I322">
        <f>-518.678752895161 -189.53196023704 -681.680812297879</f>
        <v>-1389.89152543008</v>
      </c>
      <c r="J322">
        <f>-564.119936048712 -158.897772047538 -555.113610099391</f>
        <v>-1278.1313181956411</v>
      </c>
      <c r="K322">
        <f>-574.307888628766 -22.1405075127298 -545.557078574031</f>
        <v>-1142.0054747155268</v>
      </c>
      <c r="L322" t="s">
        <v>2450</v>
      </c>
      <c r="M322" t="s">
        <v>2451</v>
      </c>
      <c r="N322">
        <f>-560.787426327543 -214.102955783651 -551.584514844234</f>
        <v>-1326.474896955428</v>
      </c>
      <c r="O322">
        <f>-562.75872504507 -346.909526729536 -516.149050114464</f>
        <v>-1425.81730188907</v>
      </c>
      <c r="P322">
        <f>-614.54354631975 -393.538529978349 -230.25521494592</f>
        <v>-1238.3372912440191</v>
      </c>
      <c r="Q322">
        <f>-435.98709007723 -245.048835546397 -294.436848279924</f>
        <v>-975.472773903551</v>
      </c>
      <c r="R322">
        <f>-564.073932910703 -62.3661739920169 -100.24977130966</f>
        <v>-726.68987821237988</v>
      </c>
      <c r="S322" t="s">
        <v>2452</v>
      </c>
      <c r="T322" t="s">
        <v>2453</v>
      </c>
      <c r="U322" t="s">
        <v>2454</v>
      </c>
      <c r="V322">
        <f>-520.933437930347 -247.450583892244 -93.0045169800014</f>
        <v>-861.38853880259251</v>
      </c>
      <c r="W322" t="s">
        <v>2455</v>
      </c>
      <c r="X322" t="s">
        <v>2456</v>
      </c>
      <c r="Y322" t="s">
        <v>2457</v>
      </c>
    </row>
    <row r="323" spans="1:25" x14ac:dyDescent="0.3">
      <c r="A323">
        <v>16100</v>
      </c>
      <c r="B323" t="s">
        <v>2458</v>
      </c>
      <c r="C323">
        <f>-542.272158983231 -155.368877557871 -95.5636127320754</f>
        <v>-793.20464927317732</v>
      </c>
      <c r="D323">
        <f>-567.394734710056 -165.538524275022 -208.176494804855</f>
        <v>-941.10975378993305</v>
      </c>
      <c r="E323">
        <f>-574.066086898041 -172.037872137471 -306.359621563134</f>
        <v>-1052.4635805986461</v>
      </c>
      <c r="F323">
        <f>-574.6555624629 -177.405758682966 -395.29258629811</f>
        <v>-1147.3539074439759</v>
      </c>
      <c r="G323">
        <f>-569.439866301675 -182.390076097458 -484.096754281248</f>
        <v>-1235.9266966803809</v>
      </c>
      <c r="H323">
        <f>-556.068505381278 -189.117040360754 -607.776953053405</f>
        <v>-1352.9624987954371</v>
      </c>
      <c r="I323">
        <f>-518.303141033725 -188.644641897117 -681.794283172644</f>
        <v>-1388.742066103486</v>
      </c>
      <c r="J323">
        <f>-563.636661750595 -158.550282806286 -555.035003714526</f>
        <v>-1277.221948271407</v>
      </c>
      <c r="K323">
        <f>-573.896008459686 -21.8319081643631 -545.022713462766</f>
        <v>-1140.7506300868149</v>
      </c>
      <c r="L323" t="s">
        <v>2459</v>
      </c>
      <c r="M323" t="s">
        <v>2460</v>
      </c>
      <c r="N323">
        <f>-560.268481569137 -213.763450009461 -551.667872565978</f>
        <v>-1325.6998041445759</v>
      </c>
      <c r="O323">
        <f>-562.113516171347 -346.66886612645 -516.606081874235</f>
        <v>-1425.3884641720319</v>
      </c>
      <c r="P323">
        <f>-613.89592751041 -394.218652537484 -230.863471992875</f>
        <v>-1238.9780520407689</v>
      </c>
      <c r="Q323">
        <f>-435.498534697419 -245.323213084951 -294.545210744568</f>
        <v>-975.36695852693811</v>
      </c>
      <c r="R323">
        <f>-563.931595839727 -62.8759913590379 -100.172350439448</f>
        <v>-726.97993763821296</v>
      </c>
      <c r="S323" t="s">
        <v>2461</v>
      </c>
      <c r="T323" t="s">
        <v>2462</v>
      </c>
      <c r="U323" t="s">
        <v>2463</v>
      </c>
      <c r="V323">
        <f>-520.843665448939 -248.000721837444 -93.0174381921065</f>
        <v>-861.86182547848944</v>
      </c>
      <c r="W323" t="s">
        <v>2464</v>
      </c>
      <c r="X323" t="s">
        <v>2465</v>
      </c>
      <c r="Y323" t="s">
        <v>2466</v>
      </c>
    </row>
    <row r="324" spans="1:25" x14ac:dyDescent="0.3">
      <c r="A324">
        <v>16150</v>
      </c>
      <c r="B324" t="s">
        <v>2467</v>
      </c>
      <c r="C324">
        <f>-542.202861996986 -155.702273536306 -95.5492203468008</f>
        <v>-793.45435588009275</v>
      </c>
      <c r="D324">
        <f>-567.334651056262 -165.846456549068 -208.162402108113</f>
        <v>-941.34350971344304</v>
      </c>
      <c r="E324">
        <f>-573.984769014566 -172.267482584045 -306.351970467589</f>
        <v>-1052.6042220662002</v>
      </c>
      <c r="F324">
        <f>-574.542172650074 -177.542406032007 -395.290646751662</f>
        <v>-1147.375225433743</v>
      </c>
      <c r="G324">
        <f>-569.280809360338 -182.411634254709 -484.098731313994</f>
        <v>-1235.7911749290411</v>
      </c>
      <c r="H324">
        <f>-555.831059986029 -188.9546782812 -607.780172195126</f>
        <v>-1352.5659104623551</v>
      </c>
      <c r="I324">
        <f>-518.178170891815 -188.319254586284 -681.853633107717</f>
        <v>-1388.3510585858157</v>
      </c>
      <c r="J324">
        <f>-563.438314590728 -158.466703369763 -554.998279061116</f>
        <v>-1276.9032970216072</v>
      </c>
      <c r="K324">
        <f>-573.672968852246 -21.7658039746977 -544.749393567011</f>
        <v>-1140.1881663939548</v>
      </c>
      <c r="L324" t="s">
        <v>2468</v>
      </c>
      <c r="M324" t="s">
        <v>2469</v>
      </c>
      <c r="N324">
        <f>-560.060950849185 -213.683971513085 -551.709808999973</f>
        <v>-1325.4547313622429</v>
      </c>
      <c r="O324">
        <f>-561.873226103303 -346.643342205649 -516.831728495042</f>
        <v>-1425.3482968039939</v>
      </c>
      <c r="P324">
        <f>-613.61051697595 -394.709864399232 -231.167517182313</f>
        <v>-1239.4878985574951</v>
      </c>
      <c r="Q324">
        <f>-435.351248709279 -245.544872767985 -294.604448304612</f>
        <v>-975.50056978187592</v>
      </c>
      <c r="R324">
        <f>-563.814799148952 -63.2126861115951 -100.140354839314</f>
        <v>-727.16784009986111</v>
      </c>
      <c r="S324" t="s">
        <v>2470</v>
      </c>
      <c r="T324" t="s">
        <v>2471</v>
      </c>
      <c r="U324" t="s">
        <v>2472</v>
      </c>
      <c r="V324">
        <f>-520.838226677864 -248.321120374271 -93.0178705574643</f>
        <v>-862.17721760959932</v>
      </c>
      <c r="W324" t="s">
        <v>2473</v>
      </c>
      <c r="X324" t="s">
        <v>2474</v>
      </c>
      <c r="Y324" t="s">
        <v>2475</v>
      </c>
    </row>
    <row r="325" spans="1:25" x14ac:dyDescent="0.3">
      <c r="A325">
        <v>16200</v>
      </c>
      <c r="B325" t="s">
        <v>2476</v>
      </c>
      <c r="C325">
        <f>-542.157526457099 -156.194965838698 -95.5107972912924</f>
        <v>-793.86328958708941</v>
      </c>
      <c r="D325">
        <f>-567.272598741103 -166.299057921083 -208.131284400728</f>
        <v>-941.70294106291396</v>
      </c>
      <c r="E325">
        <f>-573.836233901757 -172.551889787612 -306.337510804774</f>
        <v>-1052.7256344941432</v>
      </c>
      <c r="F325">
        <f>-574.283375208141 -177.622725745281 -395.288809769927</f>
        <v>-1147.194910723349</v>
      </c>
      <c r="G325">
        <f>-568.878377508524 -182.237246485217 -484.101777826108</f>
        <v>-1235.2174018198489</v>
      </c>
      <c r="H325">
        <f>-555.19170644873 -188.372669906385 -607.778111655451</f>
        <v>-1351.3424880105658</v>
      </c>
      <c r="I325">
        <f>-517.722661471218 -187.422186424564 -681.941421243616</f>
        <v>-1387.0862691393979</v>
      </c>
      <c r="J325">
        <f>-562.903128348999 -158.059142193313 -554.911101524352</f>
        <v>-1275.8733720666639</v>
      </c>
      <c r="K325">
        <f>-573.026007269613 -21.38133887156 -544.194916087435</f>
        <v>-1138.6022622286082</v>
      </c>
      <c r="L325" t="s">
        <v>2477</v>
      </c>
      <c r="M325" t="s">
        <v>2478</v>
      </c>
      <c r="N325">
        <f>-559.525828983524 -213.286440596904 -551.79746995373</f>
        <v>-1324.6097395341581</v>
      </c>
      <c r="O325">
        <f>-561.324918231373 -346.333973256804 -517.277765847799</f>
        <v>-1424.936657335976</v>
      </c>
      <c r="P325">
        <f>-612.982636088474 -395.345269951487 -231.759559540533</f>
        <v>-1240.0874655804939</v>
      </c>
      <c r="Q325">
        <f>-434.903149479559 -245.754229929713 -294.696734327796</f>
        <v>-975.35411373706791</v>
      </c>
      <c r="R325">
        <f>-563.761478092398 -63.5940250817084 -100.067541763476</f>
        <v>-727.4230449375824</v>
      </c>
      <c r="S325" t="s">
        <v>2479</v>
      </c>
      <c r="T325" t="s">
        <v>2480</v>
      </c>
      <c r="U325" t="s">
        <v>2481</v>
      </c>
      <c r="V325">
        <f>-520.824926138979 -248.893767617224 -93.0132138624838</f>
        <v>-862.73190761868682</v>
      </c>
      <c r="W325" t="s">
        <v>2482</v>
      </c>
      <c r="X325" t="s">
        <v>2483</v>
      </c>
      <c r="Y325" t="s">
        <v>2484</v>
      </c>
    </row>
    <row r="326" spans="1:25" x14ac:dyDescent="0.3">
      <c r="A326">
        <v>16250</v>
      </c>
      <c r="B326" t="s">
        <v>2485</v>
      </c>
      <c r="C326">
        <f>-542.081784468462 -156.368543024816 -95.4944225818131</f>
        <v>-793.94475007509118</v>
      </c>
      <c r="D326">
        <f>-567.180989586231 -166.443717851981 -208.121057309746</f>
        <v>-941.74576474795799</v>
      </c>
      <c r="E326">
        <f>-573.697556914274 -172.62086378776 -306.335174562868</f>
        <v>-1052.6535952649019</v>
      </c>
      <c r="F326">
        <f>-574.087676634837 -177.603439470171 -395.291720262119</f>
        <v>-1146.982836367127</v>
      </c>
      <c r="G326">
        <f>-568.610489756037 -182.110979974579 -484.10579043258</f>
        <v>-1234.8272601631961</v>
      </c>
      <c r="H326">
        <f>-554.807507338901 -188.07778823985 -607.777475715475</f>
        <v>-1350.6627712942261</v>
      </c>
      <c r="I326">
        <f>-517.422387409299 -186.990398323106 -681.981270362685</f>
        <v>-1386.39405609509</v>
      </c>
      <c r="J326">
        <f>-562.567834895961 -157.8362062308 -554.87633287518</f>
        <v>-1275.280374001941</v>
      </c>
      <c r="K326">
        <f>-572.650587853833 -21.1736716348109 -543.942839064572</f>
        <v>-1137.7670985532159</v>
      </c>
      <c r="L326" t="s">
        <v>2486</v>
      </c>
      <c r="M326" t="s">
        <v>2487</v>
      </c>
      <c r="N326">
        <f>-559.195301805993 -213.067990156947 -551.835000865984</f>
        <v>-1324.0982928289241</v>
      </c>
      <c r="O326">
        <f>-560.992426649259 -346.165793315803 -517.491056505564</f>
        <v>-1424.6492764706259</v>
      </c>
      <c r="P326">
        <f>-612.642383642769 -395.592645142702 -232.043249785795</f>
        <v>-1240.2782785712661</v>
      </c>
      <c r="Q326">
        <f>-434.609954576973 -245.823093800734 -294.688314984522</f>
        <v>-975.12136336222898</v>
      </c>
      <c r="R326">
        <f>-563.663097379453 -63.8336639225961 -100.032384766026</f>
        <v>-727.52914606807508</v>
      </c>
      <c r="S326" t="s">
        <v>2488</v>
      </c>
      <c r="T326" t="s">
        <v>2489</v>
      </c>
      <c r="U326" t="s">
        <v>2490</v>
      </c>
      <c r="V326">
        <f>-520.744081767526 -249.010624636303 -93.0130027558419</f>
        <v>-862.76770915967086</v>
      </c>
      <c r="W326" t="s">
        <v>2491</v>
      </c>
      <c r="X326" t="s">
        <v>2492</v>
      </c>
      <c r="Y326" t="s">
        <v>2493</v>
      </c>
    </row>
    <row r="327" spans="1:25" x14ac:dyDescent="0.3">
      <c r="A327">
        <v>16300</v>
      </c>
      <c r="B327" t="s">
        <v>2494</v>
      </c>
      <c r="C327">
        <f>-541.945033440561 -156.883589800424 -95.4441696207647</f>
        <v>-794.27279286174974</v>
      </c>
      <c r="D327">
        <f>-567.021529724645 -166.909760572141 -208.080186108895</f>
        <v>-942.01147640568104</v>
      </c>
      <c r="E327">
        <f>-573.456896489778 -172.935068268852 -306.309155736292</f>
        <v>-1052.701120494922</v>
      </c>
      <c r="F327">
        <f>-573.746353402763 -177.738789203328 -395.275906524712</f>
        <v>-1146.761049130803</v>
      </c>
      <c r="G327">
        <f>-568.140304644172 -182.026650086308 -484.092633624691</f>
        <v>-1234.259588355171</v>
      </c>
      <c r="H327">
        <f>-554.12646021968 -187.646240752277 -607.756948876525</f>
        <v>-1349.529649848482</v>
      </c>
      <c r="I327">
        <f>-516.915421898254 -186.293182488422 -682.04374069474</f>
        <v>-1385.252345081416</v>
      </c>
      <c r="J327">
        <f>-561.974774460636 -157.553245937448 -554.78410384549</f>
        <v>-1274.3121242435741</v>
      </c>
      <c r="K327">
        <f>-571.930462624156 -20.9209451700804 -543.408106326916</f>
        <v>-1136.2595141211523</v>
      </c>
      <c r="L327" t="s">
        <v>2495</v>
      </c>
      <c r="M327" t="s">
        <v>2496</v>
      </c>
      <c r="N327">
        <f>-558.611779056561 -212.793537155113 -551.892758071961</f>
        <v>-1323.2980742836348</v>
      </c>
      <c r="O327">
        <f>-560.421376060817 -345.979340289716 -517.892613215329</f>
        <v>-1424.293329565862</v>
      </c>
      <c r="P327">
        <f>-612.078929703175 -396.27373644787 -232.597837073326</f>
        <v>-1240.950503224371</v>
      </c>
      <c r="Q327">
        <f>-434.056688733489 -246.270041251068 -294.709198969612</f>
        <v>-975.03592895416898</v>
      </c>
      <c r="R327">
        <f>-563.497441840691 -64.3445435069589 -99.9442677408855</f>
        <v>-727.78625308853532</v>
      </c>
      <c r="S327" t="s">
        <v>2497</v>
      </c>
      <c r="T327" t="s">
        <v>2498</v>
      </c>
      <c r="U327" t="s">
        <v>2499</v>
      </c>
      <c r="V327">
        <f>-520.624669436535 -249.539615484793 -93.0146468833879</f>
        <v>-863.17893180471583</v>
      </c>
      <c r="W327" t="s">
        <v>2500</v>
      </c>
      <c r="X327" t="s">
        <v>2501</v>
      </c>
      <c r="Y327" t="s">
        <v>2502</v>
      </c>
    </row>
    <row r="328" spans="1:25" x14ac:dyDescent="0.3">
      <c r="A328">
        <v>16350</v>
      </c>
      <c r="B328" t="s">
        <v>2503</v>
      </c>
      <c r="C328">
        <f>-541.893839235145 -157.178527970609 -95.423058102764</f>
        <v>-794.49542530851807</v>
      </c>
      <c r="D328">
        <f>-566.971708375312 -167.192555352761 -208.059872882049</f>
        <v>-942.22413661012206</v>
      </c>
      <c r="E328">
        <f>-573.374016528885 -173.146378329272 -306.29540819383</f>
        <v>-1052.8158030519871</v>
      </c>
      <c r="F328">
        <f>-573.61792358879 -177.862515784052 -395.266988343488</f>
        <v>-1146.7474277163299</v>
      </c>
      <c r="G328">
        <f>-567.950606578505 -182.040834599459 -484.085109399232</f>
        <v>-1234.076550577196</v>
      </c>
      <c r="H328">
        <f>-553.834162371679 -187.485173501251 -607.745436451712</f>
        <v>-1349.064772324642</v>
      </c>
      <c r="I328">
        <f>-516.702544545515 -186.003801076694 -682.069728625023</f>
        <v>-1384.7760742472319</v>
      </c>
      <c r="J328">
        <f>-561.724249986726 -157.46711296282 -554.736313531458</f>
        <v>-1273.927676481004</v>
      </c>
      <c r="K328">
        <f>-571.638443429954 -20.8481450530423 -543.152266312709</f>
        <v>-1135.6388547957054</v>
      </c>
      <c r="L328" t="s">
        <v>2504</v>
      </c>
      <c r="M328" t="s">
        <v>2505</v>
      </c>
      <c r="N328">
        <f>-558.367973735182 -212.711797421223 -551.920988949719</f>
        <v>-1323.0007601061238</v>
      </c>
      <c r="O328">
        <f>-560.193311694684 -345.939609827622 -518.093010134077</f>
        <v>-1424.225931656383</v>
      </c>
      <c r="P328">
        <f>-611.827135498069 -396.651012983848 -232.867567776849</f>
        <v>-1241.3457162587661</v>
      </c>
      <c r="Q328">
        <f>-433.843009466512 -246.519019558812 -294.778275705178</f>
        <v>-975.14030473050195</v>
      </c>
      <c r="R328">
        <f>-563.43514463654 -64.626912859876 -99.907784199353</f>
        <v>-727.96984169576911</v>
      </c>
      <c r="S328" t="s">
        <v>2506</v>
      </c>
      <c r="T328" t="s">
        <v>2507</v>
      </c>
      <c r="U328" t="s">
        <v>2508</v>
      </c>
      <c r="V328">
        <f>-520.592595546576 -249.843200895821 -93.007195713841</f>
        <v>-863.44299215623812</v>
      </c>
      <c r="W328" t="s">
        <v>2509</v>
      </c>
      <c r="X328" t="s">
        <v>2510</v>
      </c>
      <c r="Y328" t="s">
        <v>2511</v>
      </c>
    </row>
    <row r="329" spans="1:25" x14ac:dyDescent="0.3">
      <c r="A329">
        <v>16400</v>
      </c>
      <c r="B329" t="s">
        <v>2512</v>
      </c>
      <c r="C329">
        <f>-541.762335432996 -157.617183446853 -95.3986174497126</f>
        <v>-794.77813632956156</v>
      </c>
      <c r="D329">
        <f>-566.86051361449 -167.585949044134 -208.034727890351</f>
        <v>-942.48119054897484</v>
      </c>
      <c r="E329">
        <f>-573.222863832897 -173.400007161704 -306.281302639181</f>
        <v>-1052.904173633782</v>
      </c>
      <c r="F329">
        <f>-573.405199158446 -177.951608513982 -395.261616751571</f>
        <v>-1146.6184244239989</v>
      </c>
      <c r="G329">
        <f>-567.649343871366 -181.928683054147 -484.083345849339</f>
        <v>-1233.661372774852</v>
      </c>
      <c r="H329">
        <f>-553.380564893826 -187.054635410068 -607.739907374624</f>
        <v>-1348.1751076785179</v>
      </c>
      <c r="I329">
        <f>-516.365366869709 -185.328613756539 -682.116686978719</f>
        <v>-1383.810667604967</v>
      </c>
      <c r="J329">
        <f>-561.329001285553 -157.172648162688 -554.662500457287</f>
        <v>-1273.1641499055281</v>
      </c>
      <c r="K329">
        <f>-571.106575682728 -20.571736584096 -542.697304695395</f>
        <v>-1134.3756169622191</v>
      </c>
      <c r="L329" t="s">
        <v>2513</v>
      </c>
      <c r="M329" t="s">
        <v>2514</v>
      </c>
      <c r="N329">
        <f>-557.989973443696 -212.425269277906 -551.986887754826</f>
        <v>-1322.4021304764278</v>
      </c>
      <c r="O329">
        <f>-559.818561538234 -345.734258814575 -518.493300570263</f>
        <v>-1424.0461209230721</v>
      </c>
      <c r="P329">
        <f>-611.260222487882 -397.289428384766 -233.38458631849</f>
        <v>-1241.934237191138</v>
      </c>
      <c r="Q329">
        <f>-433.451279799695 -246.811158454779 -294.956863027727</f>
        <v>-975.21930128220106</v>
      </c>
      <c r="R329">
        <f>-563.260676224336 -65.0507114497354 -99.8428106635331</f>
        <v>-728.1541983376045</v>
      </c>
      <c r="S329" t="s">
        <v>2515</v>
      </c>
      <c r="T329" t="s">
        <v>2516</v>
      </c>
      <c r="U329" t="s">
        <v>2517</v>
      </c>
      <c r="V329">
        <f>-520.503462862751 -250.332031347425 -93.0157265254035</f>
        <v>-863.85122073557943</v>
      </c>
      <c r="W329" t="s">
        <v>2518</v>
      </c>
      <c r="X329" t="s">
        <v>2519</v>
      </c>
      <c r="Y329" t="s">
        <v>2520</v>
      </c>
    </row>
    <row r="330" spans="1:25" x14ac:dyDescent="0.3">
      <c r="A330">
        <v>16450</v>
      </c>
      <c r="B330" t="s">
        <v>2521</v>
      </c>
      <c r="C330">
        <f>-541.731723936721 -157.767694455729 -95.3734703616216</f>
        <v>-794.8728887540716</v>
      </c>
      <c r="D330">
        <f>-566.855786507013 -167.709468109466 -208.006341832045</f>
        <v>-942.57159644852402</v>
      </c>
      <c r="E330">
        <f>-573.21343879126 -173.456487889323 -306.257038734113</f>
        <v>-1052.926965414696</v>
      </c>
      <c r="F330">
        <f>-573.379521069647 -177.930056215827 -395.241291900525</f>
        <v>-1146.5508691859991</v>
      </c>
      <c r="G330">
        <f>-567.595366763552 -181.812470056397 -484.065465444628</f>
        <v>-1233.4733022645769</v>
      </c>
      <c r="H330">
        <f>-553.273344363213 -186.788635278852 -607.721923728261</f>
        <v>-1347.783903370326</v>
      </c>
      <c r="I330">
        <f>-516.308068156316 -184.955741344949 -682.121071812446</f>
        <v>-1383.384881313711</v>
      </c>
      <c r="J330">
        <f>-561.24119254831 -156.970664508073 -554.611486079225</f>
        <v>-1272.823343135608</v>
      </c>
      <c r="K330">
        <f>-570.965368576825 -20.3850630098532 -542.466221233697</f>
        <v>-1133.8166528203751</v>
      </c>
      <c r="L330" t="s">
        <v>2522</v>
      </c>
      <c r="M330" t="s">
        <v>2523</v>
      </c>
      <c r="N330">
        <f>-557.910201461872 -212.226901193524 -552.001970839021</f>
        <v>-1322.1390734944171</v>
      </c>
      <c r="O330">
        <f>-559.741361164996 -345.573490481305 -518.655459467825</f>
        <v>-1423.9703111141259</v>
      </c>
      <c r="P330">
        <f>-611.004108347199 -397.593423112448 -233.598831797215</f>
        <v>-1242.196363256862</v>
      </c>
      <c r="Q330">
        <f>-433.357524379333 -246.871093462566 -295.042980928457</f>
        <v>-975.27159877035592</v>
      </c>
      <c r="R330">
        <f>-563.223940621305 -65.1213974063307 -99.8026598197541</f>
        <v>-728.14799784738989</v>
      </c>
      <c r="S330" t="s">
        <v>2524</v>
      </c>
      <c r="T330" t="s">
        <v>2525</v>
      </c>
      <c r="U330" t="s">
        <v>2526</v>
      </c>
      <c r="V330">
        <f>-520.505574313986 -250.531099240701 -93.0187959254323</f>
        <v>-864.05546948011931</v>
      </c>
      <c r="W330" t="s">
        <v>2527</v>
      </c>
      <c r="X330" t="s">
        <v>2528</v>
      </c>
      <c r="Y330" t="s">
        <v>2529</v>
      </c>
    </row>
    <row r="331" spans="1:25" x14ac:dyDescent="0.3">
      <c r="A331">
        <v>16500</v>
      </c>
      <c r="B331" t="s">
        <v>2530</v>
      </c>
      <c r="C331">
        <f>-541.598124798653 -158.085626837782 -95.3211382087078</f>
        <v>-795.00488984514277</v>
      </c>
      <c r="D331">
        <f>-566.767916840428 -167.964131800045 -207.94931342234</f>
        <v>-942.68136206281304</v>
      </c>
      <c r="E331">
        <f>-573.111555176377 -173.572408863359 -306.209140812207</f>
        <v>-1052.893104851943</v>
      </c>
      <c r="F331">
        <f>-573.241625296888 -177.886825582669 -395.20122556012</f>
        <v>-1146.3296764396769</v>
      </c>
      <c r="G331">
        <f>-567.397038155753 -181.577458580326 -484.029504585386</f>
        <v>-1233.004001321465</v>
      </c>
      <c r="H331">
        <f>-552.96470690542 -186.252937929556 -607.684939623514</f>
        <v>-1346.9025844584899</v>
      </c>
      <c r="I331">
        <f>-516.074074017673 -184.24321929092 -682.116463637173</f>
        <v>-1382.4337569457659</v>
      </c>
      <c r="J331">
        <f>-560.9594142108 -156.562931960535 -554.506905344388</f>
        <v>-1272.029251515723</v>
      </c>
      <c r="K331">
        <f>-570.54410617299 -20.0004438259923 -541.9974517944</f>
        <v>-1132.5420017933825</v>
      </c>
      <c r="L331" t="s">
        <v>2531</v>
      </c>
      <c r="M331" t="s">
        <v>2532</v>
      </c>
      <c r="N331">
        <f>-557.671807151196 -211.828067107149 -552.033721637251</f>
        <v>-1321.5335958955961</v>
      </c>
      <c r="O331">
        <f>-559.604385870806 -345.259230012198 -519.017355630314</f>
        <v>-1423.8809715133179</v>
      </c>
      <c r="P331">
        <f>-610.415884137434 -398.156851442274 -234.041451474748</f>
        <v>-1242.6141870544561</v>
      </c>
      <c r="Q331">
        <f>-433.214466202563 -246.82101872684 -295.262286111856</f>
        <v>-975.29777104125901</v>
      </c>
      <c r="R331">
        <f>-562.966546524662 -65.4069617470814 -99.7060823567382</f>
        <v>-728.07959062848158</v>
      </c>
      <c r="S331" t="s">
        <v>2533</v>
      </c>
      <c r="T331" t="s">
        <v>2534</v>
      </c>
      <c r="U331" t="s">
        <v>2535</v>
      </c>
      <c r="V331">
        <f>-520.446666316775 -250.855045691547 -93.0022552178189</f>
        <v>-864.30396722614091</v>
      </c>
      <c r="W331" t="s">
        <v>2536</v>
      </c>
      <c r="X331" t="s">
        <v>2537</v>
      </c>
      <c r="Y331" t="s">
        <v>2538</v>
      </c>
    </row>
    <row r="332" spans="1:25" x14ac:dyDescent="0.3">
      <c r="A332">
        <v>16550</v>
      </c>
      <c r="B332" t="s">
        <v>2539</v>
      </c>
      <c r="C332">
        <f>-541.543427507369 -158.134650237135 -95.302059350583</f>
        <v>-794.980137095087</v>
      </c>
      <c r="D332">
        <f>-566.736447798472 -167.985217965668 -207.927539116774</f>
        <v>-942.649204880914</v>
      </c>
      <c r="E332">
        <f>-573.073173431411 -173.523979532921 -306.191504341137</f>
        <v>-1052.7886573054689</v>
      </c>
      <c r="F332">
        <f>-573.185265535708 -177.757839824563 -395.187650019577</f>
        <v>-1146.1307553798481</v>
      </c>
      <c r="G332">
        <f>-567.310268944987 -181.351310749856 -484.017897393089</f>
        <v>-1232.6794770879319</v>
      </c>
      <c r="H332">
        <f>-552.8222715594 -185.873913188572 -607.672534005307</f>
        <v>-1346.3687187532792</v>
      </c>
      <c r="I332">
        <f>-515.951870791074 -183.782728724407 -682.111937601696</f>
        <v>-1381.8465371171769</v>
      </c>
      <c r="J332">
        <f>-560.831675034333 -156.248980886509 -554.460386150132</f>
        <v>-1271.5410420709741</v>
      </c>
      <c r="K332">
        <f>-570.338334866852 -19.6985800616992 -541.78218835465</f>
        <v>-1131.8191032832012</v>
      </c>
      <c r="L332" t="s">
        <v>2540</v>
      </c>
      <c r="M332" t="s">
        <v>2541</v>
      </c>
      <c r="N332">
        <f>-557.563800711902 -211.518355068843 -552.056174889773</f>
        <v>-1321.1383306705179</v>
      </c>
      <c r="O332">
        <f>-559.529946866261 -344.985542891073 -519.193659664527</f>
        <v>-1423.709149421861</v>
      </c>
      <c r="P332">
        <f>-610.235443586614 -398.2619829944 -234.269514629641</f>
        <v>-1242.766941210655</v>
      </c>
      <c r="Q332">
        <f>-433.210303251287 -246.639093434866 -295.289965012552</f>
        <v>-975.13936169870499</v>
      </c>
      <c r="R332">
        <f>-562.905832084214 -65.4352435282001 -99.6609624275858</f>
        <v>-728.00203803999989</v>
      </c>
      <c r="S332" t="s">
        <v>2542</v>
      </c>
      <c r="T332" t="s">
        <v>2543</v>
      </c>
      <c r="U332" t="s">
        <v>2544</v>
      </c>
      <c r="V332">
        <f>-520.406028155379 -250.8872056592 -92.9924436310748</f>
        <v>-864.28567744565385</v>
      </c>
      <c r="W332" t="s">
        <v>2545</v>
      </c>
      <c r="X332" t="s">
        <v>2546</v>
      </c>
      <c r="Y332" t="s">
        <v>2547</v>
      </c>
    </row>
    <row r="333" spans="1:25" x14ac:dyDescent="0.3">
      <c r="A333">
        <v>16600</v>
      </c>
      <c r="B333" t="s">
        <v>2548</v>
      </c>
      <c r="C333">
        <f>-541.512774972675 -158.285694600581 -95.2475161073882</f>
        <v>-795.04598568064409</v>
      </c>
      <c r="D333">
        <f>-566.742236596905 -168.071529970388 -207.870370434946</f>
        <v>-942.68413700223903</v>
      </c>
      <c r="E333">
        <f>-573.057473617373 -173.479041999517 -306.143177861909</f>
        <v>-1052.679693478799</v>
      </c>
      <c r="F333">
        <f>-573.127030452324 -177.564809810412 -395.146135628588</f>
        <v>-1145.8379758913238</v>
      </c>
      <c r="G333">
        <f>-567.185346277363 -180.981568989209 -483.978995177065</f>
        <v>-1232.1459104436369</v>
      </c>
      <c r="H333">
        <f>-552.578735768773 -185.227920150091 -607.62949204662</f>
        <v>-1345.436147965484</v>
      </c>
      <c r="I333">
        <f>-515.722951656427 -182.996545226165 -682.072051621594</f>
        <v>-1380.791548504186</v>
      </c>
      <c r="J333">
        <f>-560.632246675192 -155.721600085265 -554.358170222777</f>
        <v>-1270.712016983234</v>
      </c>
      <c r="K333">
        <f>-570.020082591911 -19.1912584476759 -541.364253191031</f>
        <v>-1130.5755942306178</v>
      </c>
      <c r="L333" t="s">
        <v>2549</v>
      </c>
      <c r="M333" t="s">
        <v>2550</v>
      </c>
      <c r="N333">
        <f>-557.380495980857 -210.997174644416 -552.075791900415</f>
        <v>-1320.4534625256879</v>
      </c>
      <c r="O333">
        <f>-559.410104460861 -344.527915534004 -519.475984781203</f>
        <v>-1423.4140047760679</v>
      </c>
      <c r="P333">
        <f>-609.913225980955 -398.413109047516 -234.630310121789</f>
        <v>-1242.9566451502601</v>
      </c>
      <c r="Q333">
        <f>-433.296042284097 -246.176649852707 -295.304367404379</f>
        <v>-974.77705954118301</v>
      </c>
      <c r="R333">
        <f>-562.853712167663 -65.5767146480973 -99.5687326751345</f>
        <v>-727.99915949089484</v>
      </c>
      <c r="S333" t="s">
        <v>2551</v>
      </c>
      <c r="T333" t="s">
        <v>2552</v>
      </c>
      <c r="U333" t="s">
        <v>2553</v>
      </c>
      <c r="V333">
        <f>-520.40938889882 -251.075978748127 -92.9829527655176</f>
        <v>-864.46832041246455</v>
      </c>
      <c r="W333" t="s">
        <v>2554</v>
      </c>
      <c r="X333" t="s">
        <v>2555</v>
      </c>
      <c r="Y333" t="s">
        <v>2556</v>
      </c>
    </row>
    <row r="334" spans="1:25" x14ac:dyDescent="0.3">
      <c r="A334">
        <v>16650</v>
      </c>
      <c r="B334" t="s">
        <v>2557</v>
      </c>
      <c r="C334">
        <f>-541.554530161271 -158.329595691781 -95.2206102138495</f>
        <v>-795.10473606690152</v>
      </c>
      <c r="D334">
        <f>-566.784335127931 -168.086504037516 -207.846052524623</f>
        <v>-942.71689169006993</v>
      </c>
      <c r="E334">
        <f>-573.080223177847 -173.437412896263 -306.123117121744</f>
        <v>-1052.6407531958539</v>
      </c>
      <c r="F334">
        <f>-573.123521485163 -177.459380745875 -395.129038648959</f>
        <v>-1145.711940879997</v>
      </c>
      <c r="G334">
        <f>-567.147106626681 -180.79974830026 -483.962533038571</f>
        <v>-1231.909387965512</v>
      </c>
      <c r="H334">
        <f>-552.482262284592 -184.926683107929 -607.610160365174</f>
        <v>-1345.0191057576949</v>
      </c>
      <c r="I334">
        <f>-515.633214829833 -182.635389413538 -682.054069475192</f>
        <v>-1380.3226737185632</v>
      </c>
      <c r="J334">
        <f>-560.561671634518 -155.471811568317 -554.314196280226</f>
        <v>-1270.347679483061</v>
      </c>
      <c r="K334">
        <f>-569.915278031156 -18.9526232533583 -541.18778121</f>
        <v>-1130.0556824945143</v>
      </c>
      <c r="L334" t="s">
        <v>2558</v>
      </c>
      <c r="M334" t="s">
        <v>2559</v>
      </c>
      <c r="N334">
        <f>-557.309482528748 -210.749489362707 -552.083586743826</f>
        <v>-1320.1425586352811</v>
      </c>
      <c r="O334">
        <f>-559.364339326344 -344.307057593242 -519.599169840314</f>
        <v>-1423.2705667598998</v>
      </c>
      <c r="P334">
        <f>-609.830880504216 -398.451052327421 -234.796228313034</f>
        <v>-1243.078161144671</v>
      </c>
      <c r="Q334">
        <f>-433.250604656289 -246.053174148624 -295.171393437184</f>
        <v>-974.47517224209696</v>
      </c>
      <c r="R334">
        <f>-562.858186225619 -65.5330590396356 -99.5290168348407</f>
        <v>-727.92026210009533</v>
      </c>
      <c r="S334" t="s">
        <v>2560</v>
      </c>
      <c r="T334" t="s">
        <v>2561</v>
      </c>
      <c r="U334" t="s">
        <v>2562</v>
      </c>
      <c r="V334">
        <f>-520.481647707822 -251.230386237768 -92.979590783842</f>
        <v>-864.69162472943208</v>
      </c>
      <c r="W334" t="s">
        <v>2563</v>
      </c>
      <c r="X334" t="s">
        <v>2564</v>
      </c>
      <c r="Y334" t="s">
        <v>2565</v>
      </c>
    </row>
    <row r="335" spans="1:25" x14ac:dyDescent="0.3">
      <c r="A335">
        <v>16700</v>
      </c>
      <c r="B335" t="s">
        <v>2566</v>
      </c>
      <c r="C335">
        <f>-541.587730432157 -158.355830369346 -95.1895472801291</f>
        <v>-795.13310808163203</v>
      </c>
      <c r="D335">
        <f>-566.808897615371 -168.06063878768 -207.821267265285</f>
        <v>-942.690803668336</v>
      </c>
      <c r="E335">
        <f>-573.052332686003 -173.311513377998 -306.107127459669</f>
        <v>-1052.47097352367</v>
      </c>
      <c r="F335">
        <f>-573.028533032857 -177.222172629071 -395.118110844494</f>
        <v>-1145.368816506422</v>
      </c>
      <c r="G335">
        <f>-566.965037058285 -180.431708533772 -483.950388902787</f>
        <v>-1231.3471344948439</v>
      </c>
      <c r="H335">
        <f>-552.157502215442 -184.356922876472 -607.587522377408</f>
        <v>-1344.1019474693221</v>
      </c>
      <c r="I335">
        <f>-515.306865920655 -181.965780437872 -682.027693294504</f>
        <v>-1379.3003396530312</v>
      </c>
      <c r="J335">
        <f>-560.289194182184 -154.988478049334 -554.251944643023</f>
        <v>-1269.5296168745408</v>
      </c>
      <c r="K335">
        <f>-569.543032646462 -18.4880350973481 -540.87527655356</f>
        <v>-1128.9063442973702</v>
      </c>
      <c r="L335" t="s">
        <v>2567</v>
      </c>
      <c r="M335" t="s">
        <v>2568</v>
      </c>
      <c r="N335">
        <f>-557.058035110661 -210.27081567633 -552.110045297792</f>
        <v>-1319.438896084783</v>
      </c>
      <c r="O335">
        <f>-559.228384865822 -343.879558175732 -519.843201941071</f>
        <v>-1422.951144982625</v>
      </c>
      <c r="P335">
        <f>-609.498802816084 -398.565128649326 -235.10891161839</f>
        <v>-1243.1728430838</v>
      </c>
      <c r="Q335">
        <f>-433.232415992788 -245.714192737887 -295.255567872331</f>
        <v>-974.20217660300614</v>
      </c>
      <c r="R335">
        <f>-562.809175424213 -65.5349634311567 -99.4692257804148</f>
        <v>-727.81336463578452</v>
      </c>
      <c r="S335" t="s">
        <v>2569</v>
      </c>
      <c r="T335" t="s">
        <v>2570</v>
      </c>
      <c r="U335" t="s">
        <v>2571</v>
      </c>
      <c r="V335">
        <f>-520.594457265576 -251.263008416847 -92.9758300080811</f>
        <v>-864.83329569050409</v>
      </c>
      <c r="W335" t="s">
        <v>2572</v>
      </c>
      <c r="X335" t="s">
        <v>2573</v>
      </c>
      <c r="Y335" t="s">
        <v>2574</v>
      </c>
    </row>
    <row r="336" spans="1:25" x14ac:dyDescent="0.3">
      <c r="A336">
        <v>16750</v>
      </c>
      <c r="B336" t="s">
        <v>2575</v>
      </c>
      <c r="C336">
        <f>-541.626118790446 -158.227312246955 -95.1775979262835</f>
        <v>-795.03102896368443</v>
      </c>
      <c r="D336">
        <f>-566.842571913408 -167.911320768555 -207.81225075521</f>
        <v>-942.56614343717308</v>
      </c>
      <c r="E336">
        <f>-573.060207975051 -173.123283976596 -306.101795061024</f>
        <v>-1052.285287012671</v>
      </c>
      <c r="F336">
        <f>-573.004133438097 -176.991088964611 -395.114585833962</f>
        <v>-1145.10980823667</v>
      </c>
      <c r="G336">
        <f>-566.899030920702 -180.151388274769 -483.945854267173</f>
        <v>-1230.996273462644</v>
      </c>
      <c r="H336">
        <f>-552.023471190023 -184.000799155211 -607.577196374791</f>
        <v>-1343.601466720025</v>
      </c>
      <c r="I336">
        <f>-515.166105037844 -181.57080510973 -682.012686207616</f>
        <v>-1378.7495963551901</v>
      </c>
      <c r="J336">
        <f>-560.17537139304 -154.664405194244 -554.22705669815</f>
        <v>-1269.0668332854339</v>
      </c>
      <c r="K336">
        <f>-569.345630622722 -18.1657114452184 -540.766151206146</f>
        <v>-1128.2774932740863</v>
      </c>
      <c r="L336" t="s">
        <v>2576</v>
      </c>
      <c r="M336" t="s">
        <v>2577</v>
      </c>
      <c r="N336">
        <f>-556.963733325309 -209.949169717498 -552.119237625051</f>
        <v>-1319.0321406678581</v>
      </c>
      <c r="O336">
        <f>-559.220177697624 -343.576353002257 -519.943503945697</f>
        <v>-1422.7400346455779</v>
      </c>
      <c r="P336">
        <f>-609.272400903671 -398.416768651726 -235.20059529775</f>
        <v>-1242.889764853147</v>
      </c>
      <c r="Q336">
        <f>-433.320454345438 -245.301597191879 -295.595385438681</f>
        <v>-974.217436975998</v>
      </c>
      <c r="R336">
        <f>-562.840577236454 -65.3988062931323 -99.4398685898332</f>
        <v>-727.67925211941952</v>
      </c>
      <c r="S336" t="s">
        <v>2578</v>
      </c>
      <c r="T336" t="s">
        <v>2579</v>
      </c>
      <c r="U336" t="s">
        <v>2580</v>
      </c>
      <c r="V336">
        <f>-520.640776603123 -251.145608955633 -92.9730454972376</f>
        <v>-864.75943105599356</v>
      </c>
      <c r="W336" t="s">
        <v>2581</v>
      </c>
      <c r="X336" t="s">
        <v>2582</v>
      </c>
      <c r="Y336" t="s">
        <v>2583</v>
      </c>
    </row>
    <row r="337" spans="1:25" x14ac:dyDescent="0.3">
      <c r="A337">
        <v>16800</v>
      </c>
      <c r="B337" t="s">
        <v>2584</v>
      </c>
      <c r="C337">
        <f>-541.741409416899 -158.151267439577 -95.1282638801317</f>
        <v>-795.02094073660783</v>
      </c>
      <c r="D337">
        <f>-566.976549217543 -167.767171850004 -207.764659408794</f>
        <v>-942.50838047634102</v>
      </c>
      <c r="E337">
        <f>-573.170739872572 -172.909711341284 -306.059283545702</f>
        <v>-1052.139734759558</v>
      </c>
      <c r="F337">
        <f>-573.077507897559 -176.711615322448 -395.074859299493</f>
        <v>-1144.8639825195</v>
      </c>
      <c r="G337">
        <f>-566.918851019851 -179.804231369236 -483.904764106292</f>
        <v>-1230.6278464953791</v>
      </c>
      <c r="H337">
        <f>-551.95197205662 -183.558269907806 -607.528063274992</f>
        <v>-1343.0383052394179</v>
      </c>
      <c r="I337">
        <f>-515.07197214421 -181.110956528896 -681.951937768975</f>
        <v>-1378.1348664420811</v>
      </c>
      <c r="J337">
        <f>-560.115945569152 -154.261347142889 -554.158088792987</f>
        <v>-1268.535381505028</v>
      </c>
      <c r="K337">
        <f>-569.077683764178 -17.7599037452906 -540.58247769016</f>
        <v>-1127.4200651996284</v>
      </c>
      <c r="L337" t="s">
        <v>2585</v>
      </c>
      <c r="M337" t="s">
        <v>2586</v>
      </c>
      <c r="N337">
        <f>-556.960348376976 -209.551115607132 -552.097061819081</f>
        <v>-1318.608525803189</v>
      </c>
      <c r="O337">
        <f>-559.330693291008 -343.198782246947 -519.99663242528</f>
        <v>-1422.5261079632351</v>
      </c>
      <c r="P337">
        <f>-608.607088314813 -398.533944363918 -235.214262487794</f>
        <v>-1242.3552951665251</v>
      </c>
      <c r="Q337">
        <f>-433.487893698648 -244.613262557736 -295.980579349671</f>
        <v>-974.08173560605496</v>
      </c>
      <c r="R337">
        <f>-562.877976518621 -65.2434758730985 -99.3563992791734</f>
        <v>-727.47785167089296</v>
      </c>
      <c r="S337" t="s">
        <v>2587</v>
      </c>
      <c r="T337" t="s">
        <v>2588</v>
      </c>
      <c r="U337" t="s">
        <v>2589</v>
      </c>
      <c r="V337">
        <f>-520.862303695692 -251.146107653868 -92.9660257039812</f>
        <v>-864.97443705354124</v>
      </c>
      <c r="W337" t="s">
        <v>2590</v>
      </c>
      <c r="X337" t="s">
        <v>2591</v>
      </c>
      <c r="Y337" t="s">
        <v>2592</v>
      </c>
    </row>
    <row r="338" spans="1:25" x14ac:dyDescent="0.3">
      <c r="A338">
        <v>16850</v>
      </c>
      <c r="B338" t="s">
        <v>2593</v>
      </c>
      <c r="C338">
        <f>-541.739436437691 -157.953987214651 -95.0974108775375</f>
        <v>-794.79083452987948</v>
      </c>
      <c r="D338">
        <f>-566.975096503985 -167.539103527767 -207.736311459025</f>
        <v>-942.25051149077694</v>
      </c>
      <c r="E338">
        <f>-573.14955669243 -172.650810856858 -306.033721701219</f>
        <v>-1051.8340892505071</v>
      </c>
      <c r="F338">
        <f>-573.030065208222 -176.423355359206 -395.050565213557</f>
        <v>-1144.503985780985</v>
      </c>
      <c r="G338">
        <f>-566.837058369301 -179.48514258915 -483.879124001326</f>
        <v>-1230.2013249597769</v>
      </c>
      <c r="H338">
        <f>-551.813522675663 -183.195503906518 -607.496916472887</f>
        <v>-1342.505943055068</v>
      </c>
      <c r="I338">
        <f>-514.913536202709 -180.749797382081 -681.910820359161</f>
        <v>-1377.5741539439509</v>
      </c>
      <c r="J338">
        <f>-559.993844868044 -153.916976725127 -554.119323868104</f>
        <v>-1268.030145461275</v>
      </c>
      <c r="K338">
        <f>-568.8779382533 -17.4157379430167 -540.49583787253</f>
        <v>-1126.7895140688468</v>
      </c>
      <c r="L338" t="s">
        <v>2594</v>
      </c>
      <c r="M338" t="s">
        <v>2595</v>
      </c>
      <c r="N338">
        <f>-556.855526162074 -209.208513343471 -552.078298592366</f>
        <v>-1318.1423380979109</v>
      </c>
      <c r="O338">
        <f>-559.24808962507 -342.867147156363 -520.015434340705</f>
        <v>-1422.130671122138</v>
      </c>
      <c r="P338">
        <f>-608.438968942173 -398.496764040154 -235.275537446157</f>
        <v>-1242.2112704284839</v>
      </c>
      <c r="Q338">
        <f>-433.362684881485 -244.515793688957 -296.012869748577</f>
        <v>-973.89134831901902</v>
      </c>
      <c r="R338">
        <f>-562.834716250133 -65.0467371775655 -99.3150630739129</f>
        <v>-727.19651650161154</v>
      </c>
      <c r="S338" t="s">
        <v>2596</v>
      </c>
      <c r="T338" t="s">
        <v>2597</v>
      </c>
      <c r="U338" t="s">
        <v>2598</v>
      </c>
      <c r="V338">
        <f>-520.874579496229 -250.935517182317 -92.9580919852243</f>
        <v>-864.76818866377027</v>
      </c>
      <c r="W338" t="s">
        <v>2599</v>
      </c>
      <c r="X338" t="s">
        <v>2600</v>
      </c>
      <c r="Y338" t="s">
        <v>2601</v>
      </c>
    </row>
    <row r="339" spans="1:25" x14ac:dyDescent="0.3">
      <c r="A339">
        <v>16900</v>
      </c>
      <c r="B339" t="s">
        <v>2602</v>
      </c>
      <c r="C339">
        <f>-541.675818921339 -157.553693717621 -95.0684141000262</f>
        <v>-794.29792673898612</v>
      </c>
      <c r="D339">
        <f>-566.898191378786 -167.081570323348 -207.714979936126</f>
        <v>-941.6947416382601</v>
      </c>
      <c r="E339">
        <f>-573.024179602244 -172.121018300785 -306.019268991634</f>
        <v>-1051.1644668946628</v>
      </c>
      <c r="F339">
        <f>-572.845371769719 -175.819707841737 -395.039132858721</f>
        <v>-1143.704212470177</v>
      </c>
      <c r="G339">
        <f>-566.577763196481 -178.800307724283 -483.865193871141</f>
        <v>-1229.2432647919049</v>
      </c>
      <c r="H339">
        <f>-551.433838866335 -182.389901441015 -607.471814049939</f>
        <v>-1341.2955543572889</v>
      </c>
      <c r="I339">
        <f>-514.497308662979 -179.931147344932 -681.867153493552</f>
        <v>-1376.2956095014629</v>
      </c>
      <c r="J339">
        <f>-559.644472548778 -153.162297090103 -554.071026169698</f>
        <v>-1266.8777958085791</v>
      </c>
      <c r="K339">
        <f>-568.3469109024 -16.6638605634785 -540.333837344016</f>
        <v>-1125.3446088098945</v>
      </c>
      <c r="L339" t="s">
        <v>2603</v>
      </c>
      <c r="M339" t="s">
        <v>2604</v>
      </c>
      <c r="N339">
        <f>-556.551402495449 -208.458344258596 -552.086223550701</f>
        <v>-1317.0959703047461</v>
      </c>
      <c r="O339">
        <f>-558.990314471722 -342.138712265201 -520.120175926184</f>
        <v>-1421.2492026631069</v>
      </c>
      <c r="P339">
        <f>-608.133820846411 -398.488601495547 -235.513778479751</f>
        <v>-1242.1362008217091</v>
      </c>
      <c r="Q339">
        <f>-433.27421644945 -244.211638855043 -296.124429964043</f>
        <v>-973.61028526853602</v>
      </c>
      <c r="R339">
        <f>-562.701255809151 -64.7112667530603 -99.246482343512</f>
        <v>-726.65900490572324</v>
      </c>
      <c r="S339" t="s">
        <v>2605</v>
      </c>
      <c r="T339" t="s">
        <v>2606</v>
      </c>
      <c r="U339" t="s">
        <v>2607</v>
      </c>
      <c r="V339">
        <f>-520.903179456714 -250.499426296087 -92.9546651885014</f>
        <v>-864.35727094130243</v>
      </c>
      <c r="W339" t="s">
        <v>2608</v>
      </c>
      <c r="X339" t="s">
        <v>2609</v>
      </c>
      <c r="Y339" t="s">
        <v>2610</v>
      </c>
    </row>
    <row r="340" spans="1:25" x14ac:dyDescent="0.3">
      <c r="A340">
        <v>16950</v>
      </c>
      <c r="B340" t="s">
        <v>2611</v>
      </c>
      <c r="C340">
        <f>-541.662035395657 -157.316963216313 -95.0502997032895</f>
        <v>-794.02929831525944</v>
      </c>
      <c r="D340">
        <f>-566.878223180319 -166.817709088542 -207.700737406657</f>
        <v>-941.39666967551796</v>
      </c>
      <c r="E340">
        <f>-572.981700695594 -171.825502910279 -306.007929782662</f>
        <v>-1050.8151333885348</v>
      </c>
      <c r="F340">
        <f>-572.775632430601 -175.492232761944 -395.029037678752</f>
        <v>-1143.2969028712971</v>
      </c>
      <c r="G340">
        <f>-566.473465342024 -178.43748697248 -483.853870225941</f>
        <v>-1228.764822540445</v>
      </c>
      <c r="H340">
        <f>-551.274227546654 -181.974804544805 -607.455146689276</f>
        <v>-1340.704178780735</v>
      </c>
      <c r="I340">
        <f>-514.319012887331 -179.506739048393 -681.840980927425</f>
        <v>-1375.666732863149</v>
      </c>
      <c r="J340">
        <f>-559.498925666895 -152.769200131999 -554.044533252226</f>
        <v>-1266.3126590511201</v>
      </c>
      <c r="K340">
        <f>-568.100205536588 -16.2633933182503 -540.250823768406</f>
        <v>-1124.6144226232443</v>
      </c>
      <c r="L340" t="s">
        <v>2612</v>
      </c>
      <c r="M340" t="s">
        <v>2613</v>
      </c>
      <c r="N340">
        <f>-556.426253798932 -208.067315937758 -552.084136688798</f>
        <v>-1316.577706425488</v>
      </c>
      <c r="O340">
        <f>-558.950922226602 -341.757692416626 -520.1873016196</f>
        <v>-1420.895916262828</v>
      </c>
      <c r="P340">
        <f>-608.198548839315 -398.126261741855 -235.602590156088</f>
        <v>-1241.9274007372578</v>
      </c>
      <c r="Q340">
        <f>-433.18369865519 -244.015717021169 -296.188456916455</f>
        <v>-973.38787259281389</v>
      </c>
      <c r="R340">
        <f>-562.655274312159 -64.425781686296 -99.2169378498709</f>
        <v>-726.29799384832586</v>
      </c>
      <c r="S340" t="s">
        <v>2614</v>
      </c>
      <c r="T340" t="s">
        <v>2615</v>
      </c>
      <c r="U340" t="s">
        <v>2616</v>
      </c>
      <c r="V340">
        <f>-520.923241705059 -250.337536928831 -92.9475308419718</f>
        <v>-864.20830947586182</v>
      </c>
      <c r="W340" t="s">
        <v>2617</v>
      </c>
      <c r="X340" t="s">
        <v>2618</v>
      </c>
      <c r="Y340" t="s">
        <v>2619</v>
      </c>
    </row>
    <row r="341" spans="1:25" x14ac:dyDescent="0.3">
      <c r="A341">
        <v>17000</v>
      </c>
      <c r="B341" t="s">
        <v>2620</v>
      </c>
      <c r="C341">
        <f>-541.543764321895 -156.956125592744 -95.0069768067834</f>
        <v>-793.5068667214224</v>
      </c>
      <c r="D341">
        <f>-566.720892459102 -166.375435556329 -207.672802225464</f>
        <v>-940.76913024089492</v>
      </c>
      <c r="E341">
        <f>-572.751125039189 -171.324281248993 -305.987658449788</f>
        <v>-1050.0630647379699</v>
      </c>
      <c r="F341">
        <f>-572.463171255561 -174.941970486629 -395.010503376515</f>
        <v>-1142.415645118705</v>
      </c>
      <c r="G341">
        <f>-566.064241871201 -177.843896169444 -483.829878109335</f>
        <v>-1227.73801614998</v>
      </c>
      <c r="H341">
        <f>-550.714808690208 -181.326730474343 -607.414151864954</f>
        <v>-1339.455691029505</v>
      </c>
      <c r="I341">
        <f>-513.689924296766 -178.85942075217 -681.765381195082</f>
        <v>-1374.3147262440179</v>
      </c>
      <c r="J341">
        <f>-558.966463434601 -152.142388078387 -553.996090567082</f>
        <v>-1265.10494208007</v>
      </c>
      <c r="K341">
        <f>-567.30767424996 -15.6262383065719 -540.153318441309</f>
        <v>-1123.0872309978408</v>
      </c>
      <c r="L341" t="s">
        <v>2621</v>
      </c>
      <c r="M341" t="s">
        <v>2622</v>
      </c>
      <c r="N341">
        <f>-555.972278036983 -207.445852024365 -552.065687663627</f>
        <v>-1315.4838177249749</v>
      </c>
      <c r="O341">
        <f>-558.739921742467 -341.146433909782 -520.217416262821</f>
        <v>-1420.10377191507</v>
      </c>
      <c r="P341">
        <f>-608.3686023579 -397.509957751743 -235.697831121903</f>
        <v>-1241.576391231546</v>
      </c>
      <c r="Q341">
        <f>-432.99095083351 -243.759698313537 -296.149881535771</f>
        <v>-972.90053068281793</v>
      </c>
      <c r="R341">
        <f>-562.381944477063 -64.0500170801267 -99.1404217018305</f>
        <v>-725.57238325902028</v>
      </c>
      <c r="S341" t="s">
        <v>2623</v>
      </c>
      <c r="T341" t="s">
        <v>2624</v>
      </c>
      <c r="U341" t="s">
        <v>2625</v>
      </c>
      <c r="V341">
        <f>-520.949839708048 -249.966821231556 -92.9354304481893</f>
        <v>-863.85209138779328</v>
      </c>
      <c r="W341" t="s">
        <v>2626</v>
      </c>
      <c r="X341" t="s">
        <v>2627</v>
      </c>
      <c r="Y341" t="s">
        <v>2628</v>
      </c>
    </row>
    <row r="342" spans="1:25" x14ac:dyDescent="0.3">
      <c r="A342">
        <v>17050</v>
      </c>
      <c r="B342" t="s">
        <v>2629</v>
      </c>
      <c r="C342">
        <f>-541.503679517154 -156.710171259029 -94.9902509783707</f>
        <v>-793.20410175455368</v>
      </c>
      <c r="D342">
        <f>-566.653925234108 -166.093897598543 -207.66515418921</f>
        <v>-940.41297702186102</v>
      </c>
      <c r="E342">
        <f>-572.624876092361 -171.012145758372 -305.985150259195</f>
        <v>-1049.622172109928</v>
      </c>
      <c r="F342">
        <f>-572.269266542073 -174.602781144312 -395.008820429517</f>
        <v>-1141.8808681159019</v>
      </c>
      <c r="G342">
        <f>-565.788508501657 -177.479031689847 -483.823006382942</f>
        <v>-1227.0905465744461</v>
      </c>
      <c r="H342">
        <f>-550.310195540972 -180.928123159798 -607.392203001133</f>
        <v>-1338.630521701903</v>
      </c>
      <c r="I342">
        <f>-513.232054617336 -178.458668803029 -681.716755210544</f>
        <v>-1373.4074786309088</v>
      </c>
      <c r="J342">
        <f>-558.595659064719 -151.757020008115 -553.97214841688</f>
        <v>-1264.3248274897142</v>
      </c>
      <c r="K342">
        <f>-566.8182909256 -15.2389461658152 -540.112918088735</f>
        <v>-1122.1701551801502</v>
      </c>
      <c r="L342" t="s">
        <v>2630</v>
      </c>
      <c r="M342" t="s">
        <v>2631</v>
      </c>
      <c r="N342">
        <f>-555.647163513104 -207.063620319939 -552.059132692102</f>
        <v>-1314.7699165251452</v>
      </c>
      <c r="O342">
        <f>-558.577550926919 -340.770459802256 -520.246929998378</f>
        <v>-1419.594940727553</v>
      </c>
      <c r="P342">
        <f>-608.535876177147 -397.009865116362 -235.76052003892</f>
        <v>-1241.3062613324289</v>
      </c>
      <c r="Q342">
        <f>-432.854088373221 -243.576520128229 -296.134332857922</f>
        <v>-972.56494135937203</v>
      </c>
      <c r="R342">
        <f>-562.313274919103 -63.7496765301321 -99.1125824556353</f>
        <v>-725.17553390487046</v>
      </c>
      <c r="S342" t="s">
        <v>2632</v>
      </c>
      <c r="T342" t="s">
        <v>2633</v>
      </c>
      <c r="U342" t="s">
        <v>2634</v>
      </c>
      <c r="V342">
        <f>-520.945494245499 -249.752469748258 -92.9263977053677</f>
        <v>-863.62436169912473</v>
      </c>
      <c r="W342" t="s">
        <v>2635</v>
      </c>
      <c r="X342" t="s">
        <v>2636</v>
      </c>
      <c r="Y342" t="s">
        <v>2637</v>
      </c>
    </row>
    <row r="343" spans="1:25" x14ac:dyDescent="0.3">
      <c r="A343">
        <v>17100</v>
      </c>
      <c r="B343" t="s">
        <v>2638</v>
      </c>
      <c r="C343">
        <f>-541.363231487706 -156.192408078982 -94.9655847320695</f>
        <v>-792.52122429875749</v>
      </c>
      <c r="D343">
        <f>-566.429160245752 -165.479315327308 -207.667362728726</f>
        <v>-939.57583830178601</v>
      </c>
      <c r="E343">
        <f>-572.275687490497 -170.352647868773 -305.996957117033</f>
        <v>-1048.625292476303</v>
      </c>
      <c r="F343">
        <f>-571.788142266659 -173.918013459344 -395.021089273186</f>
        <v>-1140.727244999189</v>
      </c>
      <c r="G343">
        <f>-565.157077989048 -176.785131207457 -483.824500156819</f>
        <v>-1225.7667093533241</v>
      </c>
      <c r="H343">
        <f>-549.450618429842 -180.239276407406 -607.364768881303</f>
        <v>-1337.0546637185512</v>
      </c>
      <c r="I343">
        <f>-512.268870164898 -177.789236512366 -681.638219003689</f>
        <v>-1371.6963256809529</v>
      </c>
      <c r="J343">
        <f>-557.78738043813 -151.063436514022 -553.955255551018</f>
        <v>-1262.8060725031701</v>
      </c>
      <c r="K343">
        <f>-565.76572844166 -14.5280887022573 -540.097285389243</f>
        <v>-1120.3911025331604</v>
      </c>
      <c r="L343" t="s">
        <v>2639</v>
      </c>
      <c r="M343" t="s">
        <v>2640</v>
      </c>
      <c r="N343">
        <f>-554.937004391576 -206.375141934477 -552.046261892337</f>
        <v>-1313.3584082183902</v>
      </c>
      <c r="O343">
        <f>-558.179361388675 -340.077373524525 -520.268477725478</f>
        <v>-1418.5252126386781</v>
      </c>
      <c r="P343">
        <f>-608.795908422196 -396.06744396823 -235.849215316592</f>
        <v>-1240.712567707018</v>
      </c>
      <c r="Q343">
        <f>-432.665467326347 -243.064692836913 -296.00826736174</f>
        <v>-971.73842752500013</v>
      </c>
      <c r="R343">
        <f>-562.027163812256 -63.2000536928199 -99.0491265893685</f>
        <v>-724.27634409444443</v>
      </c>
      <c r="S343" t="s">
        <v>2641</v>
      </c>
      <c r="T343" t="s">
        <v>2642</v>
      </c>
      <c r="U343" t="s">
        <v>2643</v>
      </c>
      <c r="V343">
        <f>-520.931287939352 -249.309943972438 -92.9252957519664</f>
        <v>-863.16652766375637</v>
      </c>
      <c r="W343" t="s">
        <v>2644</v>
      </c>
      <c r="X343" t="s">
        <v>2645</v>
      </c>
      <c r="Y343" t="s">
        <v>2646</v>
      </c>
    </row>
    <row r="344" spans="1:25" x14ac:dyDescent="0.3">
      <c r="A344">
        <v>17150</v>
      </c>
      <c r="B344" t="s">
        <v>2647</v>
      </c>
      <c r="C344">
        <f>-541.310511243689 -156.132432992572 -94.9355966665029</f>
        <v>-792.37854090276392</v>
      </c>
      <c r="D344">
        <f>-566.342342031398 -165.397253763677 -207.646741632867</f>
        <v>-939.38633742794195</v>
      </c>
      <c r="E344">
        <f>-572.140028823492 -170.263678037935 -305.979555266484</f>
        <v>-1048.3832621279112</v>
      </c>
      <c r="F344">
        <f>-571.600953324973 -173.82819970932 -395.00343154043</f>
        <v>-1140.432584574723</v>
      </c>
      <c r="G344">
        <f>-564.911082639836 -176.700362300606 -483.802298508573</f>
        <v>-1225.4137434490149</v>
      </c>
      <c r="H344">
        <f>-549.11573817674 -180.167895685752 -607.330806698929</f>
        <v>-1336.6144405614209</v>
      </c>
      <c r="I344">
        <f>-511.896932443447 -177.734084751413 -681.586217436764</f>
        <v>-1371.2172346316238</v>
      </c>
      <c r="J344">
        <f>-557.472393402908 -150.98509246042 -553.928099110121</f>
        <v>-1262.3855849734491</v>
      </c>
      <c r="K344">
        <f>-565.347186309713 -14.4417123456565 -540.077975484674</f>
        <v>-1119.8668741400434</v>
      </c>
      <c r="L344" t="s">
        <v>2648</v>
      </c>
      <c r="M344" t="s">
        <v>2649</v>
      </c>
      <c r="N344">
        <f>-554.660544497696 -206.298850878891 -552.015876381999</f>
        <v>-1312.9752717585861</v>
      </c>
      <c r="O344">
        <f>-558.017183031862 -339.996658750945 -520.240315985542</f>
        <v>-1418.2541577683492</v>
      </c>
      <c r="P344">
        <f>-608.845425126612 -395.896122822678 -235.841037646538</f>
        <v>-1240.582585595828</v>
      </c>
      <c r="Q344">
        <f>-432.60833659297 -242.99809674687 -295.95385335823</f>
        <v>-971.56028669807006</v>
      </c>
      <c r="R344">
        <f>-561.906646944478 -63.1000860159063 -99.0219950886827</f>
        <v>-724.02872804906701</v>
      </c>
      <c r="S344" t="s">
        <v>2650</v>
      </c>
      <c r="T344" t="s">
        <v>2651</v>
      </c>
      <c r="U344" t="s">
        <v>2652</v>
      </c>
      <c r="V344">
        <f>-520.961825190339 -249.30493518016 -92.9173255637331</f>
        <v>-863.18408593423214</v>
      </c>
      <c r="W344" t="s">
        <v>2653</v>
      </c>
      <c r="X344" t="s">
        <v>2654</v>
      </c>
      <c r="Y344" t="s">
        <v>2655</v>
      </c>
    </row>
    <row r="345" spans="1:25" x14ac:dyDescent="0.3">
      <c r="A345">
        <v>17200</v>
      </c>
      <c r="B345" t="s">
        <v>2656</v>
      </c>
      <c r="C345">
        <f>-541.125007054878 -155.994328607828 -94.8824045975725</f>
        <v>-792.00174026027855</v>
      </c>
      <c r="D345">
        <f>-566.142551342556 -165.207892950313 -207.600920385509</f>
        <v>-938.95136467837801</v>
      </c>
      <c r="E345">
        <f>-571.876440689639 -170.052514161137 -305.938694781788</f>
        <v>-1047.8676496325641</v>
      </c>
      <c r="F345">
        <f>-571.259498958041 -173.607056742628 -394.962358796457</f>
        <v>-1139.8289144971261</v>
      </c>
      <c r="G345">
        <f>-564.472517797384 -176.480301019621 -483.753840697076</f>
        <v>-1224.7066595140809</v>
      </c>
      <c r="H345">
        <f>-548.521411835481 -179.961811563365 -607.262036686064</f>
        <v>-1335.7452600849101</v>
      </c>
      <c r="I345">
        <f>-511.229099460499 -177.569367277433 -681.481740823571</f>
        <v>-1370.2802075615032</v>
      </c>
      <c r="J345">
        <f>-556.924230198384 -150.771858848248 -553.870475236991</f>
        <v>-1261.5665642836229</v>
      </c>
      <c r="K345">
        <f>-564.646266594636 -14.2263023250105 -539.99935130338</f>
        <v>-1118.8719202230263</v>
      </c>
      <c r="L345" t="s">
        <v>2657</v>
      </c>
      <c r="M345" t="s">
        <v>2658</v>
      </c>
      <c r="N345">
        <f>-554.157004559466 -206.087638245805 -551.953833758087</f>
        <v>-1312.1984765633579</v>
      </c>
      <c r="O345">
        <f>-557.653713768896 -339.790696866181 -520.184613610363</f>
        <v>-1417.6290242454402</v>
      </c>
      <c r="P345">
        <f>-608.561188813242 -395.669288413185 -235.795416517084</f>
        <v>-1240.025893743511</v>
      </c>
      <c r="Q345">
        <f>-432.351817689957 -242.664136094131 -295.71634394595</f>
        <v>-970.732297730038</v>
      </c>
      <c r="R345">
        <f>-561.627481153079 -62.8668652352778 -98.9483121120525</f>
        <v>-723.44265850040927</v>
      </c>
      <c r="S345" t="s">
        <v>2659</v>
      </c>
      <c r="T345" t="s">
        <v>2660</v>
      </c>
      <c r="U345" t="s">
        <v>2661</v>
      </c>
      <c r="V345">
        <f>-520.884848316889 -249.220381759 -92.8824316760637</f>
        <v>-862.98766175195271</v>
      </c>
      <c r="W345" t="s">
        <v>2662</v>
      </c>
      <c r="X345" t="s">
        <v>2663</v>
      </c>
      <c r="Y345" t="s">
        <v>2664</v>
      </c>
    </row>
    <row r="346" spans="1:25" x14ac:dyDescent="0.3">
      <c r="A346">
        <v>17250</v>
      </c>
      <c r="B346" t="s">
        <v>2665</v>
      </c>
      <c r="C346">
        <f>-540.996301512202 -155.84605857983 -94.8673070667146</f>
        <v>-791.70966715874658</v>
      </c>
      <c r="D346">
        <f>-566.013941863623 -165.025813318365 -207.588477582366</f>
        <v>-938.62823276435415</v>
      </c>
      <c r="E346">
        <f>-571.736518835167 -169.854059608598 -305.927657914835</f>
        <v>-1047.5182363586</v>
      </c>
      <c r="F346">
        <f>-571.105077610455 -173.398655513663 -394.951704854588</f>
        <v>-1139.455437978706</v>
      </c>
      <c r="G346">
        <f>-564.299436994387 -176.26747833491 -483.741869620634</f>
        <v>-1224.3087849499311</v>
      </c>
      <c r="H346">
        <f>-548.318439703268 -179.74844513407 -607.246113933268</f>
        <v>-1335.3129987706061</v>
      </c>
      <c r="I346">
        <f>-511.002977238109 -177.377538535528 -681.454982724388</f>
        <v>-1369.8354984980249</v>
      </c>
      <c r="J346">
        <f>-556.72903388126 -150.558484367629 -553.855869329553</f>
        <v>-1261.1433875784419</v>
      </c>
      <c r="K346">
        <f>-564.422420398062 -14.0060847356438 -539.970640904284</f>
        <v>-1118.3991460379898</v>
      </c>
      <c r="L346" t="s">
        <v>2666</v>
      </c>
      <c r="M346" t="s">
        <v>2667</v>
      </c>
      <c r="N346">
        <f>-553.972950500752 -205.874888814687 -551.940167246424</f>
        <v>-1311.7880065618629</v>
      </c>
      <c r="O346">
        <f>-557.495615851689 -339.575221135527 -520.188678217905</f>
        <v>-1417.2595152051208</v>
      </c>
      <c r="P346">
        <f>-608.297780107288 -395.545123008727 -235.798488234973</f>
        <v>-1239.641391350988</v>
      </c>
      <c r="Q346">
        <f>-432.297798123464 -242.335464742945 -295.812270652373</f>
        <v>-970.44553351878199</v>
      </c>
      <c r="R346">
        <f>-561.497889803992 -62.6678228304302 -98.9094378616371</f>
        <v>-723.07515049605934</v>
      </c>
      <c r="S346" t="s">
        <v>2668</v>
      </c>
      <c r="T346" t="s">
        <v>2669</v>
      </c>
      <c r="U346" t="s">
        <v>2670</v>
      </c>
      <c r="V346">
        <f>-520.74041271415 -249.124159576961 -92.8857956316915</f>
        <v>-862.75036792280252</v>
      </c>
      <c r="W346" t="s">
        <v>2671</v>
      </c>
      <c r="X346" t="s">
        <v>2672</v>
      </c>
      <c r="Y346" t="s">
        <v>2673</v>
      </c>
    </row>
    <row r="347" spans="1:25" x14ac:dyDescent="0.3">
      <c r="A347">
        <v>17300</v>
      </c>
      <c r="B347" t="s">
        <v>2674</v>
      </c>
      <c r="C347">
        <f>-540.676151880489 -155.595463372122 -94.8370829998074</f>
        <v>-791.10869825241844</v>
      </c>
      <c r="D347">
        <f>-565.699861755874 -164.74885684828 -207.559051511303</f>
        <v>-938.00777011545699</v>
      </c>
      <c r="E347">
        <f>-571.419589848007 -169.548470742891 -305.899885638753</f>
        <v>-1046.8679462296511</v>
      </c>
      <c r="F347">
        <f>-570.782110239612 -173.064617889323 -394.925082433895</f>
        <v>-1138.7718105628301</v>
      </c>
      <c r="G347">
        <f>-563.96716251029 -175.90210376879 -483.715482149339</f>
        <v>-1223.5847484284191</v>
      </c>
      <c r="H347">
        <f>-547.969471045651 -179.336122490246 -607.218890099624</f>
        <v>-1334.5244836355209</v>
      </c>
      <c r="I347">
        <f>-510.63789783931 -176.973488994451 -681.419933737645</f>
        <v>-1369.031320571406</v>
      </c>
      <c r="J347">
        <f>-556.393393409825 -150.16677815294 -553.819368164701</f>
        <v>-1260.379539727466</v>
      </c>
      <c r="K347">
        <f>-564.073687511426 -13.6207812899454 -539.896564755889</f>
        <v>-1117.5910335572603</v>
      </c>
      <c r="L347" t="s">
        <v>2675</v>
      </c>
      <c r="M347" t="s">
        <v>2676</v>
      </c>
      <c r="N347">
        <f>-553.625171546093 -205.483221078322 -551.92290518941</f>
        <v>-1311.0312978138249</v>
      </c>
      <c r="O347">
        <f>-557.166594948357 -339.200568452979 -520.246097651603</f>
        <v>-1416.6132610529389</v>
      </c>
      <c r="P347">
        <f>-607.108190135898 -395.795784927098 -235.82733846501</f>
        <v>-1238.731313528006</v>
      </c>
      <c r="Q347">
        <f>-432.243038301379 -241.576330239162 -296.567758096893</f>
        <v>-970.38712663743399</v>
      </c>
      <c r="R347">
        <f>-561.176323653086 -62.4221762418076 -98.8579440536346</f>
        <v>-722.4564439485282</v>
      </c>
      <c r="S347" t="s">
        <v>2677</v>
      </c>
      <c r="T347" t="s">
        <v>2678</v>
      </c>
      <c r="U347" t="s">
        <v>2679</v>
      </c>
      <c r="V347">
        <f>-520.411307842534 -248.86031716434 -92.8895633329662</f>
        <v>-862.16118833984024</v>
      </c>
      <c r="W347" t="s">
        <v>2680</v>
      </c>
      <c r="X347" t="s">
        <v>2681</v>
      </c>
      <c r="Y347" t="s">
        <v>2682</v>
      </c>
    </row>
    <row r="348" spans="1:25" x14ac:dyDescent="0.3">
      <c r="A348">
        <v>17350</v>
      </c>
      <c r="B348" t="s">
        <v>2683</v>
      </c>
      <c r="C348">
        <f>-540.550349200402 -155.407852677066 -94.8300531166033</f>
        <v>-790.78825499407128</v>
      </c>
      <c r="D348">
        <f>-565.592776962119 -164.554480123139 -207.548478223491</f>
        <v>-937.69573530874902</v>
      </c>
      <c r="E348">
        <f>-571.326527852094 -169.342366584443 -305.888986470981</f>
        <v>-1046.557880907518</v>
      </c>
      <c r="F348">
        <f>-570.700656127185 -172.845702428193 -394.914701315856</f>
        <v>-1138.4610598712341</v>
      </c>
      <c r="G348">
        <f>-563.896284794131 -175.668417000934 -483.70643605873</f>
        <v>-1223.2711378537952</v>
      </c>
      <c r="H348">
        <f>-547.91206468782 -179.07954870843 -607.212253450886</f>
        <v>-1334.2038668471359</v>
      </c>
      <c r="I348">
        <f>-510.582198595074 -176.70632725556 -681.413862456998</f>
        <v>-1368.702388307632</v>
      </c>
      <c r="J348">
        <f>-556.336100122889 -149.920348788092 -553.807226127549</f>
        <v>-1260.0636750385302</v>
      </c>
      <c r="K348">
        <f>-563.995685551339 -13.3787948549177 -539.86793250715</f>
        <v>-1117.2424129134067</v>
      </c>
      <c r="L348" t="s">
        <v>2684</v>
      </c>
      <c r="M348" t="s">
        <v>2685</v>
      </c>
      <c r="N348">
        <f>-553.555733759829 -205.23642177076 -551.919749223419</f>
        <v>-1310.7119047540079</v>
      </c>
      <c r="O348">
        <f>-557.077046453115 -338.975848592222 -520.310793757687</f>
        <v>-1416.3636888030239</v>
      </c>
      <c r="P348">
        <f>-606.278860198158 -396.134264990848 -235.87566720601</f>
        <v>-1238.2887923950161</v>
      </c>
      <c r="Q348">
        <f>-432.204908199164 -241.238341366852 -297.165155067071</f>
        <v>-970.60840463308705</v>
      </c>
      <c r="R348">
        <f>-561.053256683407 -62.2447760712987 -98.8352355810432</f>
        <v>-722.13326833574888</v>
      </c>
      <c r="S348" t="s">
        <v>2686</v>
      </c>
      <c r="T348" t="s">
        <v>2687</v>
      </c>
      <c r="U348" t="s">
        <v>2688</v>
      </c>
      <c r="V348">
        <f>-520.293904869114 -248.632529089331 -92.8848091167508</f>
        <v>-861.81124307519588</v>
      </c>
      <c r="W348" t="s">
        <v>2689</v>
      </c>
      <c r="X348" t="s">
        <v>2690</v>
      </c>
      <c r="Y348" t="s">
        <v>2691</v>
      </c>
    </row>
    <row r="349" spans="1:25" x14ac:dyDescent="0.3">
      <c r="A349">
        <v>17400</v>
      </c>
      <c r="B349" t="s">
        <v>2692</v>
      </c>
      <c r="C349">
        <f>-540.469651843579 -155.022130127916 -94.830682010803</f>
        <v>-790.3224639822979</v>
      </c>
      <c r="D349">
        <f>-565.476749695106 -164.156476696919 -207.557972305198</f>
        <v>-937.19119869722294</v>
      </c>
      <c r="E349">
        <f>-571.243086795797 -168.922165072248 -305.897639451631</f>
        <v>-1046.0628913196761</v>
      </c>
      <c r="F349">
        <f>-570.672140734478 -172.400138830059 -394.924742187612</f>
        <v>-1137.9970217521491</v>
      </c>
      <c r="G349">
        <f>-563.947215595229 -175.190522216511 -483.723531564852</f>
        <v>-1222.861269376592</v>
      </c>
      <c r="H349">
        <f>-548.099553313668 -178.548822365814 -607.248348356179</f>
        <v>-1333.896724035661</v>
      </c>
      <c r="I349">
        <f>-510.81870462429 -176.138191763353 -681.47334968204</f>
        <v>-1368.4302460696829</v>
      </c>
      <c r="J349">
        <f>-556.491087364175 -149.413974938607 -553.824924134074</f>
        <v>-1259.7299864368561</v>
      </c>
      <c r="K349">
        <f>-564.128752170412 -12.8726802844781 -539.859999014662</f>
        <v>-1116.8614314695519</v>
      </c>
      <c r="L349" t="s">
        <v>2693</v>
      </c>
      <c r="M349" t="s">
        <v>2694</v>
      </c>
      <c r="N349">
        <f>-553.655555184166 -204.728046652516 -551.957384346123</f>
        <v>-1310.340986182805</v>
      </c>
      <c r="O349">
        <f>-557.073303307488 -338.50327834964 -520.506465860247</f>
        <v>-1416.083047517375</v>
      </c>
      <c r="P349">
        <f>-605.345250258114 -396.018209981384 -235.984065162939</f>
        <v>-1237.347525402437</v>
      </c>
      <c r="Q349">
        <f>-431.576243920037 -241.123520590811 -298.135851716796</f>
        <v>-970.8356162276441</v>
      </c>
      <c r="R349">
        <f>-560.98080129871 -61.8410890383759 -98.7979556019795</f>
        <v>-721.6198459390655</v>
      </c>
      <c r="S349" t="s">
        <v>2695</v>
      </c>
      <c r="T349" t="s">
        <v>2696</v>
      </c>
      <c r="U349" t="s">
        <v>2697</v>
      </c>
      <c r="V349">
        <f>-520.204373356654 -248.276953645847 -92.8784129582975</f>
        <v>-861.35973996079849</v>
      </c>
      <c r="W349" t="s">
        <v>2698</v>
      </c>
      <c r="X349" t="s">
        <v>2699</v>
      </c>
      <c r="Y349" t="s">
        <v>2700</v>
      </c>
    </row>
    <row r="350" spans="1:25" x14ac:dyDescent="0.3">
      <c r="A350">
        <v>17450</v>
      </c>
      <c r="B350" t="s">
        <v>2701</v>
      </c>
      <c r="C350">
        <f>-540.458721913236 -154.793242915067 -94.8268159883057</f>
        <v>-790.07878081660874</v>
      </c>
      <c r="D350">
        <f>-565.427517486092 -163.943422173464 -207.561350478088</f>
        <v>-936.93229013764403</v>
      </c>
      <c r="E350">
        <f>-571.207816891001 -168.706584481387 -305.900347051554</f>
        <v>-1045.8147484239421</v>
      </c>
      <c r="F350">
        <f>-570.667855597738 -172.175199621311 -394.927939560175</f>
        <v>-1137.7709947792241</v>
      </c>
      <c r="G350">
        <f>-563.992220894641 -174.949091463882 -483.731029535649</f>
        <v>-1222.672341894172</v>
      </c>
      <c r="H350">
        <f>-548.231981656616 -178.275870166756 -607.267856252731</f>
        <v>-1333.775708076103</v>
      </c>
      <c r="I350">
        <f>-510.988032159906 -175.84804546004 -681.510926054971</f>
        <v>-1368.3470036749172</v>
      </c>
      <c r="J350">
        <f>-556.595353980001 -149.15529729457 -553.832360757282</f>
        <v>-1259.5830120318531</v>
      </c>
      <c r="K350">
        <f>-564.222579688446 -12.6089623825126 -539.860348217793</f>
        <v>-1116.6918902887514</v>
      </c>
      <c r="L350" t="s">
        <v>2702</v>
      </c>
      <c r="M350" t="s">
        <v>2703</v>
      </c>
      <c r="N350">
        <f>-553.739195359389 -204.468629103976 -551.978388792699</f>
        <v>-1310.1862132560641</v>
      </c>
      <c r="O350">
        <f>-557.134375231574 -338.25932412078 -520.578097860045</f>
        <v>-1415.971797212399</v>
      </c>
      <c r="P350">
        <f>-605.245018870044 -395.608527671843 -235.99475857869</f>
        <v>-1236.8483051205769</v>
      </c>
      <c r="Q350">
        <f>-431.169912767004 -241.104408492458 -298.261823539064</f>
        <v>-970.53614479852604</v>
      </c>
      <c r="R350">
        <f>-560.996274570488 -61.6238359952451 -98.7958764087732</f>
        <v>-721.41598697450638</v>
      </c>
      <c r="S350" t="s">
        <v>2704</v>
      </c>
      <c r="T350" t="s">
        <v>2705</v>
      </c>
      <c r="U350" t="s">
        <v>2706</v>
      </c>
      <c r="V350">
        <f>-520.156518485817 -248.077295073458 -92.8786058121956</f>
        <v>-861.11241937147054</v>
      </c>
      <c r="W350" t="s">
        <v>2707</v>
      </c>
      <c r="X350" t="s">
        <v>2708</v>
      </c>
      <c r="Y350" t="s">
        <v>2709</v>
      </c>
    </row>
    <row r="351" spans="1:25" x14ac:dyDescent="0.3">
      <c r="A351">
        <v>17500</v>
      </c>
      <c r="B351" t="s">
        <v>2710</v>
      </c>
      <c r="C351">
        <f>-540.43193434582 -154.673790008435 -94.8171060127247</f>
        <v>-789.92283036697972</v>
      </c>
      <c r="D351">
        <f>-565.353054966782 -163.844957948773 -207.560369235349</f>
        <v>-936.75838215090391</v>
      </c>
      <c r="E351">
        <f>-571.137938228767 -168.615988857876 -305.898769185248</f>
        <v>-1045.652696271891</v>
      </c>
      <c r="F351">
        <f>-570.620149926471 -172.087776640018 -394.926364731503</f>
        <v>-1137.6342912979919</v>
      </c>
      <c r="G351">
        <f>-563.984411371324 -174.860690359964 -483.732483036499</f>
        <v>-1222.5775847677869</v>
      </c>
      <c r="H351">
        <f>-548.298105468316 -178.18227405987 -607.278949095762</f>
        <v>-1333.759328623948</v>
      </c>
      <c r="I351">
        <f>-511.095822605756 -175.752559614411 -681.542723884954</f>
        <v>-1368.3911061051208</v>
      </c>
      <c r="J351">
        <f>-556.628099391301 -149.063892316524 -553.836991202238</f>
        <v>-1259.528982910063</v>
      </c>
      <c r="K351">
        <f>-564.216798796341 -12.5125067271256 -539.892717114668</f>
        <v>-1116.6220226381347</v>
      </c>
      <c r="L351" t="s">
        <v>2711</v>
      </c>
      <c r="M351" t="s">
        <v>2712</v>
      </c>
      <c r="N351">
        <f>-553.773587395664 -204.37754788232 -551.98735231861</f>
        <v>-1310.1384875965939</v>
      </c>
      <c r="O351">
        <f>-557.176703550857 -338.170412964442 -520.605424813786</f>
        <v>-1415.9525413290851</v>
      </c>
      <c r="P351">
        <f>-605.275219406579 -395.249682346413 -235.965809155604</f>
        <v>-1236.4907109085962</v>
      </c>
      <c r="Q351">
        <f>-430.87897028031 -241.138887484809 -298.309146423081</f>
        <v>-970.32700418820014</v>
      </c>
      <c r="R351">
        <f>-560.995255857698 -61.4785073013716 -98.8136939042424</f>
        <v>-721.28745706331199</v>
      </c>
      <c r="S351" t="s">
        <v>2713</v>
      </c>
      <c r="T351" t="s">
        <v>2714</v>
      </c>
      <c r="U351" t="s">
        <v>2715</v>
      </c>
      <c r="V351">
        <f>-520.073453140851 -248.014269390626 -92.8763269535565</f>
        <v>-860.96404948503357</v>
      </c>
      <c r="W351" t="s">
        <v>2716</v>
      </c>
      <c r="X351" t="s">
        <v>2717</v>
      </c>
      <c r="Y351" t="s">
        <v>2718</v>
      </c>
    </row>
    <row r="352" spans="1:25" x14ac:dyDescent="0.3">
      <c r="A352">
        <v>17550</v>
      </c>
      <c r="B352" t="s">
        <v>2719</v>
      </c>
      <c r="C352">
        <f>-540.347187477383 -154.418305284463 -94.8346125431118</f>
        <v>-789.60010530495788</v>
      </c>
      <c r="D352">
        <f>-565.202331872367 -163.616453221159 -207.5902744394</f>
        <v>-936.40905953292599</v>
      </c>
      <c r="E352">
        <f>-571.008729775525 -168.417767478207 -305.925839338296</f>
        <v>-1045.352336592028</v>
      </c>
      <c r="F352">
        <f>-570.542169477175 -171.919242007862 -394.952630668286</f>
        <v>-1137.414042153323</v>
      </c>
      <c r="G352">
        <f>-563.989079911263 -174.723515596909 -483.763892492512</f>
        <v>-1222.4764880006842</v>
      </c>
      <c r="H352">
        <f>-548.450937692602 -178.090344585605 -607.327657771613</f>
        <v>-1333.8689400498201</v>
      </c>
      <c r="I352">
        <f>-511.314740152798 -175.679238031663 -681.625323463762</f>
        <v>-1368.619301648223</v>
      </c>
      <c r="J352">
        <f>-556.709534861836 -148.951887386173 -553.8856302149</f>
        <v>-1259.5470524629091</v>
      </c>
      <c r="K352">
        <f>-564.147421272094 -12.3834476666664 -540.07582117778</f>
        <v>-1116.6066901165404</v>
      </c>
      <c r="L352" t="s">
        <v>2720</v>
      </c>
      <c r="M352" t="s">
        <v>2721</v>
      </c>
      <c r="N352">
        <f>-553.867569732971 -204.26570845812 -552.021131495511</f>
        <v>-1310.1544096866019</v>
      </c>
      <c r="O352">
        <f>-557.246309183886 -338.05163748115 -520.601982394935</f>
        <v>-1415.8999290599709</v>
      </c>
      <c r="P352">
        <f>-605.383704990581 -394.855509036178 -235.913727171263</f>
        <v>-1236.1529411980221</v>
      </c>
      <c r="Q352">
        <f>-431.074041838463 -240.715205581605 -298.426057264822</f>
        <v>-970.21530468489004</v>
      </c>
      <c r="R352">
        <f>-560.94620008923 -61.1600942743237 -98.864111887276</f>
        <v>-720.97040625082968</v>
      </c>
      <c r="S352" t="s">
        <v>2722</v>
      </c>
      <c r="T352" t="s">
        <v>2723</v>
      </c>
      <c r="U352" t="s">
        <v>2724</v>
      </c>
      <c r="V352">
        <f>-519.976930116641 -247.739342382985 -92.8716273620306</f>
        <v>-860.58789986165664</v>
      </c>
      <c r="W352" t="s">
        <v>2725</v>
      </c>
      <c r="X352" t="s">
        <v>2726</v>
      </c>
      <c r="Y352" t="s">
        <v>2727</v>
      </c>
    </row>
    <row r="353" spans="1:25" x14ac:dyDescent="0.3">
      <c r="A353">
        <v>17600</v>
      </c>
      <c r="B353" t="s">
        <v>2728</v>
      </c>
      <c r="C353">
        <f>-540.315129104247 -154.044482492826 -94.8518229074429</f>
        <v>-789.21143450451586</v>
      </c>
      <c r="D353">
        <f>-565.144402241836 -163.265953517384 -207.611240514022</f>
        <v>-936.02159627324204</v>
      </c>
      <c r="E353">
        <f>-570.981245974251 -168.099831187526 -305.943480441479</f>
        <v>-1045.024557603256</v>
      </c>
      <c r="F353">
        <f>-570.564020921236 -171.634240327111 -394.969087861917</f>
        <v>-1137.167349110264</v>
      </c>
      <c r="G353">
        <f>-564.081918332929 -174.473839422197 -483.784459902278</f>
        <v>-1222.3402176574041</v>
      </c>
      <c r="H353">
        <f>-548.665237272367 -177.891202987761 -607.362174171096</f>
        <v>-1333.9186144312239</v>
      </c>
      <c r="I353">
        <f>-511.558148710878 -175.515780192874 -681.675545690957</f>
        <v>-1368.749474594709</v>
      </c>
      <c r="J353">
        <f>-556.879100409886 -148.731354154586 -553.924919934848</f>
        <v>-1259.5353744993199</v>
      </c>
      <c r="K353">
        <f>-564.238058612762 -12.1451456486943 -540.280437018197</f>
        <v>-1116.6636412796533</v>
      </c>
      <c r="L353" t="s">
        <v>2729</v>
      </c>
      <c r="M353" t="s">
        <v>2730</v>
      </c>
      <c r="N353">
        <f>-554.019550102156 -204.043387023324 -552.038598005951</f>
        <v>-1310.1015351314309</v>
      </c>
      <c r="O353">
        <f>-557.326552623455 -337.8468198686 -520.654150634078</f>
        <v>-1415.827523126133</v>
      </c>
      <c r="P353">
        <f>-605.491464007335 -394.512838238387 -235.943129929613</f>
        <v>-1235.9474321753351</v>
      </c>
      <c r="Q353">
        <f>-431.299957182004 -240.321858462906 -298.659054627581</f>
        <v>-970.28087027249092</v>
      </c>
      <c r="R353">
        <f>-560.957274876123 -60.7958881001214 -98.9018172801241</f>
        <v>-720.6549802563685</v>
      </c>
      <c r="S353" t="s">
        <v>2731</v>
      </c>
      <c r="T353" t="s">
        <v>2732</v>
      </c>
      <c r="U353" t="s">
        <v>2733</v>
      </c>
      <c r="V353">
        <f>-519.932870638454 -247.364100298819 -92.8563639004554</f>
        <v>-860.15333483772849</v>
      </c>
      <c r="W353" t="s">
        <v>2734</v>
      </c>
      <c r="X353" t="s">
        <v>2735</v>
      </c>
      <c r="Y353" t="s">
        <v>2736</v>
      </c>
    </row>
    <row r="354" spans="1:25" x14ac:dyDescent="0.3">
      <c r="A354">
        <v>17650</v>
      </c>
      <c r="B354" t="s">
        <v>2737</v>
      </c>
      <c r="C354">
        <f>-540.3118871841 -154.066133238495 -94.8507356493203</f>
        <v>-789.22875607191531</v>
      </c>
      <c r="D354">
        <f>-565.119400719845 -163.299351221613 -207.614108984191</f>
        <v>-936.03286092564895</v>
      </c>
      <c r="E354">
        <f>-570.965914270745 -168.141798167527 -305.945190923488</f>
        <v>-1045.0529033617599</v>
      </c>
      <c r="F354">
        <f>-570.568909641938 -171.683134696945 -394.970777947409</f>
        <v>-1137.2228222862921</v>
      </c>
      <c r="G354">
        <f>-564.118377077241 -174.528333519125 -483.788209042465</f>
        <v>-1222.4349196388309</v>
      </c>
      <c r="H354">
        <f>-548.757558393927 -177.952057246582 -607.372735300329</f>
        <v>-1334.0823509408378</v>
      </c>
      <c r="I354">
        <f>-511.663502620207 -175.596998373775 -681.693096069329</f>
        <v>-1368.953597063311</v>
      </c>
      <c r="J354">
        <f>-556.945015513062 -148.78926723574 -553.932932302864</f>
        <v>-1259.6672150516661</v>
      </c>
      <c r="K354">
        <f>-564.238894185789 -12.1859352487782 -540.364083600207</f>
        <v>-1116.7889130347742</v>
      </c>
      <c r="L354" t="s">
        <v>2738</v>
      </c>
      <c r="M354" t="s">
        <v>2739</v>
      </c>
      <c r="N354">
        <f>-554.089150098626 -204.101638579115 -552.045618083633</f>
        <v>-1310.2364067613739</v>
      </c>
      <c r="O354">
        <f>-557.390639559592 -337.901559643225 -520.691383466027</f>
        <v>-1415.9835826688441</v>
      </c>
      <c r="P354">
        <f>-605.50782125126 -394.613459545868 -235.981521391687</f>
        <v>-1236.1028021888151</v>
      </c>
      <c r="Q354">
        <f>-431.218656288149 -240.515749265531 -298.655696006154</f>
        <v>-970.39010155983408</v>
      </c>
      <c r="R354">
        <f>-560.918219579212 -60.8205852064427 -98.9073441233713</f>
        <v>-720.64614890902601</v>
      </c>
      <c r="S354" t="s">
        <v>2740</v>
      </c>
      <c r="T354" t="s">
        <v>2741</v>
      </c>
      <c r="U354" t="s">
        <v>2742</v>
      </c>
      <c r="V354">
        <f>-519.940065454617 -247.451153042576 -92.8439684911392</f>
        <v>-860.2351869883322</v>
      </c>
      <c r="W354" t="s">
        <v>2743</v>
      </c>
      <c r="X354" t="s">
        <v>2744</v>
      </c>
      <c r="Y354" t="s">
        <v>2745</v>
      </c>
    </row>
    <row r="355" spans="1:25" x14ac:dyDescent="0.3">
      <c r="A355">
        <v>17700</v>
      </c>
      <c r="B355" t="s">
        <v>2746</v>
      </c>
      <c r="C355">
        <f>-540.357971135852 -153.956426714245 -94.8544915256153</f>
        <v>-789.16888937571241</v>
      </c>
      <c r="D355">
        <f>-565.089523911075 -163.193188973331 -207.634116884006</f>
        <v>-935.91682976841207</v>
      </c>
      <c r="E355">
        <f>-570.941488758536 -168.0374136235 -305.964964943802</f>
        <v>-1044.943867325838</v>
      </c>
      <c r="F355">
        <f>-570.578042270653 -171.577957950202 -394.990620514078</f>
        <v>-1137.1466207349331</v>
      </c>
      <c r="G355">
        <f>-564.189651406076 -174.419497716577 -483.812689513421</f>
        <v>-1222.421838636074</v>
      </c>
      <c r="H355">
        <f>-548.944853133861 -177.833814550529 -607.411840728479</f>
        <v>-1334.1905084128689</v>
      </c>
      <c r="I355">
        <f>-511.888350529045 -175.493070508916 -681.751432818209</f>
        <v>-1369.13285385617</v>
      </c>
      <c r="J355">
        <f>-557.072520422816 -148.674513190364 -553.960968386261</f>
        <v>-1259.708001999441</v>
      </c>
      <c r="K355">
        <f>-564.208782010612 -12.0477177170674 -540.571452894218</f>
        <v>-1116.8279526218976</v>
      </c>
      <c r="L355" t="s">
        <v>2747</v>
      </c>
      <c r="M355" t="s">
        <v>2748</v>
      </c>
      <c r="N355">
        <f>-554.234141003393 -203.988086335151 -552.082910498258</f>
        <v>-1310.305137836802</v>
      </c>
      <c r="O355">
        <f>-557.527115930656 -337.80071718856 -520.770815625404</f>
        <v>-1416.0986487446198</v>
      </c>
      <c r="P355">
        <f>-605.409945622783 -394.636018995042 -236.046092168159</f>
        <v>-1236.0920567859839</v>
      </c>
      <c r="Q355">
        <f>-431.187431544348 -240.404219528902 -298.575326944585</f>
        <v>-970.16697801783494</v>
      </c>
      <c r="R355">
        <f>-560.931326848995 -60.6705712153248 -98.9400550452968</f>
        <v>-720.54195310961666</v>
      </c>
      <c r="S355" t="s">
        <v>2749</v>
      </c>
      <c r="T355" t="s">
        <v>2750</v>
      </c>
      <c r="U355" t="s">
        <v>2751</v>
      </c>
      <c r="V355">
        <f>-520.015313314825 -247.313380938627 -92.8354166973155</f>
        <v>-860.16411095076751</v>
      </c>
      <c r="W355" t="s">
        <v>2752</v>
      </c>
      <c r="X355" t="s">
        <v>2753</v>
      </c>
      <c r="Y355" t="s">
        <v>2754</v>
      </c>
    </row>
    <row r="356" spans="1:25" x14ac:dyDescent="0.3">
      <c r="A356">
        <v>17750</v>
      </c>
      <c r="B356" t="s">
        <v>2755</v>
      </c>
      <c r="C356">
        <f>-540.38876254389 -153.94086850544 -94.8608208243191</f>
        <v>-789.19045187364918</v>
      </c>
      <c r="D356">
        <f>-565.07093126357 -163.156310360557 -207.653016570095</f>
        <v>-935.88025819422194</v>
      </c>
      <c r="E356">
        <f>-570.906426378532 -167.987749125187 -305.985363160654</f>
        <v>-1044.8795386643731</v>
      </c>
      <c r="F356">
        <f>-570.539074359824 -171.517412520529 -395.011665189723</f>
        <v>-1137.0681520700759</v>
      </c>
      <c r="G356">
        <f>-564.15770801766 -174.348080809043 -483.834487218554</f>
        <v>-1222.340276045257</v>
      </c>
      <c r="H356">
        <f>-548.934471000659 -177.746448069283 -607.436695466634</f>
        <v>-1334.117614536576</v>
      </c>
      <c r="I356">
        <f>-511.895840790633 -175.390397656762 -681.784711575149</f>
        <v>-1369.0709500225439</v>
      </c>
      <c r="J356">
        <f>-557.053477556062 -148.594136566371 -553.980823505404</f>
        <v>-1259.628437627837</v>
      </c>
      <c r="K356">
        <f>-564.165246965479 -11.9602211678246 -540.65697147697</f>
        <v>-1116.7824396102737</v>
      </c>
      <c r="L356" t="s">
        <v>2756</v>
      </c>
      <c r="M356" t="s">
        <v>2757</v>
      </c>
      <c r="N356">
        <f>-554.213496468677 -203.90770869141 -552.110152478082</f>
        <v>-1310.2313576381689</v>
      </c>
      <c r="O356">
        <f>-557.489375168246 -337.736965051301 -520.839668537397</f>
        <v>-1416.066008756944</v>
      </c>
      <c r="P356">
        <f>-605.574075932904 -394.55115923318 -236.144694292242</f>
        <v>-1236.269929458326</v>
      </c>
      <c r="Q356">
        <f>-431.217135290698 -240.4053362732 -298.51121628183</f>
        <v>-970.13368784572799</v>
      </c>
      <c r="R356">
        <f>-560.918287981461 -60.6703533057475 -98.9512679172988</f>
        <v>-720.53990920450735</v>
      </c>
      <c r="S356" t="s">
        <v>2758</v>
      </c>
      <c r="T356" t="s">
        <v>2759</v>
      </c>
      <c r="U356" t="s">
        <v>2760</v>
      </c>
      <c r="V356">
        <f>-520.100690141581 -247.276223854502 -92.8360284912102</f>
        <v>-860.21294248729316</v>
      </c>
      <c r="W356" t="s">
        <v>2761</v>
      </c>
      <c r="X356" t="s">
        <v>2762</v>
      </c>
      <c r="Y356" t="s">
        <v>2763</v>
      </c>
    </row>
    <row r="357" spans="1:25" x14ac:dyDescent="0.3">
      <c r="A357">
        <v>17800</v>
      </c>
      <c r="B357" t="s">
        <v>2764</v>
      </c>
      <c r="C357">
        <f>-540.484562827614 -153.792608478376 -94.8714780777946</f>
        <v>-789.14864938378457</v>
      </c>
      <c r="D357">
        <f>-565.055063418458 -162.985516573539 -207.689996311125</f>
        <v>-935.73057630312201</v>
      </c>
      <c r="E357">
        <f>-570.837832468478 -167.761173747521 -306.02823501834</f>
        <v>-1044.627241234339</v>
      </c>
      <c r="F357">
        <f>-570.43980519288 -171.22610851337 -395.056700360984</f>
        <v>-1136.7226140672342</v>
      </c>
      <c r="G357">
        <f>-564.044374546549 -173.978089172276 -483.881079502034</f>
        <v>-1221.9035432208589</v>
      </c>
      <c r="H357">
        <f>-548.817747028869 -177.252431081158 -607.486311773957</f>
        <v>-1333.5564898839839</v>
      </c>
      <c r="I357">
        <f>-511.786975509387 -174.816094092831 -681.83552452818</f>
        <v>-1368.4385941303981</v>
      </c>
      <c r="J357">
        <f>-556.921819196182 -148.152910256866 -553.999249811746</f>
        <v>-1259.0739792647942</v>
      </c>
      <c r="K357">
        <f>-563.851941169833 -11.5120380260316 -540.686924254252</f>
        <v>-1116.0509034501165</v>
      </c>
      <c r="L357" t="s">
        <v>2765</v>
      </c>
      <c r="M357" t="s">
        <v>2766</v>
      </c>
      <c r="N357">
        <f>-554.114462605445 -203.470143430504 -552.18807346534</f>
        <v>-1309.7726795012891</v>
      </c>
      <c r="O357">
        <f>-557.430386515758 -337.346212717543 -521.116279807631</f>
        <v>-1415.8928790409318</v>
      </c>
      <c r="P357">
        <f>-606.37875989087 -394.768579940647 -236.690651976036</f>
        <v>-1237.837991807553</v>
      </c>
      <c r="Q357">
        <f>-431.579732039408 -240.808923496407 -298.274632407231</f>
        <v>-970.66328794304604</v>
      </c>
      <c r="R357">
        <f>-560.976557566954 -60.5885032273761 -98.9635702715814</f>
        <v>-720.52863106591155</v>
      </c>
      <c r="S357" t="s">
        <v>2767</v>
      </c>
      <c r="T357" t="s">
        <v>2768</v>
      </c>
      <c r="U357" t="s">
        <v>2769</v>
      </c>
      <c r="V357">
        <f>-520.214063701855 -247.09689636398 -92.8346120002728</f>
        <v>-860.14557206610789</v>
      </c>
      <c r="W357" t="s">
        <v>2770</v>
      </c>
      <c r="X357" t="s">
        <v>2771</v>
      </c>
      <c r="Y357" t="s">
        <v>2772</v>
      </c>
    </row>
    <row r="358" spans="1:25" x14ac:dyDescent="0.3">
      <c r="A358">
        <v>17850</v>
      </c>
      <c r="B358" t="s">
        <v>2773</v>
      </c>
      <c r="C358">
        <f>-540.526829740232 -153.795991178469 -94.8809759827786</f>
        <v>-789.20379690147956</v>
      </c>
      <c r="D358">
        <f>-565.034088394995 -163.011539339951 -207.711353478958</f>
        <v>-935.75698121390406</v>
      </c>
      <c r="E358">
        <f>-570.788054370201 -167.74527474448 -306.053332576146</f>
        <v>-1044.586661690827</v>
      </c>
      <c r="F358">
        <f>-570.37296206375 -171.147678425095 -395.084165097371</f>
        <v>-1136.6048055862161</v>
      </c>
      <c r="G358">
        <f>-563.968772720186 -173.812597733706 -483.910609105213</f>
        <v>-1221.6919795591052</v>
      </c>
      <c r="H358">
        <f>-548.737779675706 -176.939941564912 -607.518971561116</f>
        <v>-1333.1966928017341</v>
      </c>
      <c r="I358">
        <f>-511.691686238859 -174.427170113284 -681.858000975662</f>
        <v>-1367.976857327805</v>
      </c>
      <c r="J358">
        <f>-556.837571296579 -147.903820428846 -553.997033807973</f>
        <v>-1258.738425533398</v>
      </c>
      <c r="K358">
        <f>-563.677307792004 -11.2662228309312 -540.63940286324</f>
        <v>-1115.5829334861751</v>
      </c>
      <c r="L358" t="s">
        <v>2774</v>
      </c>
      <c r="M358" t="s">
        <v>2775</v>
      </c>
      <c r="N358">
        <f>-554.042874357942 -203.223870088916 -552.253156888499</f>
        <v>-1309.519901335357</v>
      </c>
      <c r="O358">
        <f>-557.393214670336 -337.144866362601 -521.371377013664</f>
        <v>-1415.909458046601</v>
      </c>
      <c r="P358">
        <f>-607.436698319662 -394.750702660072 -237.173513514739</f>
        <v>-1239.360914494473</v>
      </c>
      <c r="Q358">
        <f>-431.61148919046 -241.77318736444 -298.281872207341</f>
        <v>-971.66654876224106</v>
      </c>
      <c r="R358">
        <f>-561.002180397799 -60.6122929268513 -98.9978932668522</f>
        <v>-720.61236659150245</v>
      </c>
      <c r="S358" t="s">
        <v>2776</v>
      </c>
      <c r="T358" t="s">
        <v>2777</v>
      </c>
      <c r="U358" t="s">
        <v>2778</v>
      </c>
      <c r="V358">
        <f>-520.256336764041 -247.133320080877 -92.8318791478857</f>
        <v>-860.22153599280364</v>
      </c>
      <c r="W358" t="s">
        <v>2779</v>
      </c>
      <c r="X358" t="s">
        <v>2780</v>
      </c>
      <c r="Y358" t="s">
        <v>2781</v>
      </c>
    </row>
    <row r="359" spans="1:25" x14ac:dyDescent="0.3">
      <c r="A359">
        <v>17900</v>
      </c>
      <c r="B359" t="s">
        <v>2782</v>
      </c>
      <c r="C359">
        <f>-540.447995253821 -154.019928373785 -94.9032499011261</f>
        <v>-789.37117352873202</v>
      </c>
      <c r="D359">
        <f>-564.861101498085 -163.231279714716 -207.754430584777</f>
        <v>-935.84681179757797</v>
      </c>
      <c r="E359">
        <f>-570.560765865687 -167.797602528478 -306.107403453046</f>
        <v>-1044.465771847211</v>
      </c>
      <c r="F359">
        <f>-570.103921173015 -170.983011470206 -395.146091857</f>
        <v>-1136.2330245002208</v>
      </c>
      <c r="G359">
        <f>-563.663160410974 -173.365417224752 -483.97777819232</f>
        <v>-1221.006355828046</v>
      </c>
      <c r="H359">
        <f>-548.384680024922 -176.029943131413 -607.591278786306</f>
        <v>-1332.005901942641</v>
      </c>
      <c r="I359">
        <f>-511.320195461422 -173.270604083901 -681.912533859723</f>
        <v>-1366.5033334050459</v>
      </c>
      <c r="J359">
        <f>-556.499615391331 -147.194062175435 -553.963490655845</f>
        <v>-1257.6571682226108</v>
      </c>
      <c r="K359">
        <f>-563.27134541722 -10.5605103130595 -540.426942601731</f>
        <v>-1114.2587983320104</v>
      </c>
      <c r="L359" t="s">
        <v>2783</v>
      </c>
      <c r="M359" t="s">
        <v>2784</v>
      </c>
      <c r="N359">
        <f>-553.716254791681 -202.52084348669 -552.426761252324</f>
        <v>-1308.6638595306949</v>
      </c>
      <c r="O359">
        <f>-557.317480494808 -336.538315745738 -522.047997945021</f>
        <v>-1415.903794185567</v>
      </c>
      <c r="P359">
        <f>-610.998612223561 -394.111683875783 -238.508099481611</f>
        <v>-1243.6183955809552</v>
      </c>
      <c r="Q359">
        <f>-432.087680817321 -243.555684494873 -296.599641136816</f>
        <v>-972.24300644900995</v>
      </c>
      <c r="R359">
        <f>-560.944844032329 -60.8647478790592 -99.0639268349858</f>
        <v>-720.87351874637397</v>
      </c>
      <c r="S359" t="s">
        <v>2785</v>
      </c>
      <c r="T359" t="s">
        <v>2786</v>
      </c>
      <c r="U359" t="s">
        <v>2787</v>
      </c>
      <c r="V359">
        <f>-520.164345676715 -247.307478511857 -92.8349961123704</f>
        <v>-860.30682030094238</v>
      </c>
      <c r="W359" t="s">
        <v>2788</v>
      </c>
      <c r="X359" t="s">
        <v>2789</v>
      </c>
      <c r="Y359" t="s">
        <v>2790</v>
      </c>
    </row>
    <row r="360" spans="1:25" x14ac:dyDescent="0.3">
      <c r="A360">
        <v>17950</v>
      </c>
      <c r="B360" t="s">
        <v>2791</v>
      </c>
      <c r="C360">
        <f>-540.330627187423 -154.178231569351 -94.9153380744774</f>
        <v>-789.42419683125149</v>
      </c>
      <c r="D360">
        <f>-564.668980297433 -163.410502598343 -207.780838238135</f>
        <v>-935.86032113391093</v>
      </c>
      <c r="E360">
        <f>-570.329716384315 -167.904675143658 -306.139376327494</f>
        <v>-1044.3737678554671</v>
      </c>
      <c r="F360">
        <f>-569.84614034091 -170.987561470609 -395.181501594376</f>
        <v>-1136.0152034058949</v>
      </c>
      <c r="G360">
        <f>-563.385987381208 -173.229980959833 -484.015572378571</f>
        <v>-1220.6315407196121</v>
      </c>
      <c r="H360">
        <f>-548.087194477494 -175.659493069505 -607.631365788255</f>
        <v>-1331.3780533352542</v>
      </c>
      <c r="I360">
        <f>-511.026387807031 -172.778079618795 -681.949852119211</f>
        <v>-1365.7543195450371</v>
      </c>
      <c r="J360">
        <f>-556.205516161215 -146.925222843858 -553.949418340252</f>
        <v>-1257.080157345325</v>
      </c>
      <c r="K360">
        <f>-562.946388768703 -10.292169927018 -540.288945014887</f>
        <v>-1113.527503710608</v>
      </c>
      <c r="L360" t="s">
        <v>2792</v>
      </c>
      <c r="M360" t="s">
        <v>2793</v>
      </c>
      <c r="N360">
        <f>-553.43343894292 -202.255431078192 -552.518875160414</f>
        <v>-1308.2077451815262</v>
      </c>
      <c r="O360">
        <f>-557.22368971661 -336.336553005614 -522.488844184884</f>
        <v>-1416.0490869071082</v>
      </c>
      <c r="P360">
        <f>-613.188061302268 -394.65357112331 -239.543043606747</f>
        <v>-1247.3846760323249</v>
      </c>
      <c r="Q360">
        <f>-432.883782755506 -244.713404855629 -294.852817975064</f>
        <v>-972.45000558619904</v>
      </c>
      <c r="R360">
        <f>-560.841818759862 -60.9914005802668 -99.1061597873241</f>
        <v>-720.93937912745298</v>
      </c>
      <c r="S360" t="s">
        <v>2794</v>
      </c>
      <c r="T360" t="s">
        <v>2795</v>
      </c>
      <c r="U360" t="s">
        <v>2796</v>
      </c>
      <c r="V360">
        <f>-519.982529672722 -247.479642922399 -92.8303041562962</f>
        <v>-860.2924767514171</v>
      </c>
      <c r="W360" t="s">
        <v>2797</v>
      </c>
      <c r="X360" t="s">
        <v>2798</v>
      </c>
      <c r="Y360" t="s">
        <v>2799</v>
      </c>
    </row>
    <row r="361" spans="1:25" x14ac:dyDescent="0.3">
      <c r="A361">
        <v>18000</v>
      </c>
      <c r="B361" t="s">
        <v>2800</v>
      </c>
      <c r="C361">
        <f>-540.127073395804 -154.406222906551 -95.0120640998515</f>
        <v>-789.54536040220648</v>
      </c>
      <c r="D361">
        <f>-564.394740596275 -163.60008917501 -207.896122213111</f>
        <v>-935.890951984396</v>
      </c>
      <c r="E361">
        <f>-569.98995482992 -167.856271248055 -306.268990910168</f>
        <v>-1044.1152169881429</v>
      </c>
      <c r="F361">
        <f>-569.441677923566 -170.639340418729 -395.320696183991</f>
        <v>-1135.401714526286</v>
      </c>
      <c r="G361">
        <f>-562.908922320628 -172.497509674133 -484.158131599531</f>
        <v>-1219.5645635942919</v>
      </c>
      <c r="H361">
        <f>-547.498422976378 -174.300807960499 -607.770756418371</f>
        <v>-1329.569987355248</v>
      </c>
      <c r="I361">
        <f>-510.430233426602 -171.096506936922 -682.072213804835</f>
        <v>-1363.5989541683589</v>
      </c>
      <c r="J361">
        <f>-555.662308768325 -145.838553429298 -553.950942134477</f>
        <v>-1255.4518043321</v>
      </c>
      <c r="K361">
        <f>-562.361515456689 -9.26878960983277 -539.932511078567</f>
        <v>-1111.5628161450886</v>
      </c>
      <c r="L361" t="s">
        <v>2801</v>
      </c>
      <c r="M361" t="s">
        <v>2802</v>
      </c>
      <c r="N361">
        <f>-552.897278055355 -201.175708147065 -552.798922739152</f>
        <v>-1306.871908941572</v>
      </c>
      <c r="O361">
        <f>-557.188810741491 -335.482639879383 -523.763143544441</f>
        <v>-1416.434594165315</v>
      </c>
      <c r="P361">
        <f>-616.971637072135 -395.24909372275 -241.902966724218</f>
        <v>-1254.123697519103</v>
      </c>
      <c r="Q361">
        <f>-433.541476215416 -247.650880199394 -293.0788684313</f>
        <v>-974.27122484611004</v>
      </c>
      <c r="R361">
        <f>-560.636004094192 -61.1941030427745 -99.1857437212715</f>
        <v>-721.01585085823797</v>
      </c>
      <c r="S361" t="s">
        <v>2803</v>
      </c>
      <c r="T361" t="s">
        <v>2804</v>
      </c>
      <c r="U361" t="s">
        <v>2805</v>
      </c>
      <c r="V361">
        <f>-519.930388152504 -247.679704632354 -92.902322484669</f>
        <v>-860.51241526952685</v>
      </c>
      <c r="W361" t="s">
        <v>2806</v>
      </c>
      <c r="X361" t="s">
        <v>2807</v>
      </c>
      <c r="Y361" t="s">
        <v>2808</v>
      </c>
    </row>
    <row r="362" spans="1:25" x14ac:dyDescent="0.3">
      <c r="A362">
        <v>18050</v>
      </c>
      <c r="B362" t="s">
        <v>2809</v>
      </c>
      <c r="C362">
        <f>-540.124691182745 -154.782003343037 -95.0509298155117</f>
        <v>-789.95762434129369</v>
      </c>
      <c r="D362">
        <f>-564.379747498092 -163.892096485458 -207.944254725548</f>
        <v>-936.21609870909811</v>
      </c>
      <c r="E362">
        <f>-569.991149491298 -167.958092685576 -306.324377349106</f>
        <v>-1044.2736195259799</v>
      </c>
      <c r="F362">
        <f>-569.465869909389 -170.520209497796 -395.382872234879</f>
        <v>-1135.3689516420641</v>
      </c>
      <c r="G362">
        <f>-562.963241008796 -172.107637416102 -484.227819240743</f>
        <v>-1219.2986976656409</v>
      </c>
      <c r="H362">
        <f>-547.600680884709 -173.480434331449 -607.85184423712</f>
        <v>-1328.932959453278</v>
      </c>
      <c r="I362">
        <f>-510.550917996409 -170.093038384694 -682.154439515941</f>
        <v>-1362.798395897044</v>
      </c>
      <c r="J362">
        <f>-555.742846161661 -145.205909567173 -553.930094553387</f>
        <v>-1254.8788502822208</v>
      </c>
      <c r="K362">
        <f>-562.362560177155 -8.64208041930124 -539.675554305561</f>
        <v>-1110.6801949020173</v>
      </c>
      <c r="L362" t="s">
        <v>2810</v>
      </c>
      <c r="M362" t="s">
        <v>2811</v>
      </c>
      <c r="N362">
        <f>-552.979221171787 -200.546867397925 -552.972079057794</f>
        <v>-1306.4981676275061</v>
      </c>
      <c r="O362">
        <f>-557.522758660056 -334.936213966233 -524.449639434323</f>
        <v>-1416.9086120606121</v>
      </c>
      <c r="P362">
        <f>-618.65396005546 -394.900339106949 -242.920681567968</f>
        <v>-1256.474980730377</v>
      </c>
      <c r="Q362">
        <f>-433.667145970441 -249.146538402355 -293.77874926807</f>
        <v>-976.59243364086603</v>
      </c>
      <c r="R362">
        <f>-560.522417036171 -61.5097726959268 -99.1859163390076</f>
        <v>-721.21810607110535</v>
      </c>
      <c r="S362" t="s">
        <v>2812</v>
      </c>
      <c r="T362" t="s">
        <v>2813</v>
      </c>
      <c r="U362" t="s">
        <v>2814</v>
      </c>
      <c r="V362">
        <f>-520.029858466575 -248.129668600092 -92.9579330265669</f>
        <v>-861.11746009323394</v>
      </c>
      <c r="W362" t="s">
        <v>2815</v>
      </c>
      <c r="X362" t="s">
        <v>2816</v>
      </c>
      <c r="Y362" t="s">
        <v>2817</v>
      </c>
    </row>
    <row r="363" spans="1:25" x14ac:dyDescent="0.3">
      <c r="A363">
        <v>18100</v>
      </c>
      <c r="B363" t="s">
        <v>2818</v>
      </c>
      <c r="C363">
        <f>-540.143288187389 -155.02756887973 -95.0687214252289</f>
        <v>-790.23957849234785</v>
      </c>
      <c r="D363">
        <f>-564.366364617141 -164.055217088366 -207.975561853029</f>
        <v>-936.39714355853607</v>
      </c>
      <c r="E363">
        <f>-570.008384472687 -167.935795793268 -306.361462504784</f>
        <v>-1044.305642770739</v>
      </c>
      <c r="F363">
        <f>-569.532143655149 -170.282180064077 -395.426076166251</f>
        <v>-1135.240399885477</v>
      </c>
      <c r="G363">
        <f>-563.097973611356 -171.605865895257 -484.280323366074</f>
        <v>-1218.984162872687</v>
      </c>
      <c r="H363">
        <f>-547.849831560035 -172.558732894934 -607.922575480732</f>
        <v>-1328.331139935701</v>
      </c>
      <c r="I363">
        <f>-510.827993172611 -168.990352312652 -682.230568141114</f>
        <v>-1362.0489136263768</v>
      </c>
      <c r="J363">
        <f>-555.938581833734 -144.467461443699 -553.897052632308</f>
        <v>-1254.3030959097409</v>
      </c>
      <c r="K363">
        <f>-562.481906712072 -7.92764544595821 -539.366144535123</f>
        <v>-1109.7756966931533</v>
      </c>
      <c r="L363" t="s">
        <v>2819</v>
      </c>
      <c r="M363" t="s">
        <v>2820</v>
      </c>
      <c r="N363">
        <f>-553.18098693746 -199.811440114073 -553.130454923315</f>
        <v>-1306.122881974848</v>
      </c>
      <c r="O363">
        <f>-557.996709604146 -334.291337870479 -525.063392491164</f>
        <v>-1417.351439965789</v>
      </c>
      <c r="P363">
        <f>-619.90745355716 -393.797431661624 -243.607691458118</f>
        <v>-1257.3125766769022</v>
      </c>
      <c r="Q363">
        <f>-433.462251593928 -250.181679201281 -295.217893397288</f>
        <v>-978.86182419249701</v>
      </c>
      <c r="R363">
        <f>-560.458019832166 -61.7788894210958 -99.1639416264217</f>
        <v>-721.40085087968339</v>
      </c>
      <c r="S363" t="s">
        <v>2821</v>
      </c>
      <c r="T363" t="s">
        <v>2822</v>
      </c>
      <c r="U363" t="s">
        <v>2823</v>
      </c>
      <c r="V363">
        <f>-520.104211546195 -248.34922619935 -93.0009246034117</f>
        <v>-861.45436234895669</v>
      </c>
      <c r="W363" t="s">
        <v>2824</v>
      </c>
      <c r="X363" t="s">
        <v>2825</v>
      </c>
      <c r="Y363" t="s">
        <v>2826</v>
      </c>
    </row>
    <row r="364" spans="1:25" x14ac:dyDescent="0.3">
      <c r="A364">
        <v>18150</v>
      </c>
      <c r="B364" t="s">
        <v>2827</v>
      </c>
      <c r="C364">
        <f>-540.196350984788 -155.703960107909 -95.0184047040428</f>
        <v>-790.91871579673978</v>
      </c>
      <c r="D364">
        <f>-564.449074294335 -164.55040313793 -207.933336789233</f>
        <v>-936.93281422149789</v>
      </c>
      <c r="E364">
        <f>-570.236829961231 -168.125057393266 -306.322224267056</f>
        <v>-1044.684111621553</v>
      </c>
      <c r="F364">
        <f>-569.93846990862 -170.126993815745 -395.396117572804</f>
        <v>-1135.461581297169</v>
      </c>
      <c r="G364">
        <f>-563.726307939368 -171.035235450973 -484.271320705746</f>
        <v>-1219.032864096087</v>
      </c>
      <c r="H364">
        <f>-548.831710306563 -171.33015554141 -607.960044443335</f>
        <v>-1328.121910291308</v>
      </c>
      <c r="I364">
        <f>-511.907869990335 -167.474410065352 -682.302417671339</f>
        <v>-1361.6846977270261</v>
      </c>
      <c r="J364">
        <f>-556.757021655165 -143.526260582631 -553.761796895888</f>
        <v>-1254.0450791336839</v>
      </c>
      <c r="K364">
        <f>-563.084687071675 -7.020149331938 -538.725784792956</f>
        <v>-1108.8306211965692</v>
      </c>
      <c r="L364" t="s">
        <v>2828</v>
      </c>
      <c r="M364" t="s">
        <v>2829</v>
      </c>
      <c r="N364">
        <f>-554.015019079936 -198.874473387878 -553.299637341846</f>
        <v>-1306.18912980966</v>
      </c>
      <c r="O364">
        <f>-559.269619839216 -333.478805144545 -525.914421934336</f>
        <v>-1418.6628469180969</v>
      </c>
      <c r="P364">
        <f>-622.594416516957 -389.766924556587 -244.111672460004</f>
        <v>-1256.4730135335481</v>
      </c>
      <c r="Q364">
        <f>-432.344445125333 -252.038837427115 -297.840953537034</f>
        <v>-982.22423608948202</v>
      </c>
      <c r="R364">
        <f>-560.258827990647 -62.3127866709287 -99.0410630853328</f>
        <v>-721.6126777469085</v>
      </c>
      <c r="S364" t="s">
        <v>2830</v>
      </c>
      <c r="T364" t="s">
        <v>2831</v>
      </c>
      <c r="U364" t="s">
        <v>2832</v>
      </c>
      <c r="V364">
        <f>-520.438828077489 -249.18261726575 -93.0371255345028</f>
        <v>-862.65857087774179</v>
      </c>
      <c r="W364" t="s">
        <v>2833</v>
      </c>
      <c r="X364" t="s">
        <v>2834</v>
      </c>
      <c r="Y364" t="s">
        <v>2835</v>
      </c>
    </row>
    <row r="365" spans="1:25" x14ac:dyDescent="0.3">
      <c r="A365">
        <v>18200</v>
      </c>
      <c r="B365" t="s">
        <v>2836</v>
      </c>
      <c r="C365">
        <f>-540.146424565621 -156.390451475625 -94.9065008287711</f>
        <v>-791.44337687001712</v>
      </c>
      <c r="D365">
        <f>-564.426238238299 -165.104321375698 -207.825799791846</f>
        <v>-937.35635940584302</v>
      </c>
      <c r="E365">
        <f>-570.290559338299 -168.486515384734 -306.217076806367</f>
        <v>-1044.9941515293999</v>
      </c>
      <c r="F365">
        <f>-570.081955426141 -170.27889407108 -395.29551538111</f>
        <v>-1135.656364878331</v>
      </c>
      <c r="G365">
        <f>-563.978392955716 -170.941346690595 -484.18062144354</f>
        <v>-1219.100361089851</v>
      </c>
      <c r="H365">
        <f>-549.254423935629 -170.852976298624 -607.889967504191</f>
        <v>-1327.9973677384439</v>
      </c>
      <c r="I365">
        <f>-512.40190714136 -166.8295323568 -682.258745176353</f>
        <v>-1361.4901846745129</v>
      </c>
      <c r="J365">
        <f>-557.068591508718 -143.21538443106 -553.590744314288</f>
        <v>-1253.874720254066</v>
      </c>
      <c r="K365">
        <f>-563.117365687159 -6.74012163604834 -538.247275082179</f>
        <v>-1108.1047624053863</v>
      </c>
      <c r="L365" t="s">
        <v>2837</v>
      </c>
      <c r="M365" t="s">
        <v>2838</v>
      </c>
      <c r="N365">
        <f>-554.398841557068 -198.568347056028 -553.312514750556</f>
        <v>-1306.2797033636521</v>
      </c>
      <c r="O365">
        <f>-560.055381426231 -333.245309412007 -526.344002823414</f>
        <v>-1419.6446936616519</v>
      </c>
      <c r="P365">
        <f>-624.648272023784 -386.774734706449 -244.291580467329</f>
        <v>-1255.714587197562</v>
      </c>
      <c r="Q365">
        <f>-432.37533544237 -252.098570624074 -298.552931351125</f>
        <v>-983.02683741756891</v>
      </c>
      <c r="R365">
        <f>-559.915013184807 -62.9016920880263 -98.8821862818049</f>
        <v>-721.69889155463818</v>
      </c>
      <c r="S365" t="s">
        <v>2839</v>
      </c>
      <c r="T365" t="s">
        <v>2840</v>
      </c>
      <c r="U365" t="s">
        <v>2841</v>
      </c>
      <c r="V365">
        <f>-520.579744189434 -249.973199712333 -93.0146122503485</f>
        <v>-863.56755615211546</v>
      </c>
      <c r="W365" t="s">
        <v>2842</v>
      </c>
      <c r="X365" t="s">
        <v>2843</v>
      </c>
      <c r="Y365" t="s">
        <v>2844</v>
      </c>
    </row>
    <row r="366" spans="1:25" x14ac:dyDescent="0.3">
      <c r="A366">
        <v>18250</v>
      </c>
      <c r="B366" t="s">
        <v>2845</v>
      </c>
      <c r="C366">
        <f>-540.049970375963 -156.71475274621 -94.8818554670452</f>
        <v>-791.64657858921817</v>
      </c>
      <c r="D366">
        <f>-564.317794910415 -165.393402968782 -207.806526219205</f>
        <v>-937.51772409840203</v>
      </c>
      <c r="E366">
        <f>-570.176987910953 -168.729278716209 -306.199601877845</f>
        <v>-1045.105868505007</v>
      </c>
      <c r="F366">
        <f>-569.965802017387 -170.471626415477 -395.279107677895</f>
        <v>-1135.7165361107591</v>
      </c>
      <c r="G366">
        <f>-563.861590120464 -171.075488169554 -484.16456713478</f>
        <v>-1219.1016454247979</v>
      </c>
      <c r="H366">
        <f>-549.139082645398 -170.896151715129 -607.874005728033</f>
        <v>-1327.9092400885602</v>
      </c>
      <c r="I366">
        <f>-512.296282650953 -166.821348275395 -682.244919481381</f>
        <v>-1361.362550407729</v>
      </c>
      <c r="J366">
        <f>-556.939453615728 -143.297866663891 -553.552678994384</f>
        <v>-1253.7899992740031</v>
      </c>
      <c r="K366">
        <f>-562.882256873915 -6.82625941932156 -538.174214162702</f>
        <v>-1107.8827304559386</v>
      </c>
      <c r="L366" t="s">
        <v>2846</v>
      </c>
      <c r="M366" t="s">
        <v>2847</v>
      </c>
      <c r="N366">
        <f>-554.295962968006 -198.652365476865 -553.318457030216</f>
        <v>-1306.2667854750871</v>
      </c>
      <c r="O366">
        <f>-560.119103795787 -333.355525725891 -526.5030526977</f>
        <v>-1419.977682219378</v>
      </c>
      <c r="P366">
        <f>-625.521808583799 -385.855107224825 -244.443686569472</f>
        <v>-1255.8206023780961</v>
      </c>
      <c r="Q366">
        <f>-432.784846687509 -251.917516884467 -298.887104077732</f>
        <v>-983.58946764970801</v>
      </c>
      <c r="R366">
        <f>-559.715386191302 -63.1853807893935 -98.8427717623982</f>
        <v>-721.74353874309372</v>
      </c>
      <c r="S366" t="s">
        <v>2848</v>
      </c>
      <c r="T366" t="s">
        <v>2849</v>
      </c>
      <c r="U366" t="s">
        <v>2850</v>
      </c>
      <c r="V366">
        <f>-520.570086124354 -250.331409836894 -93.0090151941737</f>
        <v>-863.91051115542166</v>
      </c>
      <c r="W366" t="s">
        <v>2851</v>
      </c>
      <c r="X366" t="s">
        <v>2852</v>
      </c>
      <c r="Y366" t="s">
        <v>2853</v>
      </c>
    </row>
    <row r="367" spans="1:25" x14ac:dyDescent="0.3">
      <c r="A367">
        <v>18300</v>
      </c>
      <c r="B367" t="s">
        <v>2854</v>
      </c>
      <c r="C367">
        <f>-539.76133035229 -157.261593652938 -94.8787138531085</f>
        <v>-791.90163785833647</v>
      </c>
      <c r="D367">
        <f>-563.991516406895 -165.840019610434 -207.819120236121</f>
        <v>-937.65065625344994</v>
      </c>
      <c r="E367">
        <f>-569.779891203044 -169.102439894647 -306.218907291538</f>
        <v>-1045.1012383892289</v>
      </c>
      <c r="F367">
        <f>-569.489862562267 -170.782410499699 -395.299391923885</f>
        <v>-1135.5716649858512</v>
      </c>
      <c r="G367">
        <f>-563.29307546588 -171.327532273516 -484.178768218325</f>
        <v>-1218.7993759577209</v>
      </c>
      <c r="H367">
        <f>-548.426785577589 -171.06986481808 -607.870951288711</f>
        <v>-1327.3676016843801</v>
      </c>
      <c r="I367">
        <f>-511.575150587054 -166.953663541162 -682.235120414793</f>
        <v>-1360.7639345430089</v>
      </c>
      <c r="J367">
        <f>-556.27850038467 -143.505298592002 -553.539798634795</f>
        <v>-1253.323597611467</v>
      </c>
      <c r="K367">
        <f>-562.106015923595 -7.02362616260825 -538.203606295681</f>
        <v>-1107.3332483818842</v>
      </c>
      <c r="L367" t="s">
        <v>2855</v>
      </c>
      <c r="M367" t="s">
        <v>2856</v>
      </c>
      <c r="N367">
        <f>-553.658869426177 -198.861195094608 -553.34038573165</f>
        <v>-1305.8604502524349</v>
      </c>
      <c r="O367">
        <f>-559.875100141535 -333.603859209709 -526.817933645486</f>
        <v>-1420.2968929967301</v>
      </c>
      <c r="P367">
        <f>-627.137289220893 -383.862714509758 -244.787635929678</f>
        <v>-1255.787639660329</v>
      </c>
      <c r="Q367">
        <f>-433.175311572882 -252.661267510216 -301.496127241964</f>
        <v>-987.33270632506196</v>
      </c>
      <c r="R367">
        <f>-559.308321712576 -63.6944288535942 -98.7962459697106</f>
        <v>-721.79899653588086</v>
      </c>
      <c r="S367" t="s">
        <v>2857</v>
      </c>
      <c r="T367" t="s">
        <v>2858</v>
      </c>
      <c r="U367" t="s">
        <v>2859</v>
      </c>
      <c r="V367">
        <f>-520.418013098509 -250.903519998169 -93.0308467304528</f>
        <v>-864.3523798271309</v>
      </c>
      <c r="W367" t="s">
        <v>2860</v>
      </c>
      <c r="X367" t="s">
        <v>2861</v>
      </c>
      <c r="Y367" t="s">
        <v>2862</v>
      </c>
    </row>
    <row r="368" spans="1:25" x14ac:dyDescent="0.3">
      <c r="A368">
        <v>18350</v>
      </c>
      <c r="B368" t="s">
        <v>2863</v>
      </c>
      <c r="C368">
        <f>-539.747397712119 -157.364027480594 -94.8708353627076</f>
        <v>-791.98226055542057</v>
      </c>
      <c r="D368">
        <f>-563.951277224536 -165.939001527363 -207.817132476646</f>
        <v>-937.70741122854497</v>
      </c>
      <c r="E368">
        <f>-569.694673864726 -169.200121560714 -306.219500371619</f>
        <v>-1045.1142957970592</v>
      </c>
      <c r="F368">
        <f>-569.355369978769 -170.880866192878 -395.299855190115</f>
        <v>-1135.5360913617619</v>
      </c>
      <c r="G368">
        <f>-563.099971039053 -171.430410071249 -484.17506251641</f>
        <v>-1218.7054436267119</v>
      </c>
      <c r="H368">
        <f>-548.142679640295 -171.183173553183 -607.856242110891</f>
        <v>-1327.1820953043689</v>
      </c>
      <c r="I368">
        <f>-511.271182393131 -167.091685828376 -682.21207146116</f>
        <v>-1360.574939682667</v>
      </c>
      <c r="J368">
        <f>-556.014399947803 -143.613077120981 -553.530878839987</f>
        <v>-1253.158355908771</v>
      </c>
      <c r="K368">
        <f>-561.713228007893 -7.12202992582434 -538.226658417624</f>
        <v>-1107.0619163513413</v>
      </c>
      <c r="L368" t="s">
        <v>2864</v>
      </c>
      <c r="M368" t="s">
        <v>2865</v>
      </c>
      <c r="N368">
        <f>-553.434791686255 -198.97079327466 -553.3296564794</f>
        <v>-1305.7352414403149</v>
      </c>
      <c r="O368">
        <f>-559.83750849464 -333.719145577808 -526.89951598428</f>
        <v>-1420.4561700567281</v>
      </c>
      <c r="P368">
        <f>-627.642652211846 -383.508759326892 -244.916071924606</f>
        <v>-1256.0674834633439</v>
      </c>
      <c r="Q368">
        <f>-433.361285895902 -252.802307731945 -301.673733813945</f>
        <v>-987.8373274417919</v>
      </c>
      <c r="R368">
        <f>-559.297437158174 -63.7611388456385 -98.7858341779997</f>
        <v>-721.84441018181224</v>
      </c>
      <c r="S368" t="s">
        <v>2866</v>
      </c>
      <c r="T368" t="s">
        <v>2867</v>
      </c>
      <c r="U368" t="s">
        <v>2868</v>
      </c>
      <c r="V368">
        <f>-520.444404044013 -250.98094592343 -93.0196650183088</f>
        <v>-864.44501498575187</v>
      </c>
      <c r="W368" t="s">
        <v>2869</v>
      </c>
      <c r="X368" t="s">
        <v>2870</v>
      </c>
      <c r="Y368" t="s">
        <v>2871</v>
      </c>
    </row>
    <row r="369" spans="1:25" x14ac:dyDescent="0.3">
      <c r="A369">
        <v>18400</v>
      </c>
      <c r="B369" t="s">
        <v>2872</v>
      </c>
      <c r="C369">
        <f>-539.628997296991 -157.430031347595 -94.8746441689137</f>
        <v>-791.9336728134997</v>
      </c>
      <c r="D369">
        <f>-563.816943516422 -166.041359137073 -207.821649096388</f>
        <v>-937.679951749883</v>
      </c>
      <c r="E369">
        <f>-569.482124627718 -169.348589382472 -306.226968376599</f>
        <v>-1045.0576823867891</v>
      </c>
      <c r="F369">
        <f>-569.045585333961 -171.080547482677 -395.305927353965</f>
        <v>-1135.4320601706029</v>
      </c>
      <c r="G369">
        <f>-562.667247793032 -171.692999917128 -484.172043150723</f>
        <v>-1218.532290860883</v>
      </c>
      <c r="H369">
        <f>-547.511850970451 -171.548207456404 -607.829175944382</f>
        <v>-1326.8892343712369</v>
      </c>
      <c r="I369">
        <f>-510.566270933575 -167.615931907987 -682.156827355497</f>
        <v>-1360.3390301970589</v>
      </c>
      <c r="J369">
        <f>-555.427553657192 -143.931213156387 -553.534088171428</f>
        <v>-1252.892854985007</v>
      </c>
      <c r="K369">
        <f>-560.973434580594 -7.4195208410797 -538.272003898395</f>
        <v>-1106.6649593200686</v>
      </c>
      <c r="L369" t="s">
        <v>2873</v>
      </c>
      <c r="M369" t="s">
        <v>2874</v>
      </c>
      <c r="N369">
        <f>-552.93456867085 -199.292626757202 -553.293460911775</f>
        <v>-1305.5206563398269</v>
      </c>
      <c r="O369">
        <f>-559.69983713272 -334.02043606692 -526.860683593142</f>
        <v>-1420.5809567927818</v>
      </c>
      <c r="P369">
        <f>-629.77899201682 -383.998965429892 -245.467241551834</f>
        <v>-1259.2451989985459</v>
      </c>
      <c r="Q369">
        <f>-436.153618486318 -251.350227772362 -299.913293156378</f>
        <v>-987.41713941505805</v>
      </c>
      <c r="R369">
        <f>-559.281141557886 -63.7781428397886 -98.8131126989456</f>
        <v>-721.87239709662026</v>
      </c>
      <c r="S369" t="s">
        <v>2875</v>
      </c>
      <c r="T369" t="s">
        <v>2876</v>
      </c>
      <c r="U369" t="s">
        <v>2877</v>
      </c>
      <c r="V369">
        <f>-520.188978063515 -251.132753477906 -93.0232348323594</f>
        <v>-864.34496637378049</v>
      </c>
      <c r="W369" t="s">
        <v>2878</v>
      </c>
      <c r="X369" t="s">
        <v>2879</v>
      </c>
      <c r="Y369" t="s">
        <v>2880</v>
      </c>
    </row>
    <row r="370" spans="1:25" x14ac:dyDescent="0.3">
      <c r="A370">
        <v>18450</v>
      </c>
      <c r="B370" t="s">
        <v>2881</v>
      </c>
      <c r="C370">
        <f>-539.472783241077 -157.48873665929 -94.8897880346221</f>
        <v>-791.85130793498911</v>
      </c>
      <c r="D370">
        <f>-563.699824777377 -166.109626470847 -207.827618212876</f>
        <v>-937.63706946109994</v>
      </c>
      <c r="E370">
        <f>-569.334344168699 -169.486321296568 -306.23243528708</f>
        <v>-1045.0531007523471</v>
      </c>
      <c r="F370">
        <f>-568.84499616238 -171.308335247386 -395.309330533543</f>
        <v>-1135.4626619433091</v>
      </c>
      <c r="G370">
        <f>-562.389671171723 -172.040151163382 -484.168991297604</f>
        <v>-1218.5988136327089</v>
      </c>
      <c r="H370">
        <f>-547.102363460962 -172.094836273039 -607.809980146441</f>
        <v>-1327.007179880442</v>
      </c>
      <c r="I370">
        <f>-510.112353579307 -168.293501524443 -682.122303202834</f>
        <v>-1360.5281583065839</v>
      </c>
      <c r="J370">
        <f>-555.035608759572 -144.388442347287 -553.563012854824</f>
        <v>-1252.9870639616829</v>
      </c>
      <c r="K370">
        <f>-560.432743561772 -7.86259534944702 -538.35766559271</f>
        <v>-1106.653004503929</v>
      </c>
      <c r="L370" t="s">
        <v>2882</v>
      </c>
      <c r="M370" t="s">
        <v>2883</v>
      </c>
      <c r="N370">
        <f>-552.623510714325 -199.753057479333 -553.240185476295</f>
        <v>-1305.6167536699529</v>
      </c>
      <c r="O370">
        <f>-559.597636307357 -334.450957787181 -526.74708060644</f>
        <v>-1420.795674700978</v>
      </c>
      <c r="P370">
        <f>-630.565232239568 -384.645208301884 -245.614839124745</f>
        <v>-1260.825279666197</v>
      </c>
      <c r="Q370">
        <f>-437.276314005064 -250.749007235871 -298.170018148344</f>
        <v>-986.19533938927907</v>
      </c>
      <c r="R370">
        <f>-559.14608485409 -63.8729645904396 -98.8264523206034</f>
        <v>-721.84550176513289</v>
      </c>
      <c r="S370" t="s">
        <v>2884</v>
      </c>
      <c r="T370" t="s">
        <v>2885</v>
      </c>
      <c r="U370" t="s">
        <v>2886</v>
      </c>
      <c r="V370">
        <f>-519.997414577976 -251.141333980657 -93.0324681425917</f>
        <v>-864.17121670122469</v>
      </c>
      <c r="W370" t="s">
        <v>2887</v>
      </c>
      <c r="X370" t="s">
        <v>2888</v>
      </c>
      <c r="Y370" t="s">
        <v>2889</v>
      </c>
    </row>
    <row r="371" spans="1:25" x14ac:dyDescent="0.3">
      <c r="A371">
        <v>18500</v>
      </c>
      <c r="B371" t="s">
        <v>2890</v>
      </c>
      <c r="C371">
        <f>-539.324544932089 -157.531714374701 -94.8934299431875</f>
        <v>-791.74968924997745</v>
      </c>
      <c r="D371">
        <f>-563.701282898856 -166.266761158873 -207.790253620475</f>
        <v>-937.75829767820403</v>
      </c>
      <c r="E371">
        <f>-569.343301656417 -169.821333344225 -306.188267008513</f>
        <v>-1045.3529020091551</v>
      </c>
      <c r="F371">
        <f>-568.811769216054 -171.845057204672 -395.260612469276</f>
        <v>-1135.9174388900019</v>
      </c>
      <c r="G371">
        <f>-562.26572957624 -172.825673287437 -484.111138027921</f>
        <v>-1219.2025408915979</v>
      </c>
      <c r="H371">
        <f>-546.801903854543 -173.282472816634 -607.729540273804</f>
        <v>-1327.813916944981</v>
      </c>
      <c r="I371">
        <f>-509.722938308725 -169.793639022027 -682.012784410864</f>
        <v>-1361.529361741616</v>
      </c>
      <c r="J371">
        <f>-554.714844043947 -145.395539088886 -553.572117048828</f>
        <v>-1253.682500181661</v>
      </c>
      <c r="K371">
        <f>-559.754604190011 -8.85733506653128 -538.400940708353</f>
        <v>-1107.0128799648953</v>
      </c>
      <c r="L371" t="s">
        <v>2891</v>
      </c>
      <c r="M371" t="s">
        <v>2892</v>
      </c>
      <c r="N371">
        <f>-552.498654675102 -200.767328415792 -553.090275635741</f>
        <v>-1306.3562587266351</v>
      </c>
      <c r="O371">
        <f>-559.833314124575 -335.409917639715 -526.383835447722</f>
        <v>-1421.6270672120122</v>
      </c>
      <c r="P371">
        <f>-631.469743242842 -387.651473187204 -245.794770170723</f>
        <v>-1264.915986600769</v>
      </c>
      <c r="Q371">
        <f>-439.070742111429 -250.500630854956 -292.944628048618</f>
        <v>-982.51600101500298</v>
      </c>
      <c r="R371">
        <f>-559.186657517486 -64.0110479979849 -98.8585013098923</f>
        <v>-722.05620682536312</v>
      </c>
      <c r="S371" t="s">
        <v>2893</v>
      </c>
      <c r="T371" t="s">
        <v>2894</v>
      </c>
      <c r="U371" t="s">
        <v>2895</v>
      </c>
      <c r="V371">
        <f>-519.733159980894 -251.099300499682 -93.0025914727358</f>
        <v>-863.83505195331179</v>
      </c>
      <c r="W371" t="s">
        <v>2896</v>
      </c>
      <c r="X371" t="s">
        <v>2897</v>
      </c>
      <c r="Y371" t="s">
        <v>2898</v>
      </c>
    </row>
    <row r="372" spans="1:25" x14ac:dyDescent="0.3">
      <c r="A372">
        <v>18550</v>
      </c>
      <c r="B372" t="s">
        <v>2899</v>
      </c>
      <c r="C372">
        <f>-539.313876272415 -157.611704433031 -94.8671083140921</f>
        <v>-791.7926890195381</v>
      </c>
      <c r="D372">
        <f>-563.817950148577 -166.416985971405 -207.73094920926</f>
        <v>-937.96588532924193</v>
      </c>
      <c r="E372">
        <f>-569.489319386294 -170.039558806999 -306.124932980075</f>
        <v>-1045.653811173368</v>
      </c>
      <c r="F372">
        <f>-568.950459734271 -172.13330825941 -395.195336267927</f>
        <v>-1136.2791042616082</v>
      </c>
      <c r="G372">
        <f>-562.363424298804 -173.196360625955 -484.041982978437</f>
        <v>-1219.6017679031961</v>
      </c>
      <c r="H372">
        <f>-546.807452966294 -173.784686294676 -607.648176061247</f>
        <v>-1328.2403153222172</v>
      </c>
      <c r="I372">
        <f>-509.698573218869 -170.408924474971 -681.921763362937</f>
        <v>-1362.0292610567772</v>
      </c>
      <c r="J372">
        <f>-554.721411188136 -145.838615098247 -553.521484417943</f>
        <v>-1254.0815107043261</v>
      </c>
      <c r="K372">
        <f>-559.614377294882 -9.30786758517229 -538.308948736089</f>
        <v>-1107.2311936161432</v>
      </c>
      <c r="L372" t="s">
        <v>2900</v>
      </c>
      <c r="M372" t="s">
        <v>2901</v>
      </c>
      <c r="N372">
        <f>-552.584367014133 -201.212945046725 -552.989042620184</f>
        <v>-1306.7863546810422</v>
      </c>
      <c r="O372">
        <f>-559.918172133507 -335.847009617688 -526.180819122448</f>
        <v>-1421.9460008736432</v>
      </c>
      <c r="P372">
        <f>-631.299272808116 -389.01757394939 -245.701155108183</f>
        <v>-1266.018001865689</v>
      </c>
      <c r="Q372">
        <f>-439.140046395985 -251.024431102149 -291.347173256892</f>
        <v>-981.51165075502604</v>
      </c>
      <c r="R372">
        <f>-559.306597292554 -64.0534731498517 -98.8622549403731</f>
        <v>-722.22232538277876</v>
      </c>
      <c r="S372" t="s">
        <v>2902</v>
      </c>
      <c r="T372" t="s">
        <v>2903</v>
      </c>
      <c r="U372" t="s">
        <v>2904</v>
      </c>
      <c r="V372">
        <f>-519.60633147548 -251.259887050936 -92.9657154684782</f>
        <v>-863.83193399489414</v>
      </c>
      <c r="W372" t="s">
        <v>2905</v>
      </c>
      <c r="X372" t="s">
        <v>2906</v>
      </c>
      <c r="Y372" t="s">
        <v>2907</v>
      </c>
    </row>
    <row r="373" spans="1:25" x14ac:dyDescent="0.3">
      <c r="A373">
        <v>18600</v>
      </c>
      <c r="B373" t="s">
        <v>2908</v>
      </c>
      <c r="C373">
        <f>-539.260632968364 -157.900953952448 -94.9821338085218</f>
        <v>-792.14372072933372</v>
      </c>
      <c r="D373">
        <f>-563.931134634888 -166.866849413011 -207.797140392925</f>
        <v>-938.59512444082407</v>
      </c>
      <c r="E373">
        <f>-569.667988100809 -170.543920723875 -306.185184112382</f>
        <v>-1046.397092937066</v>
      </c>
      <c r="F373">
        <f>-569.153508661643 -172.660253063196 -395.255406008635</f>
        <v>-1137.0691677334739</v>
      </c>
      <c r="G373">
        <f>-562.55434769338 -173.722657409917 -484.101148242171</f>
        <v>-1220.378153345468</v>
      </c>
      <c r="H373">
        <f>-546.942671580474 -174.289262232056 -607.700410092683</f>
        <v>-1328.932343905213</v>
      </c>
      <c r="I373">
        <f>-509.885006759584 -170.975541040567 -682.002216008227</f>
        <v>-1362.8627638083781</v>
      </c>
      <c r="J373">
        <f>-554.883223228974 -146.352763425576 -553.572677707111</f>
        <v>-1254.8086643616609</v>
      </c>
      <c r="K373">
        <f>-559.91214199702 -9.84222870718804 -538.219399157991</f>
        <v>-1107.9737698621989</v>
      </c>
      <c r="L373" t="s">
        <v>2909</v>
      </c>
      <c r="M373" t="s">
        <v>2910</v>
      </c>
      <c r="N373">
        <f>-552.741891640813 -201.727013719425 -553.04832944211</f>
        <v>-1307.517234802348</v>
      </c>
      <c r="O373">
        <f>-559.967455931579 -336.32989399867 -526.070052548547</f>
        <v>-1422.3674024787961</v>
      </c>
      <c r="P373">
        <f>-630.058200344818 -389.303820890495 -245.228037904995</f>
        <v>-1264.5900591403081</v>
      </c>
      <c r="Q373">
        <f>-437.889601547018 -251.655046792086 -291.863830272148</f>
        <v>-981.40847861125201</v>
      </c>
      <c r="R373">
        <f>-559.54587638966 -64.411833399944 -98.9841266392654</f>
        <v>-722.94183642886935</v>
      </c>
      <c r="S373" t="s">
        <v>2911</v>
      </c>
      <c r="T373" t="s">
        <v>2912</v>
      </c>
      <c r="U373" t="s">
        <v>2913</v>
      </c>
      <c r="V373">
        <f>-519.245066314624 -251.597849401711 -92.9961742396474</f>
        <v>-863.83908995598233</v>
      </c>
      <c r="W373" t="s">
        <v>2914</v>
      </c>
      <c r="X373" t="s">
        <v>2915</v>
      </c>
      <c r="Y373" t="s">
        <v>2916</v>
      </c>
    </row>
    <row r="374" spans="1:25" x14ac:dyDescent="0.3">
      <c r="A374">
        <v>18650</v>
      </c>
      <c r="B374" t="s">
        <v>2917</v>
      </c>
      <c r="C374">
        <f>-539.191475304058 -158.284314305445 -95.0126402018595</f>
        <v>-792.48842981136261</v>
      </c>
      <c r="D374">
        <f>-563.897793005184 -167.301012590042 -207.815563855195</f>
        <v>-939.01436945042099</v>
      </c>
      <c r="E374">
        <f>-569.678909112339 -170.980805820473 -306.201017030884</f>
        <v>-1046.860731963696</v>
      </c>
      <c r="F374">
        <f>-569.208220801495 -173.085755649196 -395.27169716496</f>
        <v>-1137.5656736156511</v>
      </c>
      <c r="G374">
        <f>-562.655779397737 -174.123442454507 -484.121175375999</f>
        <v>-1220.900397228243</v>
      </c>
      <c r="H374">
        <f>-547.111857671407 -174.642367641379 -607.72913035923</f>
        <v>-1329.4833556720159</v>
      </c>
      <c r="I374">
        <f>-510.14977005187 -171.318403096462 -682.078307451882</f>
        <v>-1363.546480600214</v>
      </c>
      <c r="J374">
        <f>-555.053923089521 -146.727989514244 -553.590297484532</f>
        <v>-1255.3722100882969</v>
      </c>
      <c r="K374">
        <f>-560.282932163954 -10.2328963451059 -538.090241619341</f>
        <v>-1108.6060701284009</v>
      </c>
      <c r="L374" t="s">
        <v>2918</v>
      </c>
      <c r="M374" t="s">
        <v>2919</v>
      </c>
      <c r="N374">
        <f>-552.850108223956 -202.099968378908 -553.080650468979</f>
        <v>-1308.0307270718431</v>
      </c>
      <c r="O374">
        <f>-559.894954754477 -336.697326715272 -526.085119960021</f>
        <v>-1422.6774014297698</v>
      </c>
      <c r="P374">
        <f>-628.984899378292 -389.079575878648 -244.884312649493</f>
        <v>-1262.9487879064329</v>
      </c>
      <c r="Q374">
        <f>-437.196086114019 -251.531802835916 -293.345638775085</f>
        <v>-982.07352772502009</v>
      </c>
      <c r="R374">
        <f>-559.563548490828 -64.8133166514745 -99.0310720942695</f>
        <v>-723.40793723657191</v>
      </c>
      <c r="S374" t="s">
        <v>2920</v>
      </c>
      <c r="T374" t="s">
        <v>2921</v>
      </c>
      <c r="U374" t="s">
        <v>2922</v>
      </c>
      <c r="V374">
        <f>-519.03452410475 -251.831489881291 -93.0415071911569</f>
        <v>-863.90752117719785</v>
      </c>
      <c r="W374" t="s">
        <v>2923</v>
      </c>
      <c r="X374" t="s">
        <v>2924</v>
      </c>
      <c r="Y374" t="s">
        <v>2925</v>
      </c>
    </row>
    <row r="375" spans="1:25" x14ac:dyDescent="0.3">
      <c r="A375">
        <v>18700</v>
      </c>
      <c r="B375" t="s">
        <v>2926</v>
      </c>
      <c r="C375">
        <f>-539.239076771974 -158.97323357059 -95.0045442476143</f>
        <v>-793.21685459017829</v>
      </c>
      <c r="D375">
        <f>-564.111121349189 -168.161011276335 -207.757302965514</f>
        <v>-940.02943559103801</v>
      </c>
      <c r="E375">
        <f>-570.009149193467 -171.887605925495 -306.134107356874</f>
        <v>-1048.0308624758359</v>
      </c>
      <c r="F375">
        <f>-569.628855897167 -174.003850602003 -395.204896386461</f>
        <v>-1138.837602885631</v>
      </c>
      <c r="G375">
        <f>-563.150204924448 -175.024095356661 -484.060041569995</f>
        <v>-1222.2343418511041</v>
      </c>
      <c r="H375">
        <f>-547.690023598442 -175.49256204609 -607.678642556325</f>
        <v>-1330.8612282008571</v>
      </c>
      <c r="I375">
        <f>-510.949674881581 -172.148008702595 -682.136646260922</f>
        <v>-1365.234329845098</v>
      </c>
      <c r="J375">
        <f>-555.67904400104 -147.603847491632 -553.533388294202</f>
        <v>-1256.816279786874</v>
      </c>
      <c r="K375">
        <f>-561.327318235253 -11.1760803953014 -537.680673956197</f>
        <v>-1110.1840725867514</v>
      </c>
      <c r="L375" t="s">
        <v>2927</v>
      </c>
      <c r="M375" t="s">
        <v>2928</v>
      </c>
      <c r="N375">
        <f>-553.307438954336 -202.968963645543 -553.026961650867</f>
        <v>-1309.303364250746</v>
      </c>
      <c r="O375">
        <f>-559.729054480174 -337.605522302697 -525.992871368922</f>
        <v>-1423.3274481517929</v>
      </c>
      <c r="P375">
        <f>-627.047899697289 -389.562775089885 -244.283965257424</f>
        <v>-1260.894640044598</v>
      </c>
      <c r="Q375">
        <f>-436.707216823558 -251.212599874799 -296.057643757532</f>
        <v>-983.97746045588895</v>
      </c>
      <c r="R375">
        <f>-559.967723341284 -65.6427714566453 -99.0403190745161</f>
        <v>-724.65081387244538</v>
      </c>
      <c r="S375" t="s">
        <v>2929</v>
      </c>
      <c r="T375" t="s">
        <v>2930</v>
      </c>
      <c r="U375" t="s">
        <v>2931</v>
      </c>
      <c r="V375">
        <f>-518.834714231059 -252.332655434863 -93.0320392365435</f>
        <v>-864.19940890246551</v>
      </c>
      <c r="W375" t="s">
        <v>2932</v>
      </c>
      <c r="X375" t="s">
        <v>2933</v>
      </c>
      <c r="Y375" t="s">
        <v>2934</v>
      </c>
    </row>
    <row r="376" spans="1:25" x14ac:dyDescent="0.3">
      <c r="A376">
        <v>18750</v>
      </c>
      <c r="B376" t="s">
        <v>2935</v>
      </c>
      <c r="C376">
        <f>-539.211182920339 -159.388083414583 -94.9750483648837</f>
        <v>-793.57431469980565</v>
      </c>
      <c r="D376">
        <f>-564.152020120224 -168.641033343094 -207.707256753174</f>
        <v>-940.50031021649204</v>
      </c>
      <c r="E376">
        <f>-570.07983479926 -172.36532382356 -306.08234348156</f>
        <v>-1048.5275021043799</v>
      </c>
      <c r="F376">
        <f>-569.712767158254 -174.4592684971 -395.153703490874</f>
        <v>-1139.325739146228</v>
      </c>
      <c r="G376">
        <f>-563.232468001334 -175.437714067626 -484.009193589416</f>
        <v>-1222.6793756583761</v>
      </c>
      <c r="H376">
        <f>-547.753911315751 -175.828444528214 -607.625935847528</f>
        <v>-1331.2082916914928</v>
      </c>
      <c r="I376">
        <f>-511.148716612008 -172.448557619429 -682.148745317419</f>
        <v>-1365.7460195488561</v>
      </c>
      <c r="J376">
        <f>-555.80426011712 -147.976252368978 -553.470927063089</f>
        <v>-1257.2514395491869</v>
      </c>
      <c r="K376">
        <f>-561.806472330237 -11.5765486255634 -537.391343137999</f>
        <v>-1110.7743640937995</v>
      </c>
      <c r="L376" t="s">
        <v>2936</v>
      </c>
      <c r="M376" t="s">
        <v>2937</v>
      </c>
      <c r="N376">
        <f>-553.326187040844 -203.336697989331 -552.985562238135</f>
        <v>-1309.6484472683101</v>
      </c>
      <c r="O376">
        <f>-559.351009248309 -337.994344935071 -525.986692514366</f>
        <v>-1423.3320466977461</v>
      </c>
      <c r="P376">
        <f>-625.813527871793 -390.421548051369 -244.161714596763</f>
        <v>-1260.3967905199249</v>
      </c>
      <c r="Q376">
        <f>-436.597868376159 -250.688748308407 -296.344395578509</f>
        <v>-983.63101226307504</v>
      </c>
      <c r="R376">
        <f>-560.049343137825 -66.1299735327987 -99.0159210871491</f>
        <v>-725.1952377577727</v>
      </c>
      <c r="S376" t="s">
        <v>2938</v>
      </c>
      <c r="T376" t="s">
        <v>2939</v>
      </c>
      <c r="U376" t="s">
        <v>2940</v>
      </c>
      <c r="V376">
        <f>-518.641535256146 -252.781200171033 -93.016782027251</f>
        <v>-864.43951745442996</v>
      </c>
      <c r="W376" t="s">
        <v>2941</v>
      </c>
      <c r="X376" t="s">
        <v>2942</v>
      </c>
      <c r="Y376" t="s">
        <v>2943</v>
      </c>
    </row>
    <row r="377" spans="1:25" x14ac:dyDescent="0.3">
      <c r="A377">
        <v>18800</v>
      </c>
      <c r="B377" t="s">
        <v>2944</v>
      </c>
      <c r="C377">
        <f>-538.810755632398 -160.386077627338 -94.9561243651289</f>
        <v>-794.15295762486483</v>
      </c>
      <c r="D377">
        <f>-563.802351692531 -169.706731519063 -207.671588563523</f>
        <v>-941.18067177511705</v>
      </c>
      <c r="E377">
        <f>-569.776660155746 -173.394886849464 -306.045077554446</f>
        <v>-1049.2166245596559</v>
      </c>
      <c r="F377">
        <f>-569.451176327859 -175.415241244883 -395.118369378364</f>
        <v>-1139.9847869511059</v>
      </c>
      <c r="G377">
        <f>-563.011312280536 -176.275354292932 -483.978023317403</f>
        <v>-1223.2646898908711</v>
      </c>
      <c r="H377">
        <f>-547.586583765389 -176.451249919285 -607.601916894063</f>
        <v>-1331.6397505787372</v>
      </c>
      <c r="I377">
        <f>-511.384363984826 -172.955097263102 -682.316182267107</f>
        <v>-1366.6556435150351</v>
      </c>
      <c r="J377">
        <f>-555.755208521686 -148.7001218653 -553.412939477075</f>
        <v>-1257.8682698640609</v>
      </c>
      <c r="K377">
        <f>-562.931909801699 -12.414979367926 -536.871171010835</f>
        <v>-1112.21806018046</v>
      </c>
      <c r="L377" t="s">
        <v>2945</v>
      </c>
      <c r="M377" t="s">
        <v>2946</v>
      </c>
      <c r="N377">
        <f>-552.993287212942 -204.047734747418 -552.989488918848</f>
        <v>-1310.0305108792081</v>
      </c>
      <c r="O377">
        <f>-558.266992717632 -338.754390607291 -526.084945376435</f>
        <v>-1423.1063287013581</v>
      </c>
      <c r="P377">
        <f>-623.695491076863 -391.979961127959 -244.167745368047</f>
        <v>-1259.843197572869</v>
      </c>
      <c r="Q377">
        <f>-435.442733204274 -250.660619847448 -295.554247119049</f>
        <v>-981.65760017077105</v>
      </c>
      <c r="R377">
        <f>-559.675393487898 -67.2386511904958 -98.9640463877984</f>
        <v>-725.87809106619216</v>
      </c>
      <c r="S377" t="s">
        <v>2947</v>
      </c>
      <c r="T377" t="s">
        <v>2948</v>
      </c>
      <c r="U377" t="s">
        <v>2949</v>
      </c>
      <c r="V377">
        <f>-518.154998548357 -253.761768965964 -93.0089897100457</f>
        <v>-864.92575722436675</v>
      </c>
      <c r="W377" t="s">
        <v>2950</v>
      </c>
      <c r="X377" t="s">
        <v>2951</v>
      </c>
      <c r="Y377" t="s">
        <v>2952</v>
      </c>
    </row>
    <row r="378" spans="1:25" x14ac:dyDescent="0.3">
      <c r="A378">
        <v>18850</v>
      </c>
      <c r="B378" t="s">
        <v>2953</v>
      </c>
      <c r="C378">
        <f>-538.585816088915 -160.891497349295 -94.9382670629279</f>
        <v>-794.41558050113792</v>
      </c>
      <c r="D378">
        <f>-563.590594593348 -170.227278687544 -207.649541357811</f>
        <v>-941.46741463870296</v>
      </c>
      <c r="E378">
        <f>-569.57899686056 -173.882365353929 -306.023467336495</f>
        <v>-1049.4848295509839</v>
      </c>
      <c r="F378">
        <f>-569.267221556709 -175.849831302229 -395.098059998928</f>
        <v>-1140.215112857866</v>
      </c>
      <c r="G378">
        <f>-562.842100294203 -176.629593606498 -483.959404689787</f>
        <v>-1223.4310985904881</v>
      </c>
      <c r="H378">
        <f>-547.438731727599 -176.661668204996 -607.58618506669</f>
        <v>-1331.6865849992851</v>
      </c>
      <c r="I378">
        <f>-511.471596188343 -173.107675354174 -682.411064113984</f>
        <v>-1366.990335656501</v>
      </c>
      <c r="J378">
        <f>-555.685900526 -148.978224390319 -553.374239268328</f>
        <v>-1258.038364184647</v>
      </c>
      <c r="K378">
        <f>-563.616517307872 -12.7586573961555 -536.610258239683</f>
        <v>-1112.9854329437105</v>
      </c>
      <c r="L378" t="s">
        <v>2954</v>
      </c>
      <c r="M378" t="s">
        <v>2955</v>
      </c>
      <c r="N378">
        <f>-552.748075609249 -204.316976913853 -552.993928048061</f>
        <v>-1310.0589805711629</v>
      </c>
      <c r="O378">
        <f>-557.563949721178 -339.048810060103 -526.126149339391</f>
        <v>-1422.7389091206719</v>
      </c>
      <c r="P378">
        <f>-622.668226927355 -393.387948560264 -244.346308943714</f>
        <v>-1260.4024844313331</v>
      </c>
      <c r="Q378">
        <f>-435.347864658044 -250.524046603333 -294.862264248689</f>
        <v>-980.73417551006605</v>
      </c>
      <c r="R378">
        <f>-559.398406403111 -67.6681129904464 -98.9527944040416</f>
        <v>-726.01931379759901</v>
      </c>
      <c r="S378" t="s">
        <v>2956</v>
      </c>
      <c r="T378" t="s">
        <v>2957</v>
      </c>
      <c r="U378" t="s">
        <v>2958</v>
      </c>
      <c r="V378">
        <f>-518.061336123042 -254.21726155129 -92.9896578993761</f>
        <v>-865.26825557370807</v>
      </c>
      <c r="W378" t="s">
        <v>2959</v>
      </c>
      <c r="X378" t="s">
        <v>2960</v>
      </c>
      <c r="Y378" t="s">
        <v>2961</v>
      </c>
    </row>
    <row r="379" spans="1:25" x14ac:dyDescent="0.3">
      <c r="A379">
        <v>18900</v>
      </c>
      <c r="B379" t="s">
        <v>2962</v>
      </c>
      <c r="C379">
        <f>-538.311394457358 -161.411534026205 -94.9274022887611</f>
        <v>-794.65033077232408</v>
      </c>
      <c r="D379">
        <f>-563.337312840311 -170.732943188996 -207.635173140837</f>
        <v>-941.70542917014404</v>
      </c>
      <c r="E379">
        <f>-569.258505411733 -174.268481123272 -306.017542751418</f>
        <v>-1049.5445292864231</v>
      </c>
      <c r="F379">
        <f>-568.851479766737 -176.077700389658 -395.095050507072</f>
        <v>-1140.0242306634671</v>
      </c>
      <c r="G379">
        <f>-562.296655493145 -176.642487901621 -483.948703446052</f>
        <v>-1222.8878468408179</v>
      </c>
      <c r="H379">
        <f>-546.676694638664 -176.310045950749 -607.547721168307</f>
        <v>-1330.53446175772</v>
      </c>
      <c r="I379">
        <f>-511.162621637507 -172.590297708637 -682.580619446962</f>
        <v>-1366.3335387931061</v>
      </c>
      <c r="J379">
        <f>-555.206395520609 -148.797192599183 -553.292781574114</f>
        <v>-1257.2963696939059</v>
      </c>
      <c r="K379">
        <f>-564.49589374131 -12.726331765839 -536.221107179376</f>
        <v>-1113.4433326865251</v>
      </c>
      <c r="L379" t="s">
        <v>2963</v>
      </c>
      <c r="M379" t="s">
        <v>2964</v>
      </c>
      <c r="N379">
        <f>-551.894074561684 -204.115533802452 -553.022944118525</f>
        <v>-1309.0325524826608</v>
      </c>
      <c r="O379">
        <f>-555.9098639844 -338.909099037724 -526.331165074723</f>
        <v>-1421.1501280968469</v>
      </c>
      <c r="P379">
        <f>-620.458180869118 -394.629511596433 -244.693178884594</f>
        <v>-1259.7808713501452</v>
      </c>
      <c r="Q379">
        <f>-433.919549510598 -250.41628376375 -294.259057570067</f>
        <v>-978.59489084441498</v>
      </c>
      <c r="R379">
        <f>-559.166898617058 -68.1548131806244 -98.9309807135594</f>
        <v>-726.25269251124178</v>
      </c>
      <c r="S379" t="s">
        <v>2965</v>
      </c>
      <c r="T379" t="s">
        <v>2966</v>
      </c>
      <c r="U379" t="s">
        <v>2967</v>
      </c>
      <c r="V379">
        <f>-517.698445533526 -254.642350096776 -93.0269657489891</f>
        <v>-865.3677613792911</v>
      </c>
      <c r="W379" t="s">
        <v>2968</v>
      </c>
      <c r="X379" t="s">
        <v>2969</v>
      </c>
      <c r="Y379" t="s">
        <v>2970</v>
      </c>
    </row>
    <row r="380" spans="1:25" x14ac:dyDescent="0.3">
      <c r="A380">
        <v>18950</v>
      </c>
      <c r="B380" t="s">
        <v>2971</v>
      </c>
      <c r="C380">
        <f>-538.262016278009 -161.67236509419 -94.9704108748452</f>
        <v>-794.90479224704427</v>
      </c>
      <c r="D380">
        <f>-563.28190548843 -171.009355401193 -207.678256393365</f>
        <v>-941.96951728298802</v>
      </c>
      <c r="E380">
        <f>-569.089803666374 -174.428936411739 -306.07144753359</f>
        <v>-1049.590187611703</v>
      </c>
      <c r="F380">
        <f>-568.535487479384 -176.080210379362 -395.15123781551</f>
        <v>-1139.766935674256</v>
      </c>
      <c r="G380">
        <f>-561.787743218104 -176.431917337986 -483.991419942633</f>
        <v>-1222.2110804987228</v>
      </c>
      <c r="H380">
        <f>-545.850619596026 -175.742826787711 -607.548525212416</f>
        <v>-1329.1419715961531</v>
      </c>
      <c r="I380">
        <f>-510.514524873878 -171.864703945228 -682.657388885058</f>
        <v>-1365.036617704164</v>
      </c>
      <c r="J380">
        <f>-554.620656814364 -148.392746877171 -553.24956909168</f>
        <v>-1256.262972783215</v>
      </c>
      <c r="K380">
        <f>-564.336560768884 -12.3930148641421 -535.938766721444</f>
        <v>-1112.66834235447</v>
      </c>
      <c r="L380" t="s">
        <v>2972</v>
      </c>
      <c r="M380" t="s">
        <v>2973</v>
      </c>
      <c r="N380">
        <f>-551.106918444732 -203.69922160977 -553.104719802628</f>
        <v>-1307.9108598571299</v>
      </c>
      <c r="O380">
        <f>-554.824183667397 -338.550151357728 -526.597668046786</f>
        <v>-1419.9720030719109</v>
      </c>
      <c r="P380">
        <f>-618.94262802844 -395.158694647088 -245.038548248859</f>
        <v>-1259.1398709243872</v>
      </c>
      <c r="Q380">
        <f>-432.639513198876 -250.557637352343 -294.359714502855</f>
        <v>-977.55686505407402</v>
      </c>
      <c r="R380">
        <f>-559.152931668287 -68.3539831391174 -98.9413904954348</f>
        <v>-726.44830530283923</v>
      </c>
      <c r="S380" t="s">
        <v>2974</v>
      </c>
      <c r="T380" t="s">
        <v>2975</v>
      </c>
      <c r="U380" t="s">
        <v>2976</v>
      </c>
      <c r="V380">
        <f>-517.567588657293 -255.05692398643 -93.0522682918845</f>
        <v>-865.67678093560744</v>
      </c>
      <c r="W380" t="s">
        <v>2977</v>
      </c>
      <c r="X380" t="s">
        <v>2978</v>
      </c>
      <c r="Y380" t="s">
        <v>2979</v>
      </c>
    </row>
    <row r="381" spans="1:25" x14ac:dyDescent="0.3">
      <c r="A381">
        <v>19000</v>
      </c>
      <c r="B381" t="s">
        <v>2980</v>
      </c>
      <c r="C381">
        <f>-538.327502444549 -162.379563467657 -95.0439603961214</f>
        <v>-795.75102630832748</v>
      </c>
      <c r="D381">
        <f>-563.281520419891 -171.80682674964 -207.758868182464</f>
        <v>-942.84721535199492</v>
      </c>
      <c r="E381">
        <f>-568.873473791296 -174.950474255385 -306.173916347245</f>
        <v>-1049.997864393926</v>
      </c>
      <c r="F381">
        <f>-568.053707371088 -176.208794100753 -395.258035437798</f>
        <v>-1139.5205369096391</v>
      </c>
      <c r="G381">
        <f>-560.969271212933 -176.019345267936 -484.072488040646</f>
        <v>-1221.0611045215151</v>
      </c>
      <c r="H381">
        <f>-544.485542638489 -174.417888158901 -607.549395670548</f>
        <v>-1326.4528264679379</v>
      </c>
      <c r="I381">
        <f>-509.470450217731 -170.185199284849 -682.789364653967</f>
        <v>-1362.4450141565471</v>
      </c>
      <c r="J381">
        <f>-553.74785855074 -147.486572968139 -553.122948771617</f>
        <v>-1254.3573802904962</v>
      </c>
      <c r="K381">
        <f>-564.760471171135 -11.650160319439 -535.215111063824</f>
        <v>-1111.6257425543981</v>
      </c>
      <c r="L381" t="s">
        <v>2981</v>
      </c>
      <c r="M381" t="s">
        <v>2982</v>
      </c>
      <c r="N381">
        <f>-549.730635321627 -202.758584019383 -553.303575078871</f>
        <v>-1305.7927944198809</v>
      </c>
      <c r="O381">
        <f>-552.354157630704 -337.739543198002 -527.46959711902</f>
        <v>-1417.5632979477259</v>
      </c>
      <c r="P381">
        <f>-615.790555279121 -397.67195809143 -246.444523493289</f>
        <v>-1259.9070368638399</v>
      </c>
      <c r="Q381">
        <f>-430.883256845229 -251.139936528171 -295.317116880793</f>
        <v>-977.34031025419313</v>
      </c>
      <c r="R381">
        <f>-559.48905479672 -69.0453016519882 -98.9760587498798</f>
        <v>-727.51041519858802</v>
      </c>
      <c r="S381" t="s">
        <v>2983</v>
      </c>
      <c r="T381" t="s">
        <v>2984</v>
      </c>
      <c r="U381" t="s">
        <v>2985</v>
      </c>
      <c r="V381">
        <f>-517.441028126707 -255.758472519903 -93.0851989457451</f>
        <v>-866.28469959235508</v>
      </c>
      <c r="W381" t="s">
        <v>2986</v>
      </c>
      <c r="X381" t="s">
        <v>2987</v>
      </c>
      <c r="Y381" t="s">
        <v>2988</v>
      </c>
    </row>
    <row r="382" spans="1:25" x14ac:dyDescent="0.3">
      <c r="A382">
        <v>19050</v>
      </c>
      <c r="B382" t="s">
        <v>2989</v>
      </c>
      <c r="C382">
        <f>-538.457963378528 -162.652561571134 -95.0753174153986</f>
        <v>-796.18584236506058</v>
      </c>
      <c r="D382">
        <f>-563.354343769375 -172.117302774517 -207.799815873641</f>
        <v>-943.27146241753292</v>
      </c>
      <c r="E382">
        <f>-568.883826125355 -175.163331765347 -306.221384912494</f>
        <v>-1050.2685428031959</v>
      </c>
      <c r="F382">
        <f>-567.999829858795 -176.282946839908 -395.306735920937</f>
        <v>-1139.5895126196399</v>
      </c>
      <c r="G382">
        <f>-560.842188757792 -175.90381232933 -484.114815023312</f>
        <v>-1220.8608161104339</v>
      </c>
      <c r="H382">
        <f>-544.246065523481 -173.983438840068 -607.572034896027</f>
        <v>-1325.8015392595762</v>
      </c>
      <c r="I382">
        <f>-509.363539888318 -169.61829204376 -682.865953322428</f>
        <v>-1361.8477852545061</v>
      </c>
      <c r="J382">
        <f>-553.668556379244 -147.20093288771 -553.099826159022</f>
        <v>-1253.969315425976</v>
      </c>
      <c r="K382">
        <f>-565.162815425644 -11.4486748379418 -534.787378212629</f>
        <v>-1111.3988684762148</v>
      </c>
      <c r="L382" t="s">
        <v>2990</v>
      </c>
      <c r="M382" t="s">
        <v>2991</v>
      </c>
      <c r="N382">
        <f>-549.429846412049 -202.455899224686 -553.389529498449</f>
        <v>-1305.2752751351841</v>
      </c>
      <c r="O382">
        <f>-551.441782696552 -337.501736015425 -527.920255476738</f>
        <v>-1416.8637741887151</v>
      </c>
      <c r="P382">
        <f>-613.731990310067 -399.716572014597 -247.134750078203</f>
        <v>-1260.583312402867</v>
      </c>
      <c r="Q382">
        <f>-430.023894538928 -251.503658889801 -295.458125582026</f>
        <v>-976.98567901075501</v>
      </c>
      <c r="R382">
        <f>-559.830363779331 -69.3837960155245 -98.9865366443149</f>
        <v>-728.20069643917043</v>
      </c>
      <c r="S382" t="s">
        <v>2992</v>
      </c>
      <c r="T382" t="s">
        <v>2993</v>
      </c>
      <c r="U382" t="s">
        <v>2994</v>
      </c>
      <c r="V382">
        <f>-517.34211019952 -255.964704170429 -93.0999930890215</f>
        <v>-866.40680745897055</v>
      </c>
      <c r="W382" t="s">
        <v>2995</v>
      </c>
      <c r="X382" t="s">
        <v>2996</v>
      </c>
      <c r="Y382" t="s">
        <v>2997</v>
      </c>
    </row>
    <row r="383" spans="1:25" x14ac:dyDescent="0.3">
      <c r="A383">
        <v>19100</v>
      </c>
      <c r="B383" t="s">
        <v>2998</v>
      </c>
      <c r="C383">
        <f>-538.692507114741 -163.161074750818 -95.0589231968855</f>
        <v>-796.91250506244455</v>
      </c>
      <c r="D383">
        <f>-563.381919974403 -172.623339551692 -207.829140042776</f>
        <v>-943.83439956887094</v>
      </c>
      <c r="E383">
        <f>-568.742881432665 -175.574951043433 -306.262812356221</f>
        <v>-1050.580644832319</v>
      </c>
      <c r="F383">
        <f>-567.708697483186 -176.575385252581 -395.348134624954</f>
        <v>-1139.6322173607209</v>
      </c>
      <c r="G383">
        <f>-560.402979961031 -176.041515755115 -484.143172698496</f>
        <v>-1220.5876684146419</v>
      </c>
      <c r="H383">
        <f>-543.601723864208 -173.868522147448 -607.568642588924</f>
        <v>-1325.0388886005799</v>
      </c>
      <c r="I383">
        <f>-508.888836665674 -169.287863842245 -682.928116727365</f>
        <v>-1361.1048172352839</v>
      </c>
      <c r="J383">
        <f>-553.26021123277 -147.208926364939 -553.077245264821</f>
        <v>-1253.54638286253</v>
      </c>
      <c r="K383">
        <f>-565.336479948693 -11.5366180732838 -534.553127911118</f>
        <v>-1111.4262259330949</v>
      </c>
      <c r="L383" t="s">
        <v>2999</v>
      </c>
      <c r="M383" t="s">
        <v>3000</v>
      </c>
      <c r="N383">
        <f>-548.730200893652 -202.440388729106 -553.433049210358</f>
        <v>-1304.6036388331158</v>
      </c>
      <c r="O383">
        <f>-549.834719328852 -337.585022476021 -528.245863584372</f>
        <v>-1415.665605389245</v>
      </c>
      <c r="P383">
        <f>-609.580772003732 -403.30145036656 -247.705327834076</f>
        <v>-1260.5875502043682</v>
      </c>
      <c r="Q383">
        <f>-428.227329810846 -252.082284415346 -295.607087213779</f>
        <v>-975.91670143997101</v>
      </c>
      <c r="R383">
        <f>-560.391941038752 -69.9800830313131 -98.9607875605905</f>
        <v>-729.33281163065556</v>
      </c>
      <c r="S383" t="s">
        <v>3001</v>
      </c>
      <c r="T383" t="s">
        <v>3002</v>
      </c>
      <c r="U383" t="s">
        <v>3003</v>
      </c>
      <c r="V383">
        <f>-517.181247942412 -256.484502980798 -93.2034985280283</f>
        <v>-866.86924945123826</v>
      </c>
      <c r="W383" t="s">
        <v>3004</v>
      </c>
      <c r="X383" t="s">
        <v>3005</v>
      </c>
      <c r="Y383" t="s">
        <v>3006</v>
      </c>
    </row>
    <row r="384" spans="1:25" x14ac:dyDescent="0.3">
      <c r="A384">
        <v>19150</v>
      </c>
      <c r="B384" t="s">
        <v>3007</v>
      </c>
      <c r="C384">
        <f>-538.706177458111 -163.451248192173 -95.0390214501358</f>
        <v>-797.19644710041985</v>
      </c>
      <c r="D384">
        <f>-563.291091424799 -172.873320139226 -207.835497007834</f>
        <v>-943.9999085718589</v>
      </c>
      <c r="E384">
        <f>-568.539819530066 -175.792097794156 -306.276214021341</f>
        <v>-1050.6081313455629</v>
      </c>
      <c r="F384">
        <f>-567.396120768251 -176.762509074425 -395.360353420628</f>
        <v>-1139.5189832633039</v>
      </c>
      <c r="G384">
        <f>-559.973848127319 -176.197248560788 -484.145813166233</f>
        <v>-1220.3169098543399</v>
      </c>
      <c r="H384">
        <f>-543.002976775211 -173.977903290302 -607.547063003918</f>
        <v>-1324.5279430694309</v>
      </c>
      <c r="I384">
        <f>-508.365146379302 -169.290090395387 -682.934509836956</f>
        <v>-1360.5897466116448</v>
      </c>
      <c r="J384">
        <f>-552.780354333172 -147.342467431211 -553.065216760366</f>
        <v>-1253.1880385247489</v>
      </c>
      <c r="K384">
        <f>-565.017799851673 -11.6650672433707 -534.587030061885</f>
        <v>-1111.2698971569287</v>
      </c>
      <c r="L384" t="s">
        <v>3008</v>
      </c>
      <c r="M384" t="s">
        <v>3009</v>
      </c>
      <c r="N384">
        <f>-548.161667047514 -202.566702427498 -553.423318285015</f>
        <v>-1304.151687760027</v>
      </c>
      <c r="O384">
        <f>-549.007490828935 -337.695952048429 -528.22245541308</f>
        <v>-1414.9258982904439</v>
      </c>
      <c r="P384">
        <f>-607.753589100939 -403.946457952121 -247.59630310631</f>
        <v>-1259.2963501593701</v>
      </c>
      <c r="Q384">
        <f>-427.38225632767 -251.534734180868 -295.426391565208</f>
        <v>-974.34338207374594</v>
      </c>
      <c r="R384">
        <f>-560.380774375646 -70.1952004747054 -98.928252227512</f>
        <v>-729.50422707786333</v>
      </c>
      <c r="S384" t="s">
        <v>3010</v>
      </c>
      <c r="T384" t="s">
        <v>3011</v>
      </c>
      <c r="U384" t="s">
        <v>3012</v>
      </c>
      <c r="V384">
        <f>-517.223191990872 -256.80310154389 -93.2132543752429</f>
        <v>-867.23954791000494</v>
      </c>
      <c r="W384" t="s">
        <v>3013</v>
      </c>
      <c r="X384" t="s">
        <v>3014</v>
      </c>
      <c r="Y384" t="s">
        <v>3015</v>
      </c>
    </row>
    <row r="385" spans="1:25" x14ac:dyDescent="0.3">
      <c r="A385">
        <v>19200</v>
      </c>
      <c r="B385" t="s">
        <v>3016</v>
      </c>
      <c r="C385">
        <f>-538.780942849997 -163.651438854668 -95.0228470038645</f>
        <v>-797.45522870852949</v>
      </c>
      <c r="D385">
        <f>-563.194264097461 -173.006769580201 -207.862135910898</f>
        <v>-944.06316958855996</v>
      </c>
      <c r="E385">
        <f>-568.213512237327 -175.904156267507 -306.315425702353</f>
        <v>-1050.433094207187</v>
      </c>
      <c r="F385">
        <f>-566.831755722025 -176.869305358513 -395.396282500198</f>
        <v>-1139.0973435807359</v>
      </c>
      <c r="G385">
        <f>-559.142626698442 -176.311564673408 -484.158994011385</f>
        <v>-1219.6131853832348</v>
      </c>
      <c r="H385">
        <f>-541.770770255976 -174.115495616571 -607.504899046138</f>
        <v>-1323.391164918685</v>
      </c>
      <c r="I385">
        <f>-507.253050621959 -169.295168889802 -682.939034518374</f>
        <v>-1359.4872540301349</v>
      </c>
      <c r="J385">
        <f>-551.777701188505 -147.474195972277 -553.06759050363</f>
        <v>-1252.319487664412</v>
      </c>
      <c r="K385">
        <f>-564.248830715472 -11.7906508205901 -534.871690752257</f>
        <v>-1110.911172288319</v>
      </c>
      <c r="L385" t="s">
        <v>3017</v>
      </c>
      <c r="M385" t="s">
        <v>3018</v>
      </c>
      <c r="N385">
        <f>-547.052941666918 -202.689545637142 -553.385141423896</f>
        <v>-1303.1276287279561</v>
      </c>
      <c r="O385">
        <f>-547.640504185827 -337.791820432215 -527.959251349517</f>
        <v>-1413.391575967559</v>
      </c>
      <c r="P385">
        <f>-606.32237676379 -403.031155165168 -247.082921298797</f>
        <v>-1256.436453227755</v>
      </c>
      <c r="Q385">
        <f>-426.126860513957 -250.515028273405 -295.241625574152</f>
        <v>-971.88351436151402</v>
      </c>
      <c r="R385">
        <f>-560.566946129217 -70.3453758685444 -98.8886962433651</f>
        <v>-729.80101824112637</v>
      </c>
      <c r="S385" t="s">
        <v>3019</v>
      </c>
      <c r="T385" t="s">
        <v>3020</v>
      </c>
      <c r="U385" t="s">
        <v>3021</v>
      </c>
      <c r="V385">
        <f>-517.255088724364 -257.015271848875 -93.2345121303072</f>
        <v>-867.5048727035462</v>
      </c>
      <c r="W385" t="s">
        <v>3022</v>
      </c>
      <c r="X385" t="s">
        <v>3023</v>
      </c>
      <c r="Y385" t="s">
        <v>3024</v>
      </c>
    </row>
    <row r="386" spans="1:25" x14ac:dyDescent="0.3">
      <c r="A386">
        <v>19250</v>
      </c>
      <c r="B386" t="s">
        <v>3025</v>
      </c>
      <c r="C386">
        <f>-538.730775258692 -163.657527709028 -95.0164484756127</f>
        <v>-797.40475144333266</v>
      </c>
      <c r="D386">
        <f>-563.074533266969 -172.97604160275 -207.873667523303</f>
        <v>-943.92424239302193</v>
      </c>
      <c r="E386">
        <f>-567.982169753262 -175.881114468623 -306.332502383476</f>
        <v>-1050.195786605361</v>
      </c>
      <c r="F386">
        <f>-566.480018926971 -176.869097813933 -395.4111439269</f>
        <v>-1138.760260667804</v>
      </c>
      <c r="G386">
        <f>-558.652102980037 -176.349635636586 -484.161886983804</f>
        <v>-1219.1636256004269</v>
      </c>
      <c r="H386">
        <f>-541.068774375598 -174.223718967302 -607.479135899994</f>
        <v>-1322.7716292428941</v>
      </c>
      <c r="I386">
        <f>-506.571878141011 -169.389268725891 -682.921929942942</f>
        <v>-1358.8830768098442</v>
      </c>
      <c r="J386">
        <f>-551.172990760798 -147.551843850967 -553.074851275705</f>
        <v>-1251.7996858874699</v>
      </c>
      <c r="K386">
        <f>-563.596050004517 -11.8522248069171 -534.98744340784</f>
        <v>-1110.4357182192741</v>
      </c>
      <c r="L386" t="s">
        <v>3026</v>
      </c>
      <c r="M386" t="s">
        <v>3027</v>
      </c>
      <c r="N386">
        <f>-546.439738913182 -202.766666997887 -553.351781104118</f>
        <v>-1302.5581870151871</v>
      </c>
      <c r="O386">
        <f>-547.016991353542 -337.842801135226 -527.818514752601</f>
        <v>-1412.6783072413691</v>
      </c>
      <c r="P386">
        <f>-605.823398124685 -402.666762627935 -246.872098846049</f>
        <v>-1255.362259598669</v>
      </c>
      <c r="Q386">
        <f>-425.561145413364 -250.241688643167 -295.06927714037</f>
        <v>-970.87211119690096</v>
      </c>
      <c r="R386">
        <f>-560.507434992713 -70.4112130759547 -98.8654653336858</f>
        <v>-729.78411340235357</v>
      </c>
      <c r="S386" t="s">
        <v>3028</v>
      </c>
      <c r="T386" t="s">
        <v>3029</v>
      </c>
      <c r="U386" t="s">
        <v>3030</v>
      </c>
      <c r="V386">
        <f>-517.15889133456 -256.977242026689 -93.2450331366089</f>
        <v>-867.38116649785786</v>
      </c>
      <c r="W386" t="s">
        <v>3031</v>
      </c>
      <c r="X386" t="s">
        <v>3032</v>
      </c>
      <c r="Y386" t="s">
        <v>3033</v>
      </c>
    </row>
    <row r="387" spans="1:25" x14ac:dyDescent="0.3">
      <c r="A387">
        <v>19300</v>
      </c>
      <c r="B387" t="s">
        <v>3034</v>
      </c>
      <c r="C387">
        <f>-538.63800758191 -163.656049943238 -95.00335380848</f>
        <v>-797.29741133362802</v>
      </c>
      <c r="D387">
        <f>-562.909004358378 -172.957315090658 -207.877709408415</f>
        <v>-943.74402885745099</v>
      </c>
      <c r="E387">
        <f>-567.71743234226 -175.874077031951 -306.341069496273</f>
        <v>-1049.9325788704841</v>
      </c>
      <c r="F387">
        <f>-566.111562593077 -176.883466528039 -395.41755887482</f>
        <v>-1138.4125879959361</v>
      </c>
      <c r="G387">
        <f>-558.167124806633 -176.397276441066 -484.158243502241</f>
        <v>-1218.7226447499399</v>
      </c>
      <c r="H387">
        <f>-540.40791141659 -174.33032427281 -607.451119699532</f>
        <v>-1322.189355388932</v>
      </c>
      <c r="I387">
        <f>-505.928785892177 -169.508453287163 -682.902882376288</f>
        <v>-1358.340121555628</v>
      </c>
      <c r="J387">
        <f>-550.580599278159 -147.631676898068 -553.072831205069</f>
        <v>-1251.2851073812958</v>
      </c>
      <c r="K387">
        <f>-562.904866179976 -11.9073617610266 -535.086123569432</f>
        <v>-1109.8983515104346</v>
      </c>
      <c r="L387" t="s">
        <v>3035</v>
      </c>
      <c r="M387" t="s">
        <v>3036</v>
      </c>
      <c r="N387">
        <f>-545.865306372257 -202.848140306493 -553.319281258344</f>
        <v>-1302.032727937094</v>
      </c>
      <c r="O387">
        <f>-546.525805044458 -337.917762441276 -527.716065412012</f>
        <v>-1412.1596328977462</v>
      </c>
      <c r="P387">
        <f>-605.507864175729 -402.458740389231 -246.741463094564</f>
        <v>-1254.708067659524</v>
      </c>
      <c r="Q387">
        <f>-425.111054009886 -250.175425944381 -294.883190439051</f>
        <v>-970.16967039331803</v>
      </c>
      <c r="R387">
        <f>-560.399682328328 -70.4325201546565 -98.8452515436248</f>
        <v>-729.67745402660933</v>
      </c>
      <c r="S387" t="s">
        <v>3037</v>
      </c>
      <c r="T387" t="s">
        <v>3038</v>
      </c>
      <c r="U387" t="s">
        <v>3039</v>
      </c>
      <c r="V387">
        <f>-517.081296560106 -257.02347638916 -93.2326871554939</f>
        <v>-867.33746010475988</v>
      </c>
      <c r="W387" t="s">
        <v>3040</v>
      </c>
      <c r="X387" t="s">
        <v>3041</v>
      </c>
      <c r="Y387" t="s">
        <v>3042</v>
      </c>
    </row>
    <row r="388" spans="1:25" x14ac:dyDescent="0.3">
      <c r="A388">
        <v>19350</v>
      </c>
      <c r="B388" t="s">
        <v>3043</v>
      </c>
      <c r="C388">
        <f>-538.381631036069 -163.790932376371 -94.9775578144173</f>
        <v>-797.15012122685732</v>
      </c>
      <c r="D388">
        <f>-562.5562573057 -173.043046651964 -207.876701701853</f>
        <v>-943.476005659517</v>
      </c>
      <c r="E388">
        <f>-567.214128929978 -175.953294165106 -306.347436532325</f>
        <v>-1049.5148596274089</v>
      </c>
      <c r="F388">
        <f>-565.446520102648 -176.971485607166 -395.420932100401</f>
        <v>-1137.8389378102149</v>
      </c>
      <c r="G388">
        <f>-557.315841429509 -176.509919057424 -484.144797635741</f>
        <v>-1217.970558122674</v>
      </c>
      <c r="H388">
        <f>-539.272258146732 -174.494095171954 -607.397245442074</f>
        <v>-1321.1635987607601</v>
      </c>
      <c r="I388">
        <f>-504.77626121747 -169.72928301597 -682.845028005476</f>
        <v>-1357.3505722389159</v>
      </c>
      <c r="J388">
        <f>-549.546706856458 -147.770874690514 -553.050089598366</f>
        <v>-1250.3676711453379</v>
      </c>
      <c r="K388">
        <f>-561.667968452162 -12.0065058812986 -535.223690994037</f>
        <v>-1108.8981653274977</v>
      </c>
      <c r="L388" t="s">
        <v>3044</v>
      </c>
      <c r="M388" t="s">
        <v>3045</v>
      </c>
      <c r="N388">
        <f>-544.877982052535 -202.991484993273 -553.269764074268</f>
        <v>-1301.1392311200761</v>
      </c>
      <c r="O388">
        <f>-545.697282913382 -338.034895456156 -527.58051088093</f>
        <v>-1411.3126892504679</v>
      </c>
      <c r="P388">
        <f>-604.8000600116 -402.830391452178 -246.689800885929</f>
        <v>-1254.3202523497071</v>
      </c>
      <c r="Q388">
        <f>-424.311660182415 -250.626562646263 -294.739930499709</f>
        <v>-969.678153328387</v>
      </c>
      <c r="R388">
        <f>-560.129254717972 -70.4510723509295 -98.8179602505948</f>
        <v>-729.39828731949626</v>
      </c>
      <c r="S388" t="s">
        <v>3046</v>
      </c>
      <c r="T388" t="s">
        <v>3047</v>
      </c>
      <c r="U388" t="s">
        <v>3048</v>
      </c>
      <c r="V388">
        <f>-516.883166966041 -257.234826650447 -93.2232711924788</f>
        <v>-867.34126480896691</v>
      </c>
      <c r="W388" t="s">
        <v>3049</v>
      </c>
      <c r="X388" t="s">
        <v>3050</v>
      </c>
      <c r="Y388" t="s">
        <v>3051</v>
      </c>
    </row>
    <row r="389" spans="1:25" x14ac:dyDescent="0.3">
      <c r="A389">
        <v>19400</v>
      </c>
      <c r="B389" t="s">
        <v>3052</v>
      </c>
      <c r="C389">
        <f>-538.123359165328 -163.737288645928 -94.9753684669993</f>
        <v>-796.83601627825533</v>
      </c>
      <c r="D389">
        <f>-562.235740440837 -172.986216408188 -207.888066895889</f>
        <v>-943.11002374491397</v>
      </c>
      <c r="E389">
        <f>-566.782513433626 -175.904571640617 -306.363707672283</f>
        <v>-1049.050792746526</v>
      </c>
      <c r="F389">
        <f>-564.89163507022 -176.935562464365 -395.434478158701</f>
        <v>-1137.261675693286</v>
      </c>
      <c r="G389">
        <f>-556.615694985693 -176.493620391249 -484.145101961943</f>
        <v>-1217.2544173388851</v>
      </c>
      <c r="H389">
        <f>-538.346819580941 -174.513389892097 -607.364966425026</f>
        <v>-1320.2251758980638</v>
      </c>
      <c r="I389">
        <f>-503.694393577334 -169.812965487473 -682.744922820758</f>
        <v>-1356.252281885565</v>
      </c>
      <c r="J389">
        <f>-548.70054481632 -147.772675792231 -553.04136992647</f>
        <v>-1249.5145905350209</v>
      </c>
      <c r="K389">
        <f>-560.653284923085 -11.9793579932193 -535.294875284897</f>
        <v>-1107.9275182012013</v>
      </c>
      <c r="L389" t="s">
        <v>3053</v>
      </c>
      <c r="M389" t="s">
        <v>3054</v>
      </c>
      <c r="N389">
        <f>-544.0714705006 -202.996764837314 -553.242590811133</f>
        <v>-1300.310826149047</v>
      </c>
      <c r="O389">
        <f>-545.036883578234 -338.021539749317 -527.49517168196</f>
        <v>-1410.5535950095109</v>
      </c>
      <c r="P389">
        <f>-604.201089824143 -402.862140796182 -246.627727397896</f>
        <v>-1253.690958018221</v>
      </c>
      <c r="Q389">
        <f>-423.741459343613 -250.617977100438 -294.657676511739</f>
        <v>-969.01711295579003</v>
      </c>
      <c r="R389">
        <f>-559.850794538881 -70.3913138985181 -98.8142430739837</f>
        <v>-729.05635151138279</v>
      </c>
      <c r="S389" t="s">
        <v>3055</v>
      </c>
      <c r="T389" t="s">
        <v>3056</v>
      </c>
      <c r="U389" t="s">
        <v>3057</v>
      </c>
      <c r="V389">
        <f>-516.62274055891 -257.168968899838 -93.1890772939682</f>
        <v>-866.9807867527162</v>
      </c>
      <c r="W389" t="s">
        <v>3058</v>
      </c>
      <c r="X389" t="s">
        <v>3059</v>
      </c>
      <c r="Y389" t="s">
        <v>3060</v>
      </c>
    </row>
    <row r="390" spans="1:25" x14ac:dyDescent="0.3">
      <c r="A390">
        <v>19450</v>
      </c>
      <c r="B390" t="s">
        <v>3061</v>
      </c>
      <c r="C390">
        <f>-538.032729017603 -163.815215359884 -94.9654533699911</f>
        <v>-796.81339774747812</v>
      </c>
      <c r="D390">
        <f>-562.101634537372 -173.039740116229 -207.889491358306</f>
        <v>-943.03086601190705</v>
      </c>
      <c r="E390">
        <f>-566.595355822291 -175.955886236406 -306.367650728013</f>
        <v>-1048.9188927867099</v>
      </c>
      <c r="F390">
        <f>-564.65108309884 -176.992204615779 -395.437102359399</f>
        <v>-1137.0803900740179</v>
      </c>
      <c r="G390">
        <f>-556.316666561295 -176.562489746844 -484.142262293488</f>
        <v>-1217.0214186016269</v>
      </c>
      <c r="H390">
        <f>-537.96134297086 -174.606554614777 -607.349770446771</f>
        <v>-1319.9176680324081</v>
      </c>
      <c r="I390">
        <f>-503.218683388407 -169.927449554782 -682.689473788446</f>
        <v>-1355.8356067316349</v>
      </c>
      <c r="J390">
        <f>-548.350074369594 -147.854926334908 -553.038168388137</f>
        <v>-1249.2431690926392</v>
      </c>
      <c r="K390">
        <f>-560.254179735168 -12.0568468711899 -535.328555400369</f>
        <v>-1107.6395820067269</v>
      </c>
      <c r="L390" t="s">
        <v>3062</v>
      </c>
      <c r="M390" t="s">
        <v>3063</v>
      </c>
      <c r="N390">
        <f>-543.727249468709 -203.079492248743 -553.226208058484</f>
        <v>-1300.032949775936</v>
      </c>
      <c r="O390">
        <f>-544.716134370566 -338.104612148741 -527.421757010541</f>
        <v>-1410.2425035298479</v>
      </c>
      <c r="P390">
        <f>-603.967406052472 -402.818214928716 -246.543374447893</f>
        <v>-1253.328995429081</v>
      </c>
      <c r="Q390">
        <f>-423.687914802753 -250.388693166132 -294.662090288563</f>
        <v>-968.73869825744805</v>
      </c>
      <c r="R390">
        <f>-559.742751235523 -70.409855440013 -98.8126173980148</f>
        <v>-728.96522407355076</v>
      </c>
      <c r="S390" t="s">
        <v>3064</v>
      </c>
      <c r="T390" t="s">
        <v>3065</v>
      </c>
      <c r="U390" t="s">
        <v>3066</v>
      </c>
      <c r="V390">
        <f>-516.54576601304 -257.3372373423 -93.1891253453811</f>
        <v>-867.07212870072101</v>
      </c>
      <c r="W390" t="s">
        <v>3067</v>
      </c>
      <c r="X390" t="s">
        <v>3068</v>
      </c>
      <c r="Y390" t="s">
        <v>3069</v>
      </c>
    </row>
    <row r="391" spans="1:25" x14ac:dyDescent="0.3">
      <c r="A391">
        <v>19500</v>
      </c>
      <c r="B391" t="s">
        <v>3070</v>
      </c>
      <c r="C391">
        <f>-537.927517280291 -163.633307562073 -94.9774192062142</f>
        <v>-796.53824404857824</v>
      </c>
      <c r="D391">
        <f>-561.935140119775 -172.812292453384 -207.918089128826</f>
        <v>-942.66552170198497</v>
      </c>
      <c r="E391">
        <f>-566.342328378673 -175.721171065926 -306.400427042188</f>
        <v>-1048.4639264867869</v>
      </c>
      <c r="F391">
        <f>-564.307622089163 -176.763331802972 -395.4680087754</f>
        <v>-1136.5389626675351</v>
      </c>
      <c r="G391">
        <f>-555.871526933912 -176.35092541681 -484.163470052555</f>
        <v>-1216.3859224032772</v>
      </c>
      <c r="H391">
        <f>-537.363318901326 -174.430715025356 -607.348690573762</f>
        <v>-1319.142724500444</v>
      </c>
      <c r="I391">
        <f>-502.470427648876 -169.768350739003 -682.619926007891</f>
        <v>-1354.85870439577</v>
      </c>
      <c r="J391">
        <f>-547.828841248762 -147.664137919787 -553.059328595748</f>
        <v>-1248.552307764297</v>
      </c>
      <c r="K391">
        <f>-559.739711652126 -11.8508675951289 -535.427801642628</f>
        <v>-1107.0183808898828</v>
      </c>
      <c r="L391" t="s">
        <v>3071</v>
      </c>
      <c r="M391" t="s">
        <v>3072</v>
      </c>
      <c r="N391">
        <f>-543.186775287941 -202.887246966963 -553.222662480706</f>
        <v>-1299.2966847356101</v>
      </c>
      <c r="O391">
        <f>-544.187731172442 -337.889609765339 -527.327931136148</f>
        <v>-1409.4052720739289</v>
      </c>
      <c r="P391">
        <f>-603.693795568633 -402.393737638853 -246.455289359404</f>
        <v>-1252.5428225668902</v>
      </c>
      <c r="Q391">
        <f>-423.613338782255 -249.890233654139 -295.0822617416</f>
        <v>-968.585834177994</v>
      </c>
      <c r="R391">
        <f>-559.633797986131 -70.2268085178416 -98.7923026827864</f>
        <v>-728.65290918675896</v>
      </c>
      <c r="S391" t="s">
        <v>3073</v>
      </c>
      <c r="T391" t="s">
        <v>3074</v>
      </c>
      <c r="U391" t="s">
        <v>3075</v>
      </c>
      <c r="V391">
        <f>-516.473746447988 -257.039359617104 -93.1978752002765</f>
        <v>-866.71098126536845</v>
      </c>
      <c r="W391" t="s">
        <v>3076</v>
      </c>
      <c r="X391" t="s">
        <v>3077</v>
      </c>
      <c r="Y391" t="s">
        <v>3078</v>
      </c>
    </row>
    <row r="392" spans="1:25" x14ac:dyDescent="0.3">
      <c r="A392">
        <v>19550</v>
      </c>
      <c r="B392" t="s">
        <v>3079</v>
      </c>
      <c r="C392">
        <f>-537.892297332538 -163.573465134842 -94.9755900613325</f>
        <v>-796.4413525287124</v>
      </c>
      <c r="D392">
        <f>-561.841921613239 -172.741588246678 -207.929548061704</f>
        <v>-942.51305792162111</v>
      </c>
      <c r="E392">
        <f>-566.171372072931 -175.640464608276 -306.415701771649</f>
        <v>-1048.2275384528562</v>
      </c>
      <c r="F392">
        <f>-564.055385650885 -176.673431789919 -395.481338641681</f>
        <v>-1136.2101560824851</v>
      </c>
      <c r="G392">
        <f>-555.527651679998 -176.252316261386 -484.168118680918</f>
        <v>-1215.9480866223021</v>
      </c>
      <c r="H392">
        <f>-536.881018549709 -174.320013880542 -607.332080180072</f>
        <v>-1318.5331126103229</v>
      </c>
      <c r="I392">
        <f>-501.916691532176 -169.64498063435 -682.569466686538</f>
        <v>-1354.1311388530639</v>
      </c>
      <c r="J392">
        <f>-547.421227879886 -147.559994183616 -553.05399920616</f>
        <v>-1248.0352212696621</v>
      </c>
      <c r="K392">
        <f>-559.374754513153 -11.7472176298054 -535.45298114821</f>
        <v>-1106.5749532911684</v>
      </c>
      <c r="L392" t="s">
        <v>3080</v>
      </c>
      <c r="M392" t="s">
        <v>3081</v>
      </c>
      <c r="N392">
        <f>-542.751908123214 -202.780701087366 -553.213456801585</f>
        <v>-1298.7460660121651</v>
      </c>
      <c r="O392">
        <f>-543.737080048091 -337.785645240777 -527.323612492861</f>
        <v>-1408.8463377817291</v>
      </c>
      <c r="P392">
        <f>-603.187871072201 -402.573772763271 -246.504738184131</f>
        <v>-1252.266382019603</v>
      </c>
      <c r="Q392">
        <f>-423.639467599288 -249.520622496423 -295.371754968944</f>
        <v>-968.53184506465504</v>
      </c>
      <c r="R392">
        <f>-559.561745054579 -70.2138091272584 -98.7839581586337</f>
        <v>-728.55951234047109</v>
      </c>
      <c r="S392" t="s">
        <v>3082</v>
      </c>
      <c r="T392" t="s">
        <v>3083</v>
      </c>
      <c r="U392" t="s">
        <v>3084</v>
      </c>
      <c r="V392">
        <f>-516.404170087992 -256.992772881408 -93.2043149130601</f>
        <v>-866.60125788246012</v>
      </c>
      <c r="W392" t="s">
        <v>3085</v>
      </c>
      <c r="X392" t="s">
        <v>3086</v>
      </c>
      <c r="Y392" t="s">
        <v>3087</v>
      </c>
    </row>
    <row r="393" spans="1:25" x14ac:dyDescent="0.3">
      <c r="A393">
        <v>19600</v>
      </c>
      <c r="B393" t="s">
        <v>3088</v>
      </c>
      <c r="C393">
        <f>-537.892979322657 -163.509522674727 -94.94291648295</f>
        <v>-796.34541848033393</v>
      </c>
      <c r="D393">
        <f>-561.747854526688 -172.65512750874 -207.918695602204</f>
        <v>-942.32167763763209</v>
      </c>
      <c r="E393">
        <f>-565.871364653497 -175.528444744091 -306.4143798689</f>
        <v>-1047.814189266488</v>
      </c>
      <c r="F393">
        <f>-563.520094438592 -176.537028293475 -395.474416019548</f>
        <v>-1135.531538751615</v>
      </c>
      <c r="G393">
        <f>-554.709517576944 -176.089672373137 -484.133354992649</f>
        <v>-1214.9325449427299</v>
      </c>
      <c r="H393">
        <f>-535.61962647148 -174.120217097612 -607.228918284338</f>
        <v>-1316.9687618534299</v>
      </c>
      <c r="I393">
        <f>-500.504923072519 -169.388891713578 -682.392660508299</f>
        <v>-1352.286475294396</v>
      </c>
      <c r="J393">
        <f>-546.40150207466 -147.380411908406 -552.988328251301</f>
        <v>-1246.7702422343671</v>
      </c>
      <c r="K393">
        <f>-558.48085423753 -11.5696878022552 -535.456416490273</f>
        <v>-1105.5069585300582</v>
      </c>
      <c r="L393" t="s">
        <v>3089</v>
      </c>
      <c r="M393" t="s">
        <v>3090</v>
      </c>
      <c r="N393">
        <f>-541.638837810098 -202.593270656579 -553.13303413339</f>
        <v>-1297.365142600067</v>
      </c>
      <c r="O393">
        <f>-542.486215075631 -337.59940844971 -527.286829180887</f>
        <v>-1407.3724527062279</v>
      </c>
      <c r="P393">
        <f>-601.833921507831 -402.95799498422 -246.578345725165</f>
        <v>-1251.3702622172159</v>
      </c>
      <c r="Q393">
        <f>-423.101979158068 -249.177985085181 -296.150925716348</f>
        <v>-968.43088995959693</v>
      </c>
      <c r="R393">
        <f>-559.633572151149 -70.121663021768 -98.7620106758392</f>
        <v>-728.51724584875615</v>
      </c>
      <c r="S393" t="s">
        <v>3091</v>
      </c>
      <c r="T393" t="s">
        <v>3092</v>
      </c>
      <c r="U393" t="s">
        <v>3093</v>
      </c>
      <c r="V393">
        <f>-516.376949615898 -256.981536402633 -93.1874575595652</f>
        <v>-866.54594357809628</v>
      </c>
      <c r="W393" t="s">
        <v>3094</v>
      </c>
      <c r="X393" t="s">
        <v>3095</v>
      </c>
      <c r="Y393" t="s">
        <v>3096</v>
      </c>
    </row>
    <row r="394" spans="1:25" x14ac:dyDescent="0.3">
      <c r="A394">
        <v>19650</v>
      </c>
      <c r="B394" t="s">
        <v>3097</v>
      </c>
      <c r="C394">
        <f>-537.952127318517 -163.52578200309 -94.9292732031918</f>
        <v>-796.40718252479883</v>
      </c>
      <c r="D394">
        <f>-561.742836872827 -172.649909186973 -207.920342314969</f>
        <v>-942.31308837476899</v>
      </c>
      <c r="E394">
        <f>-565.77358558592 -175.515108299155 -306.420076982554</f>
        <v>-1047.708770867629</v>
      </c>
      <c r="F394">
        <f>-563.324078017924 -176.520601975492 -395.477512162569</f>
        <v>-1135.322192155985</v>
      </c>
      <c r="G394">
        <f>-554.401444213016 -176.074619757789 -484.125304865447</f>
        <v>-1214.601368836252</v>
      </c>
      <c r="H394">
        <f>-535.141569439558 -174.111565186723 -607.194517907844</f>
        <v>-1316.4476525341252</v>
      </c>
      <c r="I394">
        <f>-499.962130957386 -169.365620849298 -682.327034836005</f>
        <v>-1351.654786642689</v>
      </c>
      <c r="J394">
        <f>-546.018618053786 -147.370718238371 -552.973353421025</f>
        <v>-1246.3626897131819</v>
      </c>
      <c r="K394">
        <f>-558.167790611189 -11.5647149961042 -535.474930157478</f>
        <v>-1105.2074357647712</v>
      </c>
      <c r="L394" t="s">
        <v>3098</v>
      </c>
      <c r="M394" t="s">
        <v>3099</v>
      </c>
      <c r="N394">
        <f>-541.215312569983 -202.580099201246 -553.102214583926</f>
        <v>-1296.8976263551549</v>
      </c>
      <c r="O394">
        <f>-541.983524893222 -337.591438004648 -527.262925223221</f>
        <v>-1406.8378881210911</v>
      </c>
      <c r="P394">
        <f>-601.057251918114 -403.271668555603 -246.571680254317</f>
        <v>-1250.9006007280341</v>
      </c>
      <c r="Q394">
        <f>-422.778059359325 -249.061301785016 -296.437190215068</f>
        <v>-968.27655135940904</v>
      </c>
      <c r="R394">
        <f>-559.696393246543 -70.1677399466796 -98.7305890450344</f>
        <v>-728.59472223825708</v>
      </c>
      <c r="S394" t="s">
        <v>3100</v>
      </c>
      <c r="T394" t="s">
        <v>3101</v>
      </c>
      <c r="U394" t="s">
        <v>3102</v>
      </c>
      <c r="V394">
        <f>-516.415197598593 -256.977295881177 -93.1688137855514</f>
        <v>-866.56130726532126</v>
      </c>
      <c r="W394" t="s">
        <v>3103</v>
      </c>
      <c r="X394" t="s">
        <v>3104</v>
      </c>
      <c r="Y394" t="s">
        <v>3105</v>
      </c>
    </row>
    <row r="395" spans="1:25" x14ac:dyDescent="0.3">
      <c r="A395">
        <v>19700</v>
      </c>
      <c r="B395" t="s">
        <v>3106</v>
      </c>
      <c r="C395">
        <f>-538.140526310464 -163.501848069462 -94.881854942533</f>
        <v>-796.52422932245895</v>
      </c>
      <c r="D395">
        <f>-561.858978859566 -172.638904811504 -207.886984826604</f>
        <v>-942.38486849767401</v>
      </c>
      <c r="E395">
        <f>-565.789412451033 -175.480565346571 -306.39153246883</f>
        <v>-1047.6615102664339</v>
      </c>
      <c r="F395">
        <f>-563.233747518617 -176.450871530827 -395.446327366321</f>
        <v>-1135.1309464157648</v>
      </c>
      <c r="G395">
        <f>-554.190104441894 -175.954717784306 -484.081612600559</f>
        <v>-1214.226434826759</v>
      </c>
      <c r="H395">
        <f>-534.746075524333 -173.905606003512 -607.120385502038</f>
        <v>-1315.7720670298831</v>
      </c>
      <c r="I395">
        <f>-499.517974155263 -169.128886506461 -682.228352085554</f>
        <v>-1350.8752127472781</v>
      </c>
      <c r="J395">
        <f>-545.757026890635 -147.207320628884 -552.905354671539</f>
        <v>-1245.869702191058</v>
      </c>
      <c r="K395">
        <f>-558.062614656102 -11.4190565516262 -535.405064798878</f>
        <v>-1104.8867360066063</v>
      </c>
      <c r="L395" t="s">
        <v>3107</v>
      </c>
      <c r="M395" t="s">
        <v>3108</v>
      </c>
      <c r="N395">
        <f>-540.847923618887 -202.407367071129 -553.048892489707</f>
        <v>-1296.3041831797229</v>
      </c>
      <c r="O395">
        <f>-541.361857530437 -337.431581595273 -527.243709784648</f>
        <v>-1406.0371489103579</v>
      </c>
      <c r="P395">
        <f>-600.019676332134 -403.732444079335 -246.611104547404</f>
        <v>-1250.3632249588732</v>
      </c>
      <c r="Q395">
        <f>-422.704394596678 -248.531017575284 -296.837335940573</f>
        <v>-968.07274811253501</v>
      </c>
      <c r="R395">
        <f>-560.027619384974 -70.0549446996795 -98.7090619228346</f>
        <v>-728.79162600748805</v>
      </c>
      <c r="S395" t="s">
        <v>3109</v>
      </c>
      <c r="T395" t="s">
        <v>3110</v>
      </c>
      <c r="U395" t="s">
        <v>3111</v>
      </c>
      <c r="V395">
        <f>-516.519654216749 -257.014524058464 -93.1505096099783</f>
        <v>-866.68468788519124</v>
      </c>
      <c r="W395" t="s">
        <v>3112</v>
      </c>
      <c r="X395" t="s">
        <v>3113</v>
      </c>
      <c r="Y395" t="s">
        <v>3114</v>
      </c>
    </row>
    <row r="396" spans="1:25" x14ac:dyDescent="0.3">
      <c r="A396">
        <v>19750</v>
      </c>
      <c r="B396" t="s">
        <v>3115</v>
      </c>
      <c r="C396">
        <f>-538.267581872603 -163.413508324942 -94.8740737221033</f>
        <v>-796.55516391964829</v>
      </c>
      <c r="D396">
        <f>-562.005010165693 -172.561287777201 -207.874368984526</f>
        <v>-942.4406669274199</v>
      </c>
      <c r="E396">
        <f>-565.928015001987 -175.394874105587 -306.379495496238</f>
        <v>-1047.7023846038119</v>
      </c>
      <c r="F396">
        <f>-563.355670038422 -176.350892800533 -395.434000212927</f>
        <v>-1135.1405630518821</v>
      </c>
      <c r="G396">
        <f>-554.285545598105 -175.833016417974 -484.066342547425</f>
        <v>-1214.184904563504</v>
      </c>
      <c r="H396">
        <f>-534.794319462057 -173.745956182452 -607.097061281432</f>
        <v>-1315.6373369259411</v>
      </c>
      <c r="I396">
        <f>-499.561609529795 -168.957462794383 -682.201933072624</f>
        <v>-1350.721005396802</v>
      </c>
      <c r="J396">
        <f>-545.850270535391 -147.066586033687 -552.881829004576</f>
        <v>-1245.798685573654</v>
      </c>
      <c r="K396">
        <f>-558.214451853107 -11.283886946386 -535.365305040955</f>
        <v>-1104.863643840448</v>
      </c>
      <c r="L396" t="s">
        <v>3116</v>
      </c>
      <c r="M396" t="s">
        <v>3117</v>
      </c>
      <c r="N396">
        <f>-540.892724186007 -202.262259632004 -553.03290880923</f>
        <v>-1296.1878926272409</v>
      </c>
      <c r="O396">
        <f>-541.27947728782 -337.294022166086 -527.264608222865</f>
        <v>-1405.838107676771</v>
      </c>
      <c r="P396">
        <f>-599.876039525862 -403.795680562632 -246.666751186333</f>
        <v>-1250.338471274827</v>
      </c>
      <c r="Q396">
        <f>-422.753658556474 -248.478971410581 -297.216501958234</f>
        <v>-968.44913192528907</v>
      </c>
      <c r="R396">
        <f>-560.207097427564 -69.9619397304507 -98.700845721556</f>
        <v>-728.8698828795707</v>
      </c>
      <c r="S396" t="s">
        <v>3118</v>
      </c>
      <c r="T396" t="s">
        <v>3119</v>
      </c>
      <c r="U396" t="s">
        <v>3120</v>
      </c>
      <c r="V396">
        <f>-516.580629422613 -256.922585763979 -93.1453085213253</f>
        <v>-866.64852370791732</v>
      </c>
      <c r="W396" t="s">
        <v>3121</v>
      </c>
      <c r="X396" t="s">
        <v>3122</v>
      </c>
      <c r="Y396" t="s">
        <v>3123</v>
      </c>
    </row>
    <row r="397" spans="1:25" x14ac:dyDescent="0.3">
      <c r="A397">
        <v>19800</v>
      </c>
      <c r="B397" t="s">
        <v>3124</v>
      </c>
      <c r="C397">
        <f>-538.45168215464 -163.179762667091 -94.8880698787234</f>
        <v>-796.51951470045447</v>
      </c>
      <c r="D397">
        <f>-562.207939981746 -172.352971909971 -207.882260237459</f>
        <v>-942.44317212917599</v>
      </c>
      <c r="E397">
        <f>-566.198790163928 -175.18825567069 -306.384608083019</f>
        <v>-1047.771653917637</v>
      </c>
      <c r="F397">
        <f>-563.707867643823 -176.137757886801 -395.441558387952</f>
        <v>-1135.2871839185759</v>
      </c>
      <c r="G397">
        <f>-554.738517177427 -175.60439544587 -484.084075225116</f>
        <v>-1214.4269878484131</v>
      </c>
      <c r="H397">
        <f>-535.407680336437 -173.485834031387 -607.139526413226</f>
        <v>-1316.03304078105</v>
      </c>
      <c r="I397">
        <f>-500.261383198033 -168.709448821841 -682.285679262801</f>
        <v>-1351.2565112826751</v>
      </c>
      <c r="J397">
        <f>-546.414454727893 -146.822323573168 -552.906565060729</f>
        <v>-1246.1433433617899</v>
      </c>
      <c r="K397">
        <f>-558.799159896651 -11.0415369325985 -535.396119400721</f>
        <v>-1105.2368162299704</v>
      </c>
      <c r="L397" t="s">
        <v>3125</v>
      </c>
      <c r="M397" t="s">
        <v>3126</v>
      </c>
      <c r="N397">
        <f>-541.413979626027 -202.01397849526 -553.071338941926</f>
        <v>-1296.4992970632129</v>
      </c>
      <c r="O397">
        <f>-541.680926982023 -337.055778341211 -527.358906624995</f>
        <v>-1406.0956119482289</v>
      </c>
      <c r="P397">
        <f>-600.008123817033 -403.602005052575 -246.715491981526</f>
        <v>-1250.3256208511341</v>
      </c>
      <c r="Q397">
        <f>-423.217934427992 -248.033589626576 -297.652347925202</f>
        <v>-968.90387197976997</v>
      </c>
      <c r="R397">
        <f>-560.519434519477 -69.7478389369228 -98.6974189133799</f>
        <v>-728.96469236977975</v>
      </c>
      <c r="S397" t="s">
        <v>3127</v>
      </c>
      <c r="T397" t="s">
        <v>3128</v>
      </c>
      <c r="U397" t="s">
        <v>3129</v>
      </c>
      <c r="V397">
        <f>-516.583106563946 -256.688626308868 -93.1618686441476</f>
        <v>-866.43360151696163</v>
      </c>
      <c r="W397" t="s">
        <v>3130</v>
      </c>
      <c r="X397" t="s">
        <v>3131</v>
      </c>
      <c r="Y397" t="s">
        <v>3132</v>
      </c>
    </row>
    <row r="398" spans="1:25" x14ac:dyDescent="0.3">
      <c r="A398">
        <v>19850</v>
      </c>
      <c r="B398" t="s">
        <v>3133</v>
      </c>
      <c r="C398">
        <f>-538.531364615323 -162.954981891052 -94.8869853547961</f>
        <v>-796.3733318611711</v>
      </c>
      <c r="D398">
        <f>-562.321491361837 -172.14652088578 -207.87270263492</f>
        <v>-942.34071488253699</v>
      </c>
      <c r="E398">
        <f>-566.37781592681 -174.984352265878 -306.372211725557</f>
        <v>-1047.7343799182449</v>
      </c>
      <c r="F398">
        <f>-563.960061121375 -175.929626143227 -395.431107113923</f>
        <v>-1135.3207943785251</v>
      </c>
      <c r="G398">
        <f>-555.077928669266 -175.385538292452 -484.082445378434</f>
        <v>-1214.545912340152</v>
      </c>
      <c r="H398">
        <f>-535.882183355812 -173.24392045551 -607.158663948189</f>
        <v>-1316.2847677595109</v>
      </c>
      <c r="I398">
        <f>-500.819869971631 -168.474935992243 -682.344587115397</f>
        <v>-1351.639393079271</v>
      </c>
      <c r="J398">
        <f>-546.843352919444 -146.591819367611 -552.910889700566</f>
        <v>-1246.3460619876209</v>
      </c>
      <c r="K398">
        <f>-559.242905155173 -10.8056409788883 -535.432190516497</f>
        <v>-1105.4807366505584</v>
      </c>
      <c r="L398" t="s">
        <v>3134</v>
      </c>
      <c r="M398" t="s">
        <v>3135</v>
      </c>
      <c r="N398">
        <f>-541.8151325882 -201.781054125362 -553.086955367774</f>
        <v>-1296.683142081336</v>
      </c>
      <c r="O398">
        <f>-542.049688627507 -336.826120728612 -527.383761272657</f>
        <v>-1406.2595706287759</v>
      </c>
      <c r="P398">
        <f>-600.281328796877 -403.312570232228 -246.706169119859</f>
        <v>-1250.3000681489639</v>
      </c>
      <c r="Q398">
        <f>-423.645827598458 -247.623111467749 -297.809551352417</f>
        <v>-969.07849041862403</v>
      </c>
      <c r="R398">
        <f>-560.650482875636 -69.5608904256665 -98.6932494251628</f>
        <v>-728.90462272646528</v>
      </c>
      <c r="S398" t="s">
        <v>3136</v>
      </c>
      <c r="T398" t="s">
        <v>3137</v>
      </c>
      <c r="U398" t="s">
        <v>3138</v>
      </c>
      <c r="V398">
        <f>-516.63382565868 -256.412599709996 -93.1508901703407</f>
        <v>-866.19731553901681</v>
      </c>
      <c r="W398" t="s">
        <v>3139</v>
      </c>
      <c r="X398" t="s">
        <v>3140</v>
      </c>
      <c r="Y398" t="s">
        <v>3141</v>
      </c>
    </row>
    <row r="399" spans="1:25" x14ac:dyDescent="0.3">
      <c r="A399">
        <v>19900</v>
      </c>
      <c r="B399" t="s">
        <v>3142</v>
      </c>
      <c r="C399">
        <f>-538.818676414248 -162.739852587705 -94.8797541259815</f>
        <v>-796.4382831279346</v>
      </c>
      <c r="D399">
        <f>-562.661310279387 -171.988149109113 -207.849788622511</f>
        <v>-942.49924801101099</v>
      </c>
      <c r="E399">
        <f>-566.827924129997 -174.85855831166 -306.343671186243</f>
        <v>-1048.0301536278998</v>
      </c>
      <c r="F399">
        <f>-564.535691573014 -175.825186952689 -395.405845336764</f>
        <v>-1135.766723862467</v>
      </c>
      <c r="G399">
        <f>-555.804059637868 -175.292045201102 -484.072061775159</f>
        <v>-1215.1681666141289</v>
      </c>
      <c r="H399">
        <f>-536.843835445452 -173.153927059763 -607.184805703016</f>
        <v>-1317.1825682082308</v>
      </c>
      <c r="I399">
        <f>-501.973204226036 -168.398393002128 -682.460836687395</f>
        <v>-1352.832433915559</v>
      </c>
      <c r="J399">
        <f>-547.719004611756 -146.501879996812 -552.9196309501</f>
        <v>-1247.1405155586681</v>
      </c>
      <c r="K399">
        <f>-560.064908599971 -10.6967928481047 -535.537714009238</f>
        <v>-1106.2994154573137</v>
      </c>
      <c r="L399" t="s">
        <v>3143</v>
      </c>
      <c r="M399" t="s">
        <v>3144</v>
      </c>
      <c r="N399">
        <f>-542.655549213458 -201.687852439952 -553.098229269803</f>
        <v>-1297.4416309232129</v>
      </c>
      <c r="O399">
        <f>-542.851473338822 -336.736699541098 -527.422195184947</f>
        <v>-1407.010368064867</v>
      </c>
      <c r="P399">
        <f>-600.927652713083 -402.910320605915 -246.638545420303</f>
        <v>-1250.4765187393009</v>
      </c>
      <c r="Q399">
        <f>-424.498205519517 -247.212299482304 -298.422816565961</f>
        <v>-970.1333215677821</v>
      </c>
      <c r="R399">
        <f>-560.991594962938 -69.2857409359249 -98.7080237487331</f>
        <v>-728.98535964759606</v>
      </c>
      <c r="S399" t="s">
        <v>3145</v>
      </c>
      <c r="T399" t="s">
        <v>3146</v>
      </c>
      <c r="U399" t="s">
        <v>3147</v>
      </c>
      <c r="V399">
        <f>-516.888285426861 -256.30710729192 -93.1015051592916</f>
        <v>-866.29689787807263</v>
      </c>
      <c r="W399" t="s">
        <v>3148</v>
      </c>
      <c r="X399" t="s">
        <v>3149</v>
      </c>
      <c r="Y399" t="s">
        <v>3150</v>
      </c>
    </row>
    <row r="400" spans="1:25" x14ac:dyDescent="0.3">
      <c r="A400">
        <v>19950</v>
      </c>
      <c r="B400" t="s">
        <v>3151</v>
      </c>
      <c r="C400">
        <f>-538.959131300729 -162.59900681339 -94.8814613502689</f>
        <v>-796.43959946438792</v>
      </c>
      <c r="D400">
        <f>-562.820820068112 -171.875035487845 -207.845143590701</f>
        <v>-942.54099914665801</v>
      </c>
      <c r="E400">
        <f>-567.041835228138 -174.768370654632 -306.336076839783</f>
        <v>-1048.146282722553</v>
      </c>
      <c r="F400">
        <f>-564.814223189613 -175.754439824616 -395.399550381201</f>
        <v>-1135.96821339543</v>
      </c>
      <c r="G400">
        <f>-556.161434627588 -175.239620575422 -484.073805210557</f>
        <v>-1215.4748604135671</v>
      </c>
      <c r="H400">
        <f>-537.326507690022 -173.125057343531 -607.206276508448</f>
        <v>-1317.6578415420011</v>
      </c>
      <c r="I400">
        <f>-502.562589022675 -168.386469368924 -682.532535616117</f>
        <v>-1353.481594007716</v>
      </c>
      <c r="J400">
        <f>-548.14689839322 -146.462516700592 -552.935208065808</f>
        <v>-1247.54462315962</v>
      </c>
      <c r="K400">
        <f>-560.43947675049 -10.6439864699255 -535.631601492027</f>
        <v>-1106.7150647124427</v>
      </c>
      <c r="L400" t="s">
        <v>3152</v>
      </c>
      <c r="M400" t="s">
        <v>3153</v>
      </c>
      <c r="N400">
        <f>-543.082777883982 -201.648525798005 -553.108330579172</f>
        <v>-1297.8396342611591</v>
      </c>
      <c r="O400">
        <f>-543.260007015013 -336.694102857448 -527.414946761182</f>
        <v>-1407.3690566336431</v>
      </c>
      <c r="P400">
        <f>-601.194739686288 -402.771439547975 -246.579454328164</f>
        <v>-1250.5456335624269</v>
      </c>
      <c r="Q400">
        <f>-424.947122559448 -247.025481046732 -298.837370099516</f>
        <v>-970.80997370569594</v>
      </c>
      <c r="R400">
        <f>-561.15062600685 -69.1445983679109 -98.7307762771223</f>
        <v>-729.02600065188324</v>
      </c>
      <c r="S400" t="s">
        <v>3154</v>
      </c>
      <c r="T400" t="s">
        <v>3155</v>
      </c>
      <c r="U400" t="s">
        <v>3156</v>
      </c>
      <c r="V400">
        <f>-516.995951056496 -256.169040258718 -93.0979368660461</f>
        <v>-866.26292818126001</v>
      </c>
      <c r="W400" t="s">
        <v>3157</v>
      </c>
      <c r="X400" t="s">
        <v>3158</v>
      </c>
      <c r="Y400" t="s">
        <v>3159</v>
      </c>
    </row>
    <row r="401" spans="1:25" x14ac:dyDescent="0.3">
      <c r="A401">
        <v>20000</v>
      </c>
      <c r="B401" t="s">
        <v>3160</v>
      </c>
      <c r="C401">
        <f>-539.223023349667 -162.23987933062 -94.8898655360977</f>
        <v>-796.35276821638467</v>
      </c>
      <c r="D401">
        <f>-563.127535643612 -171.55850525309 -207.840931577899</f>
        <v>-942.52697247460105</v>
      </c>
      <c r="E401">
        <f>-567.478415329881 -174.53417788533 -306.323850825313</f>
        <v>-1048.3364440405239</v>
      </c>
      <c r="F401">
        <f>-565.4061405527 -175.611861922147 -395.390045375116</f>
        <v>-1136.4080478499629</v>
      </c>
      <c r="G401">
        <f>-556.946181593293 -175.204494554503 -484.083407332541</f>
        <v>-1216.2340834803369</v>
      </c>
      <c r="H401">
        <f>-538.418929688637 -173.256155498174 -607.265214911437</f>
        <v>-1318.9403000982479</v>
      </c>
      <c r="I401">
        <f>-503.88557759011 -168.61990110181 -682.70371132779</f>
        <v>-1355.2091900197099</v>
      </c>
      <c r="J401">
        <f>-549.087982441683 -146.519044926592 -553.000888465042</f>
        <v>-1248.6079158333168</v>
      </c>
      <c r="K401">
        <f>-561.233468100241 -10.6647926957378 -535.879845502391</f>
        <v>-1107.7781062983699</v>
      </c>
      <c r="L401" t="s">
        <v>3161</v>
      </c>
      <c r="M401" t="s">
        <v>3162</v>
      </c>
      <c r="N401">
        <f>-544.055833046576 -201.708104443267 -553.116982571304</f>
        <v>-1298.880920061147</v>
      </c>
      <c r="O401">
        <f>-544.201247920595 -336.744522017846 -527.398665076401</f>
        <v>-1408.344435014842</v>
      </c>
      <c r="P401">
        <f>-601.396036445813 -402.855118108888 -246.419361829502</f>
        <v>-1250.670516384203</v>
      </c>
      <c r="Q401">
        <f>-425.788267433021 -246.704721078461 -299.615606737101</f>
        <v>-972.10859524858301</v>
      </c>
      <c r="R401">
        <f>-561.422598979552 -68.7062135539545 -98.7780371046814</f>
        <v>-728.90684963818796</v>
      </c>
      <c r="S401" t="s">
        <v>3163</v>
      </c>
      <c r="T401" t="s">
        <v>3164</v>
      </c>
      <c r="U401" t="s">
        <v>3165</v>
      </c>
      <c r="V401">
        <f>-517.261065991778 -255.843363224639 -93.0735924394447</f>
        <v>-866.1780216558617</v>
      </c>
      <c r="W401" t="s">
        <v>3166</v>
      </c>
      <c r="X401" t="s">
        <v>3167</v>
      </c>
      <c r="Y401" t="s">
        <v>3168</v>
      </c>
    </row>
    <row r="402" spans="1:25" x14ac:dyDescent="0.3">
      <c r="A402">
        <v>20050</v>
      </c>
      <c r="B402" t="s">
        <v>3169</v>
      </c>
      <c r="C402">
        <f>-539.221365657055 -161.982214426573 -94.890898748448</f>
        <v>-796.09447883207599</v>
      </c>
      <c r="D402">
        <f>-563.127245860035 -171.29738846288 -207.841940169694</f>
        <v>-942.26657449260904</v>
      </c>
      <c r="E402">
        <f>-567.529113314006 -174.308468492807 -306.32148031842</f>
        <v>-1048.159062125233</v>
      </c>
      <c r="F402">
        <f>-565.523196505049 -175.432532488619 -395.388622440861</f>
        <v>-1136.344351434529</v>
      </c>
      <c r="G402">
        <f>-557.150383212831 -175.085256181859 -484.090545741212</f>
        <v>-1216.3261851359021</v>
      </c>
      <c r="H402">
        <f>-538.766250029347 -173.234741698682 -607.295265210857</f>
        <v>-1319.296256938886</v>
      </c>
      <c r="I402">
        <f>-504.332523256334 -168.660799333118 -682.783252094037</f>
        <v>-1355.7765746834889</v>
      </c>
      <c r="J402">
        <f>-549.361850871868 -146.453670514748 -553.038366147817</f>
        <v>-1248.8538875344329</v>
      </c>
      <c r="K402">
        <f>-561.394381719252 -10.5787884099057 -536.03796800924</f>
        <v>-1108.0111381383977</v>
      </c>
      <c r="L402" t="s">
        <v>3170</v>
      </c>
      <c r="M402" t="s">
        <v>3171</v>
      </c>
      <c r="N402">
        <f>-544.350485482546 -201.644577822361 -553.119600357384</f>
        <v>-1299.1146636622912</v>
      </c>
      <c r="O402">
        <f>-544.517326693243 -336.677868373373 -527.348805699304</f>
        <v>-1408.5440007659199</v>
      </c>
      <c r="P402">
        <f>-601.335091104152 -402.781698254784 -246.291450280999</f>
        <v>-1250.4082396399349</v>
      </c>
      <c r="Q402">
        <f>-425.941520275312 -246.536933226129 -299.916013055956</f>
        <v>-972.39446655739698</v>
      </c>
      <c r="R402">
        <f>-561.399766618733 -68.4949014490326 -98.7761739245733</f>
        <v>-728.67084199233886</v>
      </c>
      <c r="S402" t="s">
        <v>3172</v>
      </c>
      <c r="T402" t="s">
        <v>3173</v>
      </c>
      <c r="U402" t="s">
        <v>3174</v>
      </c>
      <c r="V402">
        <f>-517.220094136314 -255.541799577445 -93.0708398122052</f>
        <v>-865.83273352596416</v>
      </c>
      <c r="W402" t="s">
        <v>3175</v>
      </c>
      <c r="X402" t="s">
        <v>3176</v>
      </c>
      <c r="Y402" t="s">
        <v>3177</v>
      </c>
    </row>
    <row r="403" spans="1:25" x14ac:dyDescent="0.3">
      <c r="A403">
        <v>20100</v>
      </c>
      <c r="B403" t="s">
        <v>3178</v>
      </c>
      <c r="C403">
        <f>-539.313044398451 -161.64981116761 -94.880720589815</f>
        <v>-795.84357615587601</v>
      </c>
      <c r="D403">
        <f>-563.237148575701 -170.971748653666 -207.827477946452</f>
        <v>-942.0363751758191</v>
      </c>
      <c r="E403">
        <f>-567.729727791763 -174.056257113161 -306.300589677392</f>
        <v>-1048.086574582316</v>
      </c>
      <c r="F403">
        <f>-565.838136991767 -175.271105675432 -395.368973764712</f>
        <v>-1136.4782164319108</v>
      </c>
      <c r="G403">
        <f>-557.611348695746 -175.037436338886 -484.084891620252</f>
        <v>-1216.733676654884</v>
      </c>
      <c r="H403">
        <f>-539.464657290683 -173.367610859016 -607.327364086791</f>
        <v>-1320.1596322364901</v>
      </c>
      <c r="I403">
        <f>-505.220440949577 -168.93325839889 -682.909786198878</f>
        <v>-1357.063485547345</v>
      </c>
      <c r="J403">
        <f>-549.930418729949 -146.504526870203 -553.085801091416</f>
        <v>-1249.5207466915681</v>
      </c>
      <c r="K403">
        <f>-561.707769678859 -10.5712894639382 -536.351958043185</f>
        <v>-1108.6310171859823</v>
      </c>
      <c r="L403" t="s">
        <v>3179</v>
      </c>
      <c r="M403" t="s">
        <v>3180</v>
      </c>
      <c r="N403">
        <f>-544.970004118398 -201.700192196693 -553.103192953152</f>
        <v>-1299.7733892682431</v>
      </c>
      <c r="O403">
        <f>-545.174648420679 -336.70557775317 -527.181109214834</f>
        <v>-1409.0613353886829</v>
      </c>
      <c r="P403">
        <f>-601.368298441184 -402.741997989026 -245.982507316745</f>
        <v>-1250.092803746955</v>
      </c>
      <c r="Q403">
        <f>-426.480209019522 -246.201744603167 -300.390309649334</f>
        <v>-973.07226327202295</v>
      </c>
      <c r="R403">
        <f>-561.491840311579 -68.1154926202128 -98.785029014826</f>
        <v>-728.39236194661783</v>
      </c>
      <c r="S403" t="s">
        <v>3181</v>
      </c>
      <c r="T403" t="s">
        <v>3182</v>
      </c>
      <c r="U403" t="s">
        <v>3183</v>
      </c>
      <c r="V403">
        <f>-517.401942503405 -255.250231061507 -93.0409970299074</f>
        <v>-865.69317059481955</v>
      </c>
      <c r="W403" t="s">
        <v>3184</v>
      </c>
      <c r="X403" t="s">
        <v>3185</v>
      </c>
      <c r="Y403" t="s">
        <v>3186</v>
      </c>
    </row>
    <row r="404" spans="1:25" x14ac:dyDescent="0.3">
      <c r="A404">
        <v>20150</v>
      </c>
      <c r="B404" t="s">
        <v>3187</v>
      </c>
      <c r="C404">
        <f>-539.386128455598 -161.492094702771 -94.8753581854114</f>
        <v>-795.75358134378052</v>
      </c>
      <c r="D404">
        <f>-563.334301613464 -170.79960155771 -207.818266813865</f>
        <v>-941.95216998503906</v>
      </c>
      <c r="E404">
        <f>-567.869172943207 -173.911077634952 -306.28850932748</f>
        <v>-1048.0687599056391</v>
      </c>
      <c r="F404">
        <f>-566.025333098772 -175.164469089388 -395.357460671102</f>
        <v>-1136.547262859262</v>
      </c>
      <c r="G404">
        <f>-557.856100504853 -174.983346006114 -484.078881661154</f>
        <v>-1216.9183281721212</v>
      </c>
      <c r="H404">
        <f>-539.800116213466 -173.400788693159 -607.335847535462</f>
        <v>-1320.5367524420872</v>
      </c>
      <c r="I404">
        <f>-505.627493394275 -169.045694279299 -682.955130360301</f>
        <v>-1357.6283180338751</v>
      </c>
      <c r="J404">
        <f>-550.209846956191 -146.498045775824 -553.103075249138</f>
        <v>-1249.810967981153</v>
      </c>
      <c r="K404">
        <f>-561.849747520512 -10.5451794336659 -536.477146417301</f>
        <v>-1108.872073371479</v>
      </c>
      <c r="L404" t="s">
        <v>3188</v>
      </c>
      <c r="M404" t="s">
        <v>3189</v>
      </c>
      <c r="N404">
        <f>-545.281376682509 -201.696519459162 -553.08983667901</f>
        <v>-1300.0677328206809</v>
      </c>
      <c r="O404">
        <f>-545.529447425479 -336.690974196995 -527.121539692091</f>
        <v>-1409.3419613145652</v>
      </c>
      <c r="P404">
        <f>-601.58856643398 -402.59026186456 -245.8637867123</f>
        <v>-1250.0426150108399</v>
      </c>
      <c r="Q404">
        <f>-426.842544123892 -245.985983624478 -300.542484557557</f>
        <v>-973.37101230592702</v>
      </c>
      <c r="R404">
        <f>-561.532840152163 -67.9153779894616 -98.7897034300394</f>
        <v>-728.23792157166395</v>
      </c>
      <c r="S404" t="s">
        <v>3190</v>
      </c>
      <c r="T404" t="s">
        <v>3191</v>
      </c>
      <c r="U404" t="s">
        <v>3192</v>
      </c>
      <c r="V404">
        <f>-517.498005983305 -255.15172577524 -93.0367461738417</f>
        <v>-865.68647793238677</v>
      </c>
      <c r="W404" t="s">
        <v>3193</v>
      </c>
      <c r="X404" t="s">
        <v>3194</v>
      </c>
      <c r="Y404" t="s">
        <v>3195</v>
      </c>
    </row>
    <row r="405" spans="1:25" x14ac:dyDescent="0.3">
      <c r="A405">
        <v>20200</v>
      </c>
      <c r="B405" t="s">
        <v>3196</v>
      </c>
      <c r="C405">
        <f>-539.36368794716 -161.239999597149 -94.8692231262144</f>
        <v>-795.47291067052333</v>
      </c>
      <c r="D405">
        <f>-563.301755268794 -170.512823225268 -207.817119187669</f>
        <v>-941.63169768173088</v>
      </c>
      <c r="E405">
        <f>-567.868902695477 -173.673623132974 -306.284296703936</f>
        <v>-1047.826822532387</v>
      </c>
      <c r="F405">
        <f>-566.072580347332 -175.001029992258 -395.353079680354</f>
        <v>-1136.4266900199441</v>
      </c>
      <c r="G405">
        <f>-557.970016255709 -174.923351836671 -484.08076427415</f>
        <v>-1216.9741323665301</v>
      </c>
      <c r="H405">
        <f>-540.027060661749 -173.514917820572 -607.356409766587</f>
        <v>-1320.8983882489081</v>
      </c>
      <c r="I405">
        <f>-505.954808520946 -169.328253257409 -683.03063040012</f>
        <v>-1358.3136921784749</v>
      </c>
      <c r="J405">
        <f>-550.323752156315 -146.52993428189 -553.142912773236</f>
        <v>-1249.996599211441</v>
      </c>
      <c r="K405">
        <f>-561.550716442799 -10.5099258856617 -536.75395557988</f>
        <v>-1108.8145979083406</v>
      </c>
      <c r="L405" t="s">
        <v>3197</v>
      </c>
      <c r="M405" t="s">
        <v>3198</v>
      </c>
      <c r="N405">
        <f>-545.521797551857 -201.739446970289 -553.074767489135</f>
        <v>-1300.3360120112811</v>
      </c>
      <c r="O405">
        <f>-546.04819015575 -336.716154969016 -527.015194925713</f>
        <v>-1409.779540050479</v>
      </c>
      <c r="P405">
        <f>-601.95269561059 -402.256759763794 -245.642944006877</f>
        <v>-1249.852399381261</v>
      </c>
      <c r="Q405">
        <f>-426.925888336656 -245.972962122751 -300.340857079784</f>
        <v>-973.23970753919093</v>
      </c>
      <c r="R405">
        <f>-561.284562852204 -67.7737545387083 -98.7802101303055</f>
        <v>-727.83852752121777</v>
      </c>
      <c r="S405" t="s">
        <v>3199</v>
      </c>
      <c r="T405" t="s">
        <v>3200</v>
      </c>
      <c r="U405" t="s">
        <v>3201</v>
      </c>
      <c r="V405">
        <f>-517.648267615717 -254.784857509525 -93.0139995028258</f>
        <v>-865.44712462806774</v>
      </c>
      <c r="W405" t="s">
        <v>3202</v>
      </c>
      <c r="X405" t="s">
        <v>3203</v>
      </c>
      <c r="Y405" t="s">
        <v>3204</v>
      </c>
    </row>
    <row r="406" spans="1:25" x14ac:dyDescent="0.3">
      <c r="A406">
        <v>20250</v>
      </c>
      <c r="B406" t="s">
        <v>3205</v>
      </c>
      <c r="C406">
        <f>-539.358259316571 -161.046575960549 -94.8673536594862</f>
        <v>-795.2721889366062</v>
      </c>
      <c r="D406">
        <f>-563.279915685417 -170.293830219314 -207.820662615033</f>
        <v>-941.39440851976406</v>
      </c>
      <c r="E406">
        <f>-567.854622766976 -173.482314835096 -306.286777952242</f>
        <v>-1047.623715554314</v>
      </c>
      <c r="F406">
        <f>-566.0751569626 -174.853798301751 -395.355239904728</f>
        <v>-1136.2841951690789</v>
      </c>
      <c r="G406">
        <f>-557.999245083016 -174.839662262258 -484.085329247243</f>
        <v>-1216.924236592517</v>
      </c>
      <c r="H406">
        <f>-540.104471409166 -173.540632133944 -607.369082831825</f>
        <v>-1321.014186374935</v>
      </c>
      <c r="I406">
        <f>-506.083960055441 -169.452541666821 -683.071955834524</f>
        <v>-1358.6084575567861</v>
      </c>
      <c r="J406">
        <f>-550.331455346914 -146.503244368522 -553.168586664238</f>
        <v>-1250.0032863796741</v>
      </c>
      <c r="K406">
        <f>-561.276850558183 -10.4407177222531 -536.925027612816</f>
        <v>-1108.6425958932523</v>
      </c>
      <c r="L406" t="s">
        <v>3206</v>
      </c>
      <c r="M406" t="s">
        <v>3207</v>
      </c>
      <c r="N406">
        <f>-545.626638796312 -201.721224746221 -553.067516942556</f>
        <v>-1300.4153804850889</v>
      </c>
      <c r="O406">
        <f>-546.378319923469 -336.681378854348 -526.935598161131</f>
        <v>-1409.9952969389478</v>
      </c>
      <c r="P406">
        <f>-602.372043139547 -401.961699619342 -245.520643744255</f>
        <v>-1249.854386503144</v>
      </c>
      <c r="Q406">
        <f>-426.997304691261 -246.104406965095 -300.320857561033</f>
        <v>-973.42256921738897</v>
      </c>
      <c r="R406">
        <f>-561.186215905477 -67.5921708798701 -98.7757391772167</f>
        <v>-727.55412596256372</v>
      </c>
      <c r="S406" t="s">
        <v>3208</v>
      </c>
      <c r="T406" t="s">
        <v>3209</v>
      </c>
      <c r="U406" t="s">
        <v>3210</v>
      </c>
      <c r="V406">
        <f>-517.738959885271 -254.563544390133 -93.0008994962072</f>
        <v>-865.30340377161122</v>
      </c>
      <c r="W406" t="s">
        <v>3211</v>
      </c>
      <c r="X406" t="s">
        <v>3212</v>
      </c>
      <c r="Y406" t="s">
        <v>3213</v>
      </c>
    </row>
    <row r="407" spans="1:25" x14ac:dyDescent="0.3">
      <c r="A407">
        <v>20300</v>
      </c>
      <c r="B407" t="s">
        <v>3214</v>
      </c>
      <c r="C407">
        <f>-539.313666314572 -160.751864434988 -94.8640104734609</f>
        <v>-794.92954122302081</v>
      </c>
      <c r="D407">
        <f>-563.189395708317 -169.907499027184 -207.834478615947</f>
        <v>-940.93137335144797</v>
      </c>
      <c r="E407">
        <f>-567.774403417704 -173.144966408607 -306.298549521649</f>
        <v>-1047.2179193479599</v>
      </c>
      <c r="F407">
        <f>-566.026763393216 -174.610306780549 -395.36605177149</f>
        <v>-1136.0031219452549</v>
      </c>
      <c r="G407">
        <f>-558.0063948892 -174.740461145754 -484.101063242082</f>
        <v>-1216.847919277036</v>
      </c>
      <c r="H407">
        <f>-540.214711225258 -173.695925689387 -607.40224822804</f>
        <v>-1321.312885142685</v>
      </c>
      <c r="I407">
        <f>-506.296590929115 -169.837633337624 -683.1630110105</f>
        <v>-1359.297235277239</v>
      </c>
      <c r="J407">
        <f>-550.277128498692 -146.53685306069 -553.231732545423</f>
        <v>-1250.045714104805</v>
      </c>
      <c r="K407">
        <f>-560.57767730277 -10.3790434347634 -537.312498114709</f>
        <v>-1108.2692188522424</v>
      </c>
      <c r="L407" t="s">
        <v>3215</v>
      </c>
      <c r="M407" t="s">
        <v>3216</v>
      </c>
      <c r="N407">
        <f>-545.810729172126 -201.774308725124 -553.055267768435</f>
        <v>-1300.640305665685</v>
      </c>
      <c r="O407">
        <f>-547.143150724063 -336.693481256247 -526.762815507622</f>
        <v>-1410.5994474879321</v>
      </c>
      <c r="P407">
        <f>-603.452343681317 -401.200405216139 -245.232437329014</f>
        <v>-1249.8851862264698</v>
      </c>
      <c r="Q407">
        <f>-427.257438007996 -246.320601851708 -300.173434781621</f>
        <v>-973.75147464132488</v>
      </c>
      <c r="R407">
        <f>-561.02506159825 -67.2115551286088 -98.7664701091783</f>
        <v>-727.00308683603703</v>
      </c>
      <c r="S407" t="s">
        <v>3217</v>
      </c>
      <c r="T407" t="s">
        <v>3218</v>
      </c>
      <c r="U407" t="s">
        <v>3219</v>
      </c>
      <c r="V407">
        <f>-517.847823360123 -254.39174195553 -93.0110030151375</f>
        <v>-865.25056833079043</v>
      </c>
      <c r="W407" t="s">
        <v>3220</v>
      </c>
      <c r="X407" t="s">
        <v>3221</v>
      </c>
      <c r="Y407" t="s">
        <v>3222</v>
      </c>
    </row>
    <row r="408" spans="1:25" x14ac:dyDescent="0.3">
      <c r="A408">
        <v>20350</v>
      </c>
      <c r="B408" t="s">
        <v>3223</v>
      </c>
      <c r="C408">
        <f>-539.333084467936 -160.619936189485 -94.8682631508478</f>
        <v>-794.82128380826884</v>
      </c>
      <c r="D408">
        <f>-563.196660939551 -169.739882227266 -207.844303523494</f>
        <v>-940.78084669031091</v>
      </c>
      <c r="E408">
        <f>-567.782655888812 -173.003121558078 -306.307466420115</f>
        <v>-1047.093243867005</v>
      </c>
      <c r="F408">
        <f>-566.041994555225 -174.513277549034 -395.374363855995</f>
        <v>-1135.929635960254</v>
      </c>
      <c r="G408">
        <f>-558.034879687252 -174.710860184295 -484.110442848954</f>
        <v>-1216.856182720501</v>
      </c>
      <c r="H408">
        <f>-540.268893328572 -173.783905238843 -607.416290007591</f>
        <v>-1321.469088575006</v>
      </c>
      <c r="I408">
        <f>-506.391145406829 -170.050860485933 -683.201419262438</f>
        <v>-1359.6434251552</v>
      </c>
      <c r="J408">
        <f>-550.262143373301 -146.568513631018 -553.261173280099</f>
        <v>-1250.0918302844179</v>
      </c>
      <c r="K408">
        <f>-560.232265978899 -10.3777210782464 -537.499196800576</f>
        <v>-1108.1091838577213</v>
      </c>
      <c r="L408" t="s">
        <v>3224</v>
      </c>
      <c r="M408" t="s">
        <v>3225</v>
      </c>
      <c r="N408">
        <f>-545.911428384319 -201.815214234518 -553.049650864102</f>
        <v>-1300.7762934829391</v>
      </c>
      <c r="O408">
        <f>-547.518918971971 -336.719344334931 -526.663160503773</f>
        <v>-1410.9014238106749</v>
      </c>
      <c r="P408">
        <f>-604.060105272419 -400.821704055559 -245.087023737499</f>
        <v>-1249.9688330654772</v>
      </c>
      <c r="Q408">
        <f>-427.502534107582 -246.379311913759 -300.094282738064</f>
        <v>-973.97612875940513</v>
      </c>
      <c r="R408">
        <f>-560.910722050584 -67.0808041028824 -98.7799496672164</f>
        <v>-726.77147582068289</v>
      </c>
      <c r="S408" t="s">
        <v>3226</v>
      </c>
      <c r="T408" t="s">
        <v>3227</v>
      </c>
      <c r="U408" t="s">
        <v>3228</v>
      </c>
      <c r="V408">
        <f>-518.034224235897 -254.239126723335 -93.0202502250978</f>
        <v>-865.29360118432976</v>
      </c>
      <c r="W408" t="s">
        <v>3229</v>
      </c>
      <c r="X408" t="s">
        <v>3230</v>
      </c>
      <c r="Y408" t="s">
        <v>3231</v>
      </c>
    </row>
    <row r="409" spans="1:25" x14ac:dyDescent="0.3">
      <c r="A409">
        <v>20400</v>
      </c>
      <c r="B409" t="s">
        <v>3232</v>
      </c>
      <c r="C409">
        <f>-539.400327097238 -160.337376671814 -94.8761714098503</f>
        <v>-794.61387517890228</v>
      </c>
      <c r="D409">
        <f>-563.269549419767 -169.365736692834 -207.858343388055</f>
        <v>-940.49362950065608</v>
      </c>
      <c r="E409">
        <f>-567.82644707689 -172.662829756648 -306.321574390726</f>
        <v>-1046.8108512242638</v>
      </c>
      <c r="F409">
        <f>-566.048216738424 -174.247402333737 -395.386623914963</f>
        <v>-1135.682242987124</v>
      </c>
      <c r="G409">
        <f>-557.994087020019 -174.565190534538 -484.117990167817</f>
        <v>-1216.6772677223742</v>
      </c>
      <c r="H409">
        <f>-540.152818134315 -173.854059672033 -607.414479178762</f>
        <v>-1321.4213569851099</v>
      </c>
      <c r="I409">
        <f>-506.28670642096 -170.394660594387 -683.217813040775</f>
        <v>-1359.8991800561221</v>
      </c>
      <c r="J409">
        <f>-550.069299869177 -146.535263261579 -553.297313816366</f>
        <v>-1249.901876947122</v>
      </c>
      <c r="K409">
        <f>-559.436269741581 -10.262540047047 -537.824157117791</f>
        <v>-1107.5229669064188</v>
      </c>
      <c r="L409" t="s">
        <v>3233</v>
      </c>
      <c r="M409" t="s">
        <v>3234</v>
      </c>
      <c r="N409">
        <f>-545.938424353695 -201.798495006866 -553.018326059182</f>
        <v>-1300.755245419743</v>
      </c>
      <c r="O409">
        <f>-548.093234014873 -336.668020419877 -526.522286464407</f>
        <v>-1411.2835408991571</v>
      </c>
      <c r="P409">
        <f>-605.027901745422 -400.240182543179 -244.905023992177</f>
        <v>-1250.173108280778</v>
      </c>
      <c r="Q409">
        <f>-427.924371328358 -246.455969407782 -300.00155245903</f>
        <v>-974.38189319516994</v>
      </c>
      <c r="R409">
        <f>-560.652495916564 -66.8660861219776 -98.7981242654043</f>
        <v>-726.31670630394592</v>
      </c>
      <c r="S409" t="s">
        <v>3235</v>
      </c>
      <c r="T409" t="s">
        <v>3236</v>
      </c>
      <c r="U409" t="s">
        <v>3237</v>
      </c>
      <c r="V409">
        <f>-518.382774828521 -253.911626889698 -93.0154550909779</f>
        <v>-865.30985680919684</v>
      </c>
      <c r="W409" t="s">
        <v>3238</v>
      </c>
      <c r="X409" t="s">
        <v>3239</v>
      </c>
      <c r="Y409" t="s">
        <v>3240</v>
      </c>
    </row>
    <row r="410" spans="1:25" x14ac:dyDescent="0.3">
      <c r="A410">
        <v>20450</v>
      </c>
      <c r="B410" t="s">
        <v>3241</v>
      </c>
      <c r="C410">
        <f>-539.462892185086 -160.321929325321 -94.8777223162373</f>
        <v>-794.66254382664431</v>
      </c>
      <c r="D410">
        <f>-563.3318778085 -169.319329278961 -207.862307814503</f>
        <v>-940.51351490196396</v>
      </c>
      <c r="E410">
        <f>-567.898514591572 -172.641429728903 -306.324343660171</f>
        <v>-1046.8642879806462</v>
      </c>
      <c r="F410">
        <f>-566.13443682292 -174.268874423975 -395.388951685957</f>
        <v>-1135.7922629328521</v>
      </c>
      <c r="G410">
        <f>-558.099500044916 -174.650804173775 -484.121746887905</f>
        <v>-1216.872051106596</v>
      </c>
      <c r="H410">
        <f>-540.291465299756 -174.051481649167 -607.423508714253</f>
        <v>-1321.7664556631762</v>
      </c>
      <c r="I410">
        <f>-506.431388398246 -170.719723961676 -683.235367269405</f>
        <v>-1360.3864796293269</v>
      </c>
      <c r="J410">
        <f>-550.140823819634 -146.679821460703 -553.320975629194</f>
        <v>-1250.141620909531</v>
      </c>
      <c r="K410">
        <f>-559.209057614793 -10.3739371748115 -537.945693486483</f>
        <v>-1107.5286882760875</v>
      </c>
      <c r="L410" t="s">
        <v>3242</v>
      </c>
      <c r="M410" t="s">
        <v>3243</v>
      </c>
      <c r="N410">
        <f>-546.114817202355 -201.950594085873 -553.008082838069</f>
        <v>-1301.073494126297</v>
      </c>
      <c r="O410">
        <f>-548.499042468043 -336.809392599872 -526.465435151972</f>
        <v>-1411.7738702198869</v>
      </c>
      <c r="P410">
        <f>-605.567094882987 -400.131259341291 -244.818832498667</f>
        <v>-1250.5171867229451</v>
      </c>
      <c r="Q410">
        <f>-428.259790310942 -246.639070055857 -300.073821356339</f>
        <v>-974.97268172313807</v>
      </c>
      <c r="R410">
        <f>-560.572465981361 -66.762166366168 -98.8015027217795</f>
        <v>-726.13613506930847</v>
      </c>
      <c r="S410" t="s">
        <v>3244</v>
      </c>
      <c r="T410" t="s">
        <v>3245</v>
      </c>
      <c r="U410" t="s">
        <v>3246</v>
      </c>
      <c r="V410">
        <f>-518.579271143681 -254.019336571658 -92.9954520118388</f>
        <v>-865.59405972717775</v>
      </c>
      <c r="W410" t="s">
        <v>3247</v>
      </c>
      <c r="X410" t="s">
        <v>3248</v>
      </c>
      <c r="Y410" t="s">
        <v>3249</v>
      </c>
    </row>
    <row r="411" spans="1:25" x14ac:dyDescent="0.3">
      <c r="A411">
        <v>20500</v>
      </c>
      <c r="B411" t="s">
        <v>3250</v>
      </c>
      <c r="C411">
        <f>-539.316214706643 -160.116175526319 -94.8666720641932</f>
        <v>-794.29906229715516</v>
      </c>
      <c r="D411">
        <f>-563.170150555773 -169.050882803676 -207.859484053981</f>
        <v>-940.08051741343002</v>
      </c>
      <c r="E411">
        <f>-567.75140416278 -172.419807980822 -306.319255150869</f>
        <v>-1046.4904672944708</v>
      </c>
      <c r="F411">
        <f>-566.013403385499 -174.129284396195 -395.382659942839</f>
        <v>-1135.525347724533</v>
      </c>
      <c r="G411">
        <f>-558.018715400096 -174.633550729409 -484.118637478083</f>
        <v>-1216.770903607588</v>
      </c>
      <c r="H411">
        <f>-540.281936077821 -174.247932696582 -607.431630544707</f>
        <v>-1321.9614993191099</v>
      </c>
      <c r="I411">
        <f>-506.440508181826 -171.131529632913 -683.260794595994</f>
        <v>-1360.8328324107329</v>
      </c>
      <c r="J411">
        <f>-550.003028961698 -146.775546397452 -553.356809122647</f>
        <v>-1250.1353844817968</v>
      </c>
      <c r="K411">
        <f>-558.517446497012 -10.4158369324266 -538.197315995458</f>
        <v>-1107.1305994248964</v>
      </c>
      <c r="L411" t="s">
        <v>3251</v>
      </c>
      <c r="M411" t="s">
        <v>3252</v>
      </c>
      <c r="N411">
        <f>-546.171078881562 -202.059730079335 -552.978527708652</f>
        <v>-1301.209336669549</v>
      </c>
      <c r="O411">
        <f>-548.990301774141 -336.892455519497 -526.337622534294</f>
        <v>-1412.220379827932</v>
      </c>
      <c r="P411">
        <f>-606.031203081174 -399.874556306301 -244.60936026245</f>
        <v>-1250.5151196499251</v>
      </c>
      <c r="Q411">
        <f>-428.678968741404 -246.621752912924 -300.381666507283</f>
        <v>-975.68238816161102</v>
      </c>
      <c r="R411">
        <f>-560.21798040467 -66.498968694465 -98.8117618815833</f>
        <v>-725.5287109807183</v>
      </c>
      <c r="S411" t="s">
        <v>3253</v>
      </c>
      <c r="T411" t="s">
        <v>3254</v>
      </c>
      <c r="U411" t="s">
        <v>3255</v>
      </c>
      <c r="V411">
        <f>-518.614319913185 -253.780718994205 -92.9975477887734</f>
        <v>-865.39258669616345</v>
      </c>
      <c r="W411" t="s">
        <v>3256</v>
      </c>
      <c r="X411" t="s">
        <v>3257</v>
      </c>
      <c r="Y411" t="s">
        <v>3258</v>
      </c>
    </row>
    <row r="412" spans="1:25" x14ac:dyDescent="0.3">
      <c r="A412">
        <v>20550</v>
      </c>
      <c r="B412" t="s">
        <v>3259</v>
      </c>
      <c r="C412">
        <f>-539.259438200501 -159.849152146152 -94.8704706314013</f>
        <v>-793.97906097805435</v>
      </c>
      <c r="D412">
        <f>-563.127712182569 -168.753557928886 -207.862604978929</f>
        <v>-939.74387509038399</v>
      </c>
      <c r="E412">
        <f>-567.724134995021 -172.139332403787 -306.321068154151</f>
        <v>-1046.184535552959</v>
      </c>
      <c r="F412">
        <f>-566.001677655047 -173.881114811194 -395.384240789761</f>
        <v>-1135.2670332560022</v>
      </c>
      <c r="G412">
        <f>-558.024641417785 -174.435560707102 -484.121553245438</f>
        <v>-1216.581755370325</v>
      </c>
      <c r="H412">
        <f>-540.315165897087 -174.138749118639 -607.438632976645</f>
        <v>-1321.892547992371</v>
      </c>
      <c r="I412">
        <f>-506.491247942681 -171.128195429544 -683.279995996383</f>
        <v>-1360.899439368608</v>
      </c>
      <c r="J412">
        <f>-549.982676334643 -146.624455909742 -553.375626122859</f>
        <v>-1249.9827583672441</v>
      </c>
      <c r="K412">
        <f>-558.240372629489 -10.2354037558662 -538.303038284582</f>
        <v>-1106.7788146699372</v>
      </c>
      <c r="L412" t="s">
        <v>3260</v>
      </c>
      <c r="M412" t="s">
        <v>3261</v>
      </c>
      <c r="N412">
        <f>-546.23389197553 -201.914254961179 -552.97023192049</f>
        <v>-1301.1183788571991</v>
      </c>
      <c r="O412">
        <f>-549.235551226806 -336.733108499565 -526.282359922898</f>
        <v>-1412.251019649269</v>
      </c>
      <c r="P412">
        <f>-606.17991945021 -399.563557837999 -244.50069322916</f>
        <v>-1250.2441705173692</v>
      </c>
      <c r="Q412">
        <f>-428.926012838964 -246.307054513134 -300.575595604846</f>
        <v>-975.80866295694409</v>
      </c>
      <c r="R412">
        <f>-560.120374179728 -66.2276609199996 -98.8228953369712</f>
        <v>-725.17093043669877</v>
      </c>
      <c r="S412" t="s">
        <v>3262</v>
      </c>
      <c r="T412" t="s">
        <v>3263</v>
      </c>
      <c r="U412" t="s">
        <v>3264</v>
      </c>
      <c r="V412">
        <f>-518.646149035232 -253.447199669959 -93.0001790212601</f>
        <v>-865.09352772645116</v>
      </c>
      <c r="W412" t="s">
        <v>3265</v>
      </c>
      <c r="X412" t="s">
        <v>3266</v>
      </c>
      <c r="Y412" t="s">
        <v>3267</v>
      </c>
    </row>
    <row r="413" spans="1:25" x14ac:dyDescent="0.3">
      <c r="A413">
        <v>20600</v>
      </c>
      <c r="B413" t="s">
        <v>3268</v>
      </c>
      <c r="C413">
        <f>-539.379854288349 -159.357511764662 -94.873866499573</f>
        <v>-793.61123255258394</v>
      </c>
      <c r="D413">
        <f>-563.255598316482 -168.165358196867 -207.872006849071</f>
        <v>-939.29296336241998</v>
      </c>
      <c r="E413">
        <f>-567.844123196331 -171.551814075847 -306.330851544223</f>
        <v>-1045.726788816401</v>
      </c>
      <c r="F413">
        <f>-566.110764057851 -173.326821927925 -395.393105284647</f>
        <v>-1134.8306912704231</v>
      </c>
      <c r="G413">
        <f>-558.119965443284 -173.948266315808 -484.128774326246</f>
        <v>-1216.197006085338</v>
      </c>
      <c r="H413">
        <f>-540.389110052975 -173.780549718339 -607.44296090488</f>
        <v>-1321.612620676194</v>
      </c>
      <c r="I413">
        <f>-506.58423496004 -170.961830300515 -683.300234943612</f>
        <v>-1360.8463002041672</v>
      </c>
      <c r="J413">
        <f>-549.999316886969 -146.205338298918 -553.400793253597</f>
        <v>-1249.605448439484</v>
      </c>
      <c r="K413">
        <f>-557.81896290855 -9.7786468174379 -538.463313104698</f>
        <v>-1106.060922830686</v>
      </c>
      <c r="L413" t="s">
        <v>3269</v>
      </c>
      <c r="M413" t="s">
        <v>3270</v>
      </c>
      <c r="N413">
        <f>-546.383670239623 -201.503495293255 -552.956209947975</f>
        <v>-1300.843375480853</v>
      </c>
      <c r="O413">
        <f>-549.707969332728 -336.305721515302 -526.222770574673</f>
        <v>-1412.2364614227031</v>
      </c>
      <c r="P413">
        <f>-606.48897769684 -399.149722268233 -244.4111709046</f>
        <v>-1250.0498708696732</v>
      </c>
      <c r="Q413">
        <f>-429.352227297749 -245.99073365138 -301.118728644985</f>
        <v>-976.46168959411398</v>
      </c>
      <c r="R413">
        <f>-560.001992237841 -65.74072658266 -98.7993323416979</f>
        <v>-724.54205116219896</v>
      </c>
      <c r="S413" t="s">
        <v>3271</v>
      </c>
      <c r="T413" t="s">
        <v>3272</v>
      </c>
      <c r="U413" t="s">
        <v>3273</v>
      </c>
      <c r="V413">
        <f>-518.98084030008 -253.063562260388 -93.0009040432873</f>
        <v>-865.04530660375531</v>
      </c>
      <c r="W413" t="s">
        <v>3274</v>
      </c>
      <c r="X413" t="s">
        <v>3275</v>
      </c>
      <c r="Y413" t="s">
        <v>3276</v>
      </c>
    </row>
    <row r="414" spans="1:25" x14ac:dyDescent="0.3">
      <c r="A414">
        <v>20650</v>
      </c>
      <c r="B414" t="s">
        <v>3277</v>
      </c>
      <c r="C414">
        <f>-539.38898196178 -159.185203268874 -94.8498355918127</f>
        <v>-793.42402082246679</v>
      </c>
      <c r="D414">
        <f>-563.258449291294 -167.960160404488 -207.851869422262</f>
        <v>-939.07047911804398</v>
      </c>
      <c r="E414">
        <f>-567.823178627058 -171.339104221652 -306.312095522207</f>
        <v>-1045.4743783709171</v>
      </c>
      <c r="F414">
        <f>-566.061679130529 -173.115206776641 -395.373839658494</f>
        <v>-1134.5507255656639</v>
      </c>
      <c r="G414">
        <f>-558.036139735579 -173.746186071507 -484.106213520416</f>
        <v>-1215.888539327502</v>
      </c>
      <c r="H414">
        <f>-540.25058057355 -173.600807455228 -607.412602678138</f>
        <v>-1321.263990706916</v>
      </c>
      <c r="I414">
        <f>-506.444175374001 -170.859004195052 -683.271840105384</f>
        <v>-1360.575019674437</v>
      </c>
      <c r="J414">
        <f>-549.860054621239 -146.014165307468 -553.375993471362</f>
        <v>-1249.250213400069</v>
      </c>
      <c r="K414">
        <f>-557.495839936255 -9.56723742202462 -538.502734850248</f>
        <v>-1105.5658122085276</v>
      </c>
      <c r="L414" t="s">
        <v>3278</v>
      </c>
      <c r="M414" t="s">
        <v>3279</v>
      </c>
      <c r="N414">
        <f>-546.29417084165 -201.315420100752 -552.92690771815</f>
        <v>-1300.5364986605521</v>
      </c>
      <c r="O414">
        <f>-549.769701633397 -336.114420272255 -526.19571574003</f>
        <v>-1412.0798376456819</v>
      </c>
      <c r="P414">
        <f>-606.5896365703 -398.936926004374 -244.387312598121</f>
        <v>-1249.9138751727951</v>
      </c>
      <c r="Q414">
        <f>-429.366025560819 -245.975613140153 -301.356502340969</f>
        <v>-976.69814104194097</v>
      </c>
      <c r="R414">
        <f>-559.933045053891 -65.5538249834881 -98.771726939732</f>
        <v>-724.2585969771111</v>
      </c>
      <c r="S414" t="s">
        <v>3280</v>
      </c>
      <c r="T414" t="s">
        <v>3281</v>
      </c>
      <c r="U414" t="s">
        <v>3282</v>
      </c>
      <c r="V414">
        <f>-519.055480824365 -252.904783444858 -92.9938637407415</f>
        <v>-864.95412800996451</v>
      </c>
      <c r="W414" t="s">
        <v>3283</v>
      </c>
      <c r="X414" t="s">
        <v>3284</v>
      </c>
      <c r="Y414" t="s">
        <v>3285</v>
      </c>
    </row>
    <row r="415" spans="1:25" x14ac:dyDescent="0.3">
      <c r="A415">
        <v>20700</v>
      </c>
      <c r="B415" t="s">
        <v>3286</v>
      </c>
      <c r="C415">
        <f>-539.447621096184 -158.790614689168 -94.7837441341536</f>
        <v>-793.02197991950561</v>
      </c>
      <c r="D415">
        <f>-563.28065192377 -167.497431144847 -207.798855646874</f>
        <v>-938.57693871549111</v>
      </c>
      <c r="E415">
        <f>-567.744458903211 -170.87596610167 -306.263717835797</f>
        <v>-1044.8841428406781</v>
      </c>
      <c r="F415">
        <f>-565.865392955425 -172.676435512783 -395.322377404085</f>
        <v>-1133.864205872293</v>
      </c>
      <c r="G415">
        <f>-557.696732717174 -173.357872830863 -484.041415109196</f>
        <v>-1215.0960206572331</v>
      </c>
      <c r="H415">
        <f>-539.685975694151 -173.312018862021 -607.315123100707</f>
        <v>-1320.3131176568791</v>
      </c>
      <c r="I415">
        <f>-505.82189100554 -170.7162122562 -683.153873812189</f>
        <v>-1359.6919770739291</v>
      </c>
      <c r="J415">
        <f>-549.332019718788 -145.677772124149 -553.309554376882</f>
        <v>-1248.3193462198192</v>
      </c>
      <c r="K415">
        <f>-556.563689901052 -9.2010141792673 -538.560008170695</f>
        <v>-1104.3247122510143</v>
      </c>
      <c r="L415" t="s">
        <v>3287</v>
      </c>
      <c r="M415" t="s">
        <v>3288</v>
      </c>
      <c r="N415">
        <f>-545.891186867917 -200.986773863796 -552.827441704071</f>
        <v>-1299.705402435784</v>
      </c>
      <c r="O415">
        <f>-549.743774844009 -335.777521066308 -526.09366128472</f>
        <v>-1411.6149571950368</v>
      </c>
      <c r="P415">
        <f>-606.78607950819 -398.555462924026 -244.320117489729</f>
        <v>-1249.6616599219451</v>
      </c>
      <c r="Q415">
        <f>-429.30381604633 -246.133255297852 -301.925780258474</f>
        <v>-977.36285160265595</v>
      </c>
      <c r="R415">
        <f>-559.803286176982 -65.1129291559498 -98.707728704507</f>
        <v>-723.62394403743883</v>
      </c>
      <c r="S415" t="s">
        <v>3289</v>
      </c>
      <c r="T415" t="s">
        <v>3290</v>
      </c>
      <c r="U415" t="s">
        <v>3291</v>
      </c>
      <c r="V415">
        <f>-519.328831238646 -252.54581347881 -92.9452415247525</f>
        <v>-864.81988624220855</v>
      </c>
      <c r="W415" t="s">
        <v>3292</v>
      </c>
      <c r="X415" t="s">
        <v>3293</v>
      </c>
      <c r="Y415" t="s">
        <v>3294</v>
      </c>
    </row>
    <row r="416" spans="1:25" x14ac:dyDescent="0.3">
      <c r="A416">
        <v>20750</v>
      </c>
      <c r="B416" t="s">
        <v>3295</v>
      </c>
      <c r="C416">
        <f>-539.458887398785 -158.497724946142 -94.752135662619</f>
        <v>-792.70874800754598</v>
      </c>
      <c r="D416">
        <f>-563.253104427519 -167.160653562683 -207.778838411626</f>
        <v>-938.19259640182804</v>
      </c>
      <c r="E416">
        <f>-567.641182209179 -170.533391178921 -306.24709919816</f>
        <v>-1044.42167258626</v>
      </c>
      <c r="F416">
        <f>-565.677571919905 -172.34205972833 -395.303992093426</f>
        <v>-1133.3236237416609</v>
      </c>
      <c r="G416">
        <f>-557.409032996728 -173.04639777391 -484.013498271932</f>
        <v>-1214.4689290425699</v>
      </c>
      <c r="H416">
        <f>-539.243276626197 -173.048250385735 -607.264455665932</f>
        <v>-1319.555982677864</v>
      </c>
      <c r="I416">
        <f>-505.315088301343 -170.514600273511 -683.076682541799</f>
        <v>-1358.906371116653</v>
      </c>
      <c r="J416">
        <f>-548.924521160998 -145.390965146931 -553.276913086966</f>
        <v>-1247.592399394895</v>
      </c>
      <c r="K416">
        <f>-555.935086756628 -8.89608329996054 -538.568401999458</f>
        <v>-1103.3995720560465</v>
      </c>
      <c r="L416" t="s">
        <v>3296</v>
      </c>
      <c r="M416" t="s">
        <v>3297</v>
      </c>
      <c r="N416">
        <f>-545.549613719624 -200.703940306352 -552.77871552714</f>
        <v>-1299.0322695531158</v>
      </c>
      <c r="O416">
        <f>-549.610864022478 -335.485683645713 -526.038108095204</f>
        <v>-1411.1346557633951</v>
      </c>
      <c r="P416">
        <f>-606.798650413966 -398.128286694422 -244.264006538501</f>
        <v>-1249.1909436468891</v>
      </c>
      <c r="Q416">
        <f>-429.060826906207 -246.066012518784 -302.03219119938</f>
        <v>-977.15903062437098</v>
      </c>
      <c r="R416">
        <f>-559.747953555742 -64.8481332671338 -98.6734241003859</f>
        <v>-723.26951092326169</v>
      </c>
      <c r="S416" t="s">
        <v>3298</v>
      </c>
      <c r="T416" t="s">
        <v>3299</v>
      </c>
      <c r="U416" t="s">
        <v>3300</v>
      </c>
      <c r="V416">
        <f>-519.381182697874 -252.200507010341 -92.9248398916891</f>
        <v>-864.50652959990407</v>
      </c>
      <c r="W416" t="s">
        <v>3301</v>
      </c>
      <c r="X416" t="s">
        <v>3302</v>
      </c>
      <c r="Y416" t="s">
        <v>3303</v>
      </c>
    </row>
    <row r="417" spans="1:25" x14ac:dyDescent="0.3">
      <c r="A417">
        <v>20800</v>
      </c>
      <c r="B417" t="s">
        <v>3304</v>
      </c>
      <c r="C417">
        <f>-539.369573889889 -158.057187590468 -94.7190323314038</f>
        <v>-792.14579381176088</v>
      </c>
      <c r="D417">
        <f>-563.119676369705 -166.647147843348 -207.760481809263</f>
        <v>-937.527306022316</v>
      </c>
      <c r="E417">
        <f>-567.352157763092 -170.001119688322 -306.23634816951</f>
        <v>-1043.5896256209239</v>
      </c>
      <c r="F417">
        <f>-565.201490552999 -171.811518565245 -395.288738751976</f>
        <v>-1132.30174787022</v>
      </c>
      <c r="G417">
        <f>-556.701297606806 -172.538634441707 -483.976093417689</f>
        <v>-1213.2160254662019</v>
      </c>
      <c r="H417">
        <f>-538.167060364044 -172.595985223809 -607.172349426057</f>
        <v>-1317.93539501391</v>
      </c>
      <c r="I417">
        <f>-504.051136439765 -170.173201436918 -682.903880395625</f>
        <v>-1357.128218272308</v>
      </c>
      <c r="J417">
        <f>-547.951252679681 -144.910742773449 -553.217691173168</f>
        <v>-1246.0796866262981</v>
      </c>
      <c r="K417">
        <f>-554.599886013275 -8.38978335757133 -538.563027652068</f>
        <v>-1101.5526970229143</v>
      </c>
      <c r="L417" t="s">
        <v>3305</v>
      </c>
      <c r="M417" t="s">
        <v>3306</v>
      </c>
      <c r="N417">
        <f>-544.694944097554 -200.230701976283 -552.701861232901</f>
        <v>-1297.6275073067382</v>
      </c>
      <c r="O417">
        <f>-549.14802079642 -334.986187504429 -525.898842238063</f>
        <v>-1410.033050538912</v>
      </c>
      <c r="P417">
        <f>-606.809448408085 -397.20220406481 -244.126790537884</f>
        <v>-1248.1384430107792</v>
      </c>
      <c r="Q417">
        <f>-428.430357534272 -246.032897596813 -302.261149385925</f>
        <v>-976.72440451701004</v>
      </c>
      <c r="R417">
        <f>-559.541134467105 -64.3956267900892 -98.6240091917019</f>
        <v>-722.56077044889616</v>
      </c>
      <c r="S417" t="s">
        <v>3307</v>
      </c>
      <c r="T417" t="s">
        <v>3308</v>
      </c>
      <c r="U417" t="s">
        <v>3309</v>
      </c>
      <c r="V417">
        <f>-519.443138841154 -251.791841286271 -92.9027781291535</f>
        <v>-864.13775825657842</v>
      </c>
      <c r="W417" t="s">
        <v>3310</v>
      </c>
      <c r="X417" t="s">
        <v>3311</v>
      </c>
      <c r="Y417" t="s">
        <v>3312</v>
      </c>
    </row>
    <row r="418" spans="1:25" x14ac:dyDescent="0.3">
      <c r="A418">
        <v>20850</v>
      </c>
      <c r="B418" t="s">
        <v>3313</v>
      </c>
      <c r="C418">
        <f>-539.424537958078 -157.86829168701 -94.7142089751275</f>
        <v>-792.00703862021544</v>
      </c>
      <c r="D418">
        <f>-563.138829283298 -166.412695235152 -207.766635694915</f>
        <v>-937.31816021336499</v>
      </c>
      <c r="E418">
        <f>-567.283308944655 -169.752182727957 -306.246663735829</f>
        <v>-1043.282155408441</v>
      </c>
      <c r="F418">
        <f>-565.03070671138 -171.560483230814 -395.296680529903</f>
        <v>-1131.8878704720969</v>
      </c>
      <c r="G418">
        <f>-556.407538281138 -172.297779249135 -483.972078012397</f>
        <v>-1212.6773955426702</v>
      </c>
      <c r="H418">
        <f>-537.67973581182 -172.38296241303 -607.138985683772</f>
        <v>-1317.201683908622</v>
      </c>
      <c r="I418">
        <f>-503.456130408384 -170.013134936511 -682.823625342612</f>
        <v>-1356.292890687507</v>
      </c>
      <c r="J418">
        <f>-547.522283614887 -144.684006224039 -553.202049932354</f>
        <v>-1245.40833977128</v>
      </c>
      <c r="K418">
        <f>-554.020489878139 -8.1512828874088 -538.556228780628</f>
        <v>-1100.7280015461756</v>
      </c>
      <c r="L418" t="s">
        <v>3314</v>
      </c>
      <c r="M418" t="s">
        <v>3315</v>
      </c>
      <c r="N418">
        <f>-544.319379150719 -200.007048320235 -552.676703427707</f>
        <v>-1297.0031308986609</v>
      </c>
      <c r="O418">
        <f>-548.930765433705 -334.745599158274 -525.845596058747</f>
        <v>-1409.521960650726</v>
      </c>
      <c r="P418">
        <f>-606.688838209205 -396.760366903724 -244.048811315393</f>
        <v>-1247.498016428322</v>
      </c>
      <c r="Q418">
        <f>-428.046820727304 -246.012171376609 -302.46846986031</f>
        <v>-976.52746196422299</v>
      </c>
      <c r="R418">
        <f>-559.523092040592 -64.1835169857561 -98.6020214935281</f>
        <v>-722.30863051987626</v>
      </c>
      <c r="S418" t="s">
        <v>3316</v>
      </c>
      <c r="T418" t="s">
        <v>3317</v>
      </c>
      <c r="U418" t="s">
        <v>3318</v>
      </c>
      <c r="V418">
        <f>-519.577157280323 -251.614671029728 -92.8990603276307</f>
        <v>-864.0908886376817</v>
      </c>
      <c r="W418" t="s">
        <v>3319</v>
      </c>
      <c r="X418" t="s">
        <v>3320</v>
      </c>
      <c r="Y418" t="s">
        <v>3321</v>
      </c>
    </row>
    <row r="419" spans="1:25" x14ac:dyDescent="0.3">
      <c r="A419">
        <v>20900</v>
      </c>
      <c r="B419" t="s">
        <v>3322</v>
      </c>
      <c r="C419">
        <f>-539.594366356764 -157.689296267647 -94.6772729774376</f>
        <v>-791.96093560184863</v>
      </c>
      <c r="D419">
        <f>-563.191449261434 -166.103083310462 -207.764047013876</f>
        <v>-937.05857958577189</v>
      </c>
      <c r="E419">
        <f>-567.122126762992 -169.409587796684 -306.253939375409</f>
        <v>-1042.7856539350851</v>
      </c>
      <c r="F419">
        <f>-564.63322542888 -171.220092865381 -395.297497488574</f>
        <v>-1131.150815782835</v>
      </c>
      <c r="G419">
        <f>-555.732985364517 -171.992804221057 -483.945424170217</f>
        <v>-1211.6712137557911</v>
      </c>
      <c r="H419">
        <f>-536.578184230691 -172.162863798007 -607.046495546772</f>
        <v>-1315.78754357547</v>
      </c>
      <c r="I419">
        <f>-502.110055651451 -169.898542112652 -682.623353163514</f>
        <v>-1354.631950927617</v>
      </c>
      <c r="J419">
        <f>-546.570757716605 -144.424517753914 -553.157328293001</f>
        <v>-1244.1526037635199</v>
      </c>
      <c r="K419">
        <f>-552.891496184705 -7.88342656556779 -538.557865822764</f>
        <v>-1099.3327885730369</v>
      </c>
      <c r="L419" t="s">
        <v>3323</v>
      </c>
      <c r="M419" t="s">
        <v>3324</v>
      </c>
      <c r="N419">
        <f>-543.443877562917 -199.751510716894 -552.594285049612</f>
        <v>-1295.7896733294231</v>
      </c>
      <c r="O419">
        <f>-548.353192394259 -334.473751577294 -525.69280798849</f>
        <v>-1408.5197519600431</v>
      </c>
      <c r="P419">
        <f>-606.505840965026 -396.06841117598 -243.885160685849</f>
        <v>-1246.459412826855</v>
      </c>
      <c r="Q419">
        <f>-426.911395759909 -246.567393144191 -302.58891409013</f>
        <v>-976.06770299422988</v>
      </c>
      <c r="R419">
        <f>-559.453239966612 -63.9429552338975 -98.5174772605814</f>
        <v>-721.91367246109087</v>
      </c>
      <c r="S419" t="s">
        <v>3325</v>
      </c>
      <c r="T419" t="s">
        <v>3326</v>
      </c>
      <c r="U419" t="s">
        <v>3327</v>
      </c>
      <c r="V419">
        <f>-519.946740650817 -251.503248049717 -92.8976632925455</f>
        <v>-864.34765199307958</v>
      </c>
      <c r="W419" t="s">
        <v>3328</v>
      </c>
      <c r="X419" t="s">
        <v>3329</v>
      </c>
      <c r="Y419" t="s">
        <v>3330</v>
      </c>
    </row>
    <row r="420" spans="1:25" x14ac:dyDescent="0.3">
      <c r="A420">
        <v>20950</v>
      </c>
      <c r="B420" t="s">
        <v>3331</v>
      </c>
      <c r="C420">
        <f>-539.645233214712 -157.53010118746 -94.6576947107743</f>
        <v>-791.83302911294629</v>
      </c>
      <c r="D420">
        <f>-563.186293456851 -165.883812744465 -207.760538643071</f>
        <v>-936.83064484438694</v>
      </c>
      <c r="E420">
        <f>-566.995767279033 -169.172453014298 -306.255835353578</f>
        <v>-1042.424055646909</v>
      </c>
      <c r="F420">
        <f>-564.369322761001 -170.981208984616 -395.29568958485</f>
        <v>-1130.6462213304669</v>
      </c>
      <c r="G420">
        <f>-555.304549610173 -171.767519397203 -483.926552144257</f>
        <v>-1210.998621151633</v>
      </c>
      <c r="H420">
        <f>-535.892932366368 -171.973427736703 -606.987460607283</f>
        <v>-1314.8538207103538</v>
      </c>
      <c r="I420">
        <f>-501.294918623529 -169.760303072773 -682.506394140792</f>
        <v>-1353.561615837094</v>
      </c>
      <c r="J420">
        <f>-545.97582514642 -144.218127835294 -553.123775102214</f>
        <v>-1243.3177280839282</v>
      </c>
      <c r="K420">
        <f>-552.18974434633 -7.66918558244993 -538.544486918012</f>
        <v>-1098.403416846792</v>
      </c>
      <c r="L420" t="s">
        <v>3332</v>
      </c>
      <c r="M420" t="s">
        <v>3333</v>
      </c>
      <c r="N420">
        <f>-542.894224720201 -199.547500873288 -552.545162917874</f>
        <v>-1294.9868885113628</v>
      </c>
      <c r="O420">
        <f>-547.965960055577 -334.256669626915 -525.628066383244</f>
        <v>-1407.850696065736</v>
      </c>
      <c r="P420">
        <f>-606.213610241275 -395.786462548035 -243.825891715736</f>
        <v>-1245.8259645050459</v>
      </c>
      <c r="Q420">
        <f>-426.298314933041 -246.696062968274 -302.591189808188</f>
        <v>-975.58556770950304</v>
      </c>
      <c r="R420">
        <f>-559.435910671242 -63.7590381279283 -98.4747997783725</f>
        <v>-721.6697485775428</v>
      </c>
      <c r="S420" t="s">
        <v>3334</v>
      </c>
      <c r="T420" t="s">
        <v>3335</v>
      </c>
      <c r="U420" t="s">
        <v>3336</v>
      </c>
      <c r="V420">
        <f>-520.07246268151 -251.377264321468 -92.8907254605605</f>
        <v>-864.34045246353855</v>
      </c>
      <c r="W420" t="s">
        <v>3337</v>
      </c>
      <c r="X420" t="s">
        <v>3338</v>
      </c>
      <c r="Y420" t="s">
        <v>3339</v>
      </c>
    </row>
    <row r="421" spans="1:25" x14ac:dyDescent="0.3">
      <c r="A421">
        <v>21000</v>
      </c>
      <c r="B421" t="s">
        <v>3340</v>
      </c>
      <c r="C421">
        <f>-539.663444360068 -157.244060230902 -94.6106480926738</f>
        <v>-791.51815268364373</v>
      </c>
      <c r="D421">
        <f>-563.084912401599 -165.501324563535 -207.745439043615</f>
        <v>-936.33167600874901</v>
      </c>
      <c r="E421">
        <f>-566.66664925153 -168.761317561288 -306.250248059839</f>
        <v>-1041.678214872657</v>
      </c>
      <c r="F421">
        <f>-563.785978159381 -170.567898267841 -395.282055519854</f>
        <v>-1129.635931947076</v>
      </c>
      <c r="G421">
        <f>-554.420541348286 -171.378510564141 -483.881655699869</f>
        <v>-1209.6807076122959</v>
      </c>
      <c r="H421">
        <f>-534.542743666472 -171.647701696438 -606.867872182323</f>
        <v>-1313.058317545233</v>
      </c>
      <c r="I421">
        <f>-499.689556313172 -169.532249891279 -682.272256175956</f>
        <v>-1351.4940623804071</v>
      </c>
      <c r="J421">
        <f>-544.782149206374 -143.862108247632 -553.049429359702</f>
        <v>-1241.6936868137082</v>
      </c>
      <c r="K421">
        <f>-550.769553087227 -7.30465821373627 -538.431712854538</f>
        <v>-1096.5059241555014</v>
      </c>
      <c r="L421" t="s">
        <v>3341</v>
      </c>
      <c r="M421" t="s">
        <v>3342</v>
      </c>
      <c r="N421">
        <f>-541.797828469466 -199.196354116519 -552.445917322444</f>
        <v>-1293.4400999084291</v>
      </c>
      <c r="O421">
        <f>-547.112033794894 -333.899613146554 -525.54786113416</f>
        <v>-1406.5595080756079</v>
      </c>
      <c r="P421">
        <f>-605.484512060239 -395.175913651838 -243.716112415422</f>
        <v>-1244.3765381274991</v>
      </c>
      <c r="Q421">
        <f>-425.29884407023 -246.453264366245 -302.584879120585</f>
        <v>-974.33698755706007</v>
      </c>
      <c r="R421">
        <f>-559.362485590411 -63.4238133048141 -98.3980673005918</f>
        <v>-721.18436619581689</v>
      </c>
      <c r="S421" t="s">
        <v>3343</v>
      </c>
      <c r="T421" t="s">
        <v>3344</v>
      </c>
      <c r="U421" t="s">
        <v>3345</v>
      </c>
      <c r="V421">
        <f>-520.193285926168 -251.08621535624 -92.8928756573335</f>
        <v>-864.17237693974153</v>
      </c>
      <c r="W421" t="s">
        <v>3346</v>
      </c>
      <c r="X421" t="s">
        <v>3347</v>
      </c>
      <c r="Y421" t="s">
        <v>3348</v>
      </c>
    </row>
    <row r="422" spans="1:25" x14ac:dyDescent="0.3">
      <c r="A422">
        <v>21050</v>
      </c>
      <c r="B422" t="s">
        <v>3349</v>
      </c>
      <c r="C422">
        <f>-539.701729645614 -157.049877353967 -94.5850327171324</f>
        <v>-791.33663971671342</v>
      </c>
      <c r="D422">
        <f>-563.063134929747 -165.270516645091 -207.734851351977</f>
        <v>-936.06850292681497</v>
      </c>
      <c r="E422">
        <f>-566.551644969926 -168.524019492788 -306.243198564131</f>
        <v>-1041.3188630268451</v>
      </c>
      <c r="F422">
        <f>-563.57052652132 -170.336183476776 -395.271781821132</f>
        <v>-1129.1784918192279</v>
      </c>
      <c r="G422">
        <f>-554.089749156688 -171.164661275132 -483.858848236764</f>
        <v>-1209.113258668584</v>
      </c>
      <c r="H422">
        <f>-534.0357451925 -171.472847468238 -606.816425667115</f>
        <v>-1312.3250183278531</v>
      </c>
      <c r="I422">
        <f>-499.077561320801 -169.401347875151 -682.173189072629</f>
        <v>-1350.6520982685811</v>
      </c>
      <c r="J422">
        <f>-544.332014747975 -143.668969550368 -553.018068304166</f>
        <v>-1241.019052602509</v>
      </c>
      <c r="K422">
        <f>-550.23327203422 -7.11492365185541 -538.379331365007</f>
        <v>-1095.7275270510825</v>
      </c>
      <c r="L422" t="s">
        <v>3350</v>
      </c>
      <c r="M422" t="s">
        <v>3351</v>
      </c>
      <c r="N422">
        <f>-541.389174810257 -199.005500239675 -552.399488938783</f>
        <v>-1292.7941639887149</v>
      </c>
      <c r="O422">
        <f>-546.802369002579 -333.709565284698 -525.504063215392</f>
        <v>-1406.0159975026691</v>
      </c>
      <c r="P422">
        <f>-605.21603875787 -394.767643609061 -243.633561224358</f>
        <v>-1243.617243591289</v>
      </c>
      <c r="Q422">
        <f>-424.82902375319 -246.282278598056 -302.484877143394</f>
        <v>-973.59617949463996</v>
      </c>
      <c r="R422">
        <f>-559.372563968616 -63.2328235480236 -98.3633407381891</f>
        <v>-720.96872825482865</v>
      </c>
      <c r="S422" t="s">
        <v>3352</v>
      </c>
      <c r="T422" t="s">
        <v>3353</v>
      </c>
      <c r="U422" t="s">
        <v>3354</v>
      </c>
      <c r="V422">
        <f>-520.284396043199 -250.901344461676 -92.8809484946682</f>
        <v>-864.0666889995432</v>
      </c>
      <c r="W422" t="s">
        <v>3355</v>
      </c>
      <c r="X422" t="s">
        <v>3356</v>
      </c>
      <c r="Y422" t="s">
        <v>3357</v>
      </c>
    </row>
    <row r="423" spans="1:25" x14ac:dyDescent="0.3">
      <c r="A423">
        <v>21100</v>
      </c>
      <c r="B423" t="s">
        <v>3358</v>
      </c>
      <c r="C423">
        <f>-539.835947470885 -156.673259269516 -94.5333946494841</f>
        <v>-791.04260138988502</v>
      </c>
      <c r="D423">
        <f>-563.055839917881 -164.813974048557 -207.718149803417</f>
        <v>-935.58796376985492</v>
      </c>
      <c r="E423">
        <f>-566.326487592852 -168.061721203812 -306.234250175948</f>
        <v>-1040.6224589726121</v>
      </c>
      <c r="F423">
        <f>-563.111922117429 -169.897706991729 -395.254036832795</f>
        <v>-1128.2636659419531</v>
      </c>
      <c r="G423">
        <f>-553.362444217935 -170.781928808249 -483.811377498749</f>
        <v>-1207.9557505249329</v>
      </c>
      <c r="H423">
        <f>-532.898626639073 -171.203519632419 -606.700966441163</f>
        <v>-1310.8031127126551</v>
      </c>
      <c r="I423">
        <f>-497.756020535901 -169.212283467019 -681.974244174896</f>
        <v>-1348.9425481778158</v>
      </c>
      <c r="J423">
        <f>-543.32659272215 -143.347381985704 -552.955364202255</f>
        <v>-1239.6293389101093</v>
      </c>
      <c r="K423">
        <f>-548.992985172804 -6.78747022244011 -538.281236366594</f>
        <v>-1094.0616917618381</v>
      </c>
      <c r="L423" t="s">
        <v>3359</v>
      </c>
      <c r="M423" t="s">
        <v>3360</v>
      </c>
      <c r="N423">
        <f>-540.480952110251 -198.688469594426 -552.291491250607</f>
        <v>-1291.4609129552841</v>
      </c>
      <c r="O423">
        <f>-546.134731179179 -333.379193631688 -525.357561469963</f>
        <v>-1404.8714862808299</v>
      </c>
      <c r="P423">
        <f>-604.627329876403 -394.121987148201 -243.435306246117</f>
        <v>-1242.184623270721</v>
      </c>
      <c r="Q423">
        <f>-423.830526416757 -246.165458371871 -302.360973282296</f>
        <v>-972.35695807092407</v>
      </c>
      <c r="R423">
        <f>-559.386680270122 -62.8577538982779 -98.2866602178746</f>
        <v>-720.5310943862745</v>
      </c>
      <c r="S423" t="s">
        <v>3361</v>
      </c>
      <c r="T423" t="s">
        <v>3362</v>
      </c>
      <c r="U423" t="s">
        <v>3363</v>
      </c>
      <c r="V423">
        <f>-520.501273227653 -250.587342176076 -92.8506126481971</f>
        <v>-863.93922805192597</v>
      </c>
      <c r="W423" t="s">
        <v>3364</v>
      </c>
      <c r="X423" t="s">
        <v>3365</v>
      </c>
      <c r="Y423" t="s">
        <v>3366</v>
      </c>
    </row>
    <row r="424" spans="1:25" x14ac:dyDescent="0.3">
      <c r="A424">
        <v>21150</v>
      </c>
      <c r="B424" t="s">
        <v>3367</v>
      </c>
      <c r="C424">
        <f>-539.917001911476 -156.562723980399 -94.5014326247682</f>
        <v>-790.98115851664318</v>
      </c>
      <c r="D424">
        <f>-563.054029369999 -164.668123708718 -207.705645684099</f>
        <v>-935.42779876281588</v>
      </c>
      <c r="E424">
        <f>-566.181289366095 -167.897165444173 -306.227090837071</f>
        <v>-1040.3055456473389</v>
      </c>
      <c r="F424">
        <f>-562.808660336847 -169.722120278663 -395.241307068536</f>
        <v>-1127.7720876840458</v>
      </c>
      <c r="G424">
        <f>-552.874024895482 -170.602891848977 -483.778077608935</f>
        <v>-1207.2549943533941</v>
      </c>
      <c r="H424">
        <f>-532.124395397103 -171.028663324659 -606.619759781371</f>
        <v>-1309.7728185031328</v>
      </c>
      <c r="I424">
        <f>-496.886739802986 -169.047586419582 -681.848948842676</f>
        <v>-1347.783275065244</v>
      </c>
      <c r="J424">
        <f>-542.666065767641 -143.170218662706 -552.89736496935</f>
        <v>-1238.733649399697</v>
      </c>
      <c r="K424">
        <f>-548.259084764705 -6.61119659279893 -538.206474641593</f>
        <v>-1093.0767559990968</v>
      </c>
      <c r="L424" t="s">
        <v>3368</v>
      </c>
      <c r="M424" t="s">
        <v>3369</v>
      </c>
      <c r="N424">
        <f>-539.844446683356 -198.512329056646 -552.229084423913</f>
        <v>-1290.585860163915</v>
      </c>
      <c r="O424">
        <f>-545.598673855426 -333.197404790382 -525.287261922159</f>
        <v>-1404.0833405679668</v>
      </c>
      <c r="P424">
        <f>-604.351249812861 -393.68689592948 -243.364794103702</f>
        <v>-1241.402939846043</v>
      </c>
      <c r="Q424">
        <f>-423.192508351807 -246.158660645049 -302.252577141718</f>
        <v>-971.60374613857402</v>
      </c>
      <c r="R424">
        <f>-559.453512600804 -62.6568695327637 -98.2424335772918</f>
        <v>-720.35281571085943</v>
      </c>
      <c r="S424" t="s">
        <v>3370</v>
      </c>
      <c r="T424" t="s">
        <v>3371</v>
      </c>
      <c r="U424" t="s">
        <v>3372</v>
      </c>
      <c r="V424">
        <f>-520.592486014119 -250.561632974037 -92.8250830077485</f>
        <v>-863.97920199590453</v>
      </c>
      <c r="W424" t="s">
        <v>3373</v>
      </c>
      <c r="X424" t="s">
        <v>3374</v>
      </c>
      <c r="Y424" t="s">
        <v>3375</v>
      </c>
    </row>
    <row r="425" spans="1:25" x14ac:dyDescent="0.3">
      <c r="A425">
        <v>21200</v>
      </c>
      <c r="B425" t="s">
        <v>3376</v>
      </c>
      <c r="C425">
        <f>-540.207274880735 -156.154686628683 -94.4882385662052</f>
        <v>-790.85020007562321</v>
      </c>
      <c r="D425">
        <f>-563.134127065596 -164.202610402502 -207.73925821661</f>
        <v>-935.07599568470789</v>
      </c>
      <c r="E425">
        <f>-565.93890374137 -167.417573476365 -306.270849253672</f>
        <v>-1039.6273264714071</v>
      </c>
      <c r="F425">
        <f>-562.219496382843 -169.248382651956 -395.27113745671</f>
        <v>-1126.7390164915091</v>
      </c>
      <c r="G425">
        <f>-551.885375091518 -170.155733241521 -483.761960308625</f>
        <v>-1205.8030686416641</v>
      </c>
      <c r="H425">
        <f>-530.5250316575 -170.643123055086 -606.498731137346</f>
        <v>-1307.666885849932</v>
      </c>
      <c r="I425">
        <f>-495.095397512811 -168.705350797094 -681.638636482723</f>
        <v>-1345.4393847926281</v>
      </c>
      <c r="J425">
        <f>-541.318385321455 -142.757019385527 -552.840792712832</f>
        <v>-1236.9161974198141</v>
      </c>
      <c r="K425">
        <f>-546.773099843999 -6.19320971312618 -538.056618310488</f>
        <v>-1091.0229278676134</v>
      </c>
      <c r="L425" t="s">
        <v>3377</v>
      </c>
      <c r="M425" t="s">
        <v>3378</v>
      </c>
      <c r="N425">
        <f>-538.530928854582 -198.100319718853 -552.135856855697</f>
        <v>-1288.7671054291322</v>
      </c>
      <c r="O425">
        <f>-544.412064003542 -332.770660071478 -525.197657010746</f>
        <v>-1402.380381085766</v>
      </c>
      <c r="P425">
        <f>-603.775776947787 -392.905958339078 -243.32735937563</f>
        <v>-1240.009094662495</v>
      </c>
      <c r="Q425">
        <f>-421.902358741709 -246.278480526957 -302.26211073084</f>
        <v>-970.44294999950603</v>
      </c>
      <c r="R425">
        <f>-559.70148095937 -62.1877824712208 -98.1982417426632</f>
        <v>-720.08750517325393</v>
      </c>
      <c r="S425" t="s">
        <v>3379</v>
      </c>
      <c r="T425" t="s">
        <v>3380</v>
      </c>
      <c r="U425" t="s">
        <v>3381</v>
      </c>
      <c r="V425">
        <f>-520.919451033463 -250.154967413774 -92.7996381357966</f>
        <v>-863.87405658303362</v>
      </c>
      <c r="W425" t="s">
        <v>3382</v>
      </c>
      <c r="X425" t="s">
        <v>3383</v>
      </c>
      <c r="Y425" t="s">
        <v>3384</v>
      </c>
    </row>
    <row r="426" spans="1:25" x14ac:dyDescent="0.3">
      <c r="A426">
        <v>21250</v>
      </c>
      <c r="B426" t="s">
        <v>3385</v>
      </c>
      <c r="C426">
        <f>-540.379287829712 -155.823220868482 -94.4842107599414</f>
        <v>-790.68671945813537</v>
      </c>
      <c r="D426">
        <f>-563.159584350864 -163.843058019155 -207.766817309602</f>
        <v>-934.76945967962092</v>
      </c>
      <c r="E426">
        <f>-565.781620280283 -167.055658455117 -306.3035074459</f>
        <v>-1039.1407861813</v>
      </c>
      <c r="F426">
        <f>-561.875448334273 -168.894692475966 -395.295581322167</f>
        <v>-1126.0657221324059</v>
      </c>
      <c r="G426">
        <f>-551.334104381179 -169.822047759967 -483.761633949946</f>
        <v>-1204.917786091092</v>
      </c>
      <c r="H426">
        <f>-529.664584022867 -170.350396436475 -606.444063182329</f>
        <v>-1306.4590436416711</v>
      </c>
      <c r="I426">
        <f>-494.129737624725 -168.428937555235 -681.534708760843</f>
        <v>-1344.0933839408031</v>
      </c>
      <c r="J426">
        <f>-540.589611057524 -142.446182480848 -552.822285658258</f>
        <v>-1235.8580791966301</v>
      </c>
      <c r="K426">
        <f>-545.970289408056 -5.88880087918142 -538.00633061544</f>
        <v>-1089.8654209026774</v>
      </c>
      <c r="L426" t="s">
        <v>3386</v>
      </c>
      <c r="M426" t="s">
        <v>3387</v>
      </c>
      <c r="N426">
        <f>-537.810970287376 -197.789760636701 -552.093087469407</f>
        <v>-1287.693818393484</v>
      </c>
      <c r="O426">
        <f>-543.749085365468 -332.454331189894 -525.135687733418</f>
        <v>-1401.3391042887799</v>
      </c>
      <c r="P426">
        <f>-603.283714150289 -392.537192094421 -243.290265827256</f>
        <v>-1239.1111720719659</v>
      </c>
      <c r="Q426">
        <f>-421.248817716436 -246.098806614319 -302.196475630583</f>
        <v>-969.54409996133802</v>
      </c>
      <c r="R426">
        <f>-559.897974214779 -61.8935032086765 -98.1855474938501</f>
        <v>-719.97702491730558</v>
      </c>
      <c r="S426" t="s">
        <v>3388</v>
      </c>
      <c r="T426" t="s">
        <v>3389</v>
      </c>
      <c r="U426" t="s">
        <v>3390</v>
      </c>
      <c r="V426">
        <f>-520.983000735171 -249.774353245372 -92.8033492014965</f>
        <v>-863.56070318203956</v>
      </c>
      <c r="W426" t="s">
        <v>3391</v>
      </c>
      <c r="X426" t="s">
        <v>3392</v>
      </c>
      <c r="Y426" t="s">
        <v>3393</v>
      </c>
    </row>
    <row r="427" spans="1:25" x14ac:dyDescent="0.3">
      <c r="A427">
        <v>21300</v>
      </c>
      <c r="B427" t="s">
        <v>3394</v>
      </c>
      <c r="C427">
        <f>-541.003996032072 -155.190317594551 -94.5088053956827</f>
        <v>-790.7031190223056</v>
      </c>
      <c r="D427">
        <f>-563.439345122822 -163.139358902801 -207.865245586204</f>
        <v>-934.44394961182695</v>
      </c>
      <c r="E427">
        <f>-565.61998388008 -166.341629328281 -306.412968528441</f>
        <v>-1038.3745817368019</v>
      </c>
      <c r="F427">
        <f>-561.259442508579 -168.195645986005 -395.383654729805</f>
        <v>-1124.838743224389</v>
      </c>
      <c r="G427">
        <f>-550.211697349381 -169.164533859249 -483.787581521668</f>
        <v>-1203.1638127302981</v>
      </c>
      <c r="H427">
        <f>-527.783712289416 -169.780973106962 -606.33320595745</f>
        <v>-1303.8978913538281</v>
      </c>
      <c r="I427">
        <f>-492.00231604239 -167.880659062624 -681.307203443589</f>
        <v>-1341.1901785486029</v>
      </c>
      <c r="J427">
        <f>-539.042500578069 -141.83834759486 -552.800403524162</f>
        <v>-1233.6812516970911</v>
      </c>
      <c r="K427">
        <f>-544.318587343357 -5.28022232793592 -537.91114719504</f>
        <v>-1087.5099568663329</v>
      </c>
      <c r="L427" t="s">
        <v>3395</v>
      </c>
      <c r="M427" t="s">
        <v>3396</v>
      </c>
      <c r="N427">
        <f>-536.263738041392 -197.181061380737 -552.013439003134</f>
        <v>-1285.4582384252631</v>
      </c>
      <c r="O427">
        <f>-542.150699813423 -331.829150894479 -524.949854341049</f>
        <v>-1398.9297050489508</v>
      </c>
      <c r="P427">
        <f>-602.229975410981 -391.791994838485 -243.194384249611</f>
        <v>-1237.2163544990769</v>
      </c>
      <c r="Q427">
        <f>-419.970529283928 -245.559258599201 -301.917215937997</f>
        <v>-967.44700382112592</v>
      </c>
      <c r="R427">
        <f>-560.626394297135 -61.1997781078051 -98.2028102751035</f>
        <v>-720.02898268004355</v>
      </c>
      <c r="S427" t="s">
        <v>3397</v>
      </c>
      <c r="T427" t="s">
        <v>3398</v>
      </c>
      <c r="U427" t="s">
        <v>3399</v>
      </c>
      <c r="V427">
        <f>-521.575749920501 -249.188669561647 -92.8304736344797</f>
        <v>-863.59489311662776</v>
      </c>
      <c r="W427" t="s">
        <v>3400</v>
      </c>
      <c r="X427" t="s">
        <v>3401</v>
      </c>
      <c r="Y427" t="s">
        <v>3402</v>
      </c>
    </row>
    <row r="428" spans="1:25" x14ac:dyDescent="0.3">
      <c r="A428">
        <v>21350</v>
      </c>
      <c r="B428" t="s">
        <v>3403</v>
      </c>
      <c r="C428">
        <f>-541.480575400824 -154.809438878265 -94.5342562619635</f>
        <v>-790.82427054105256</v>
      </c>
      <c r="D428">
        <f>-563.675734359021 -162.738558930466 -207.939345580317</f>
        <v>-934.35363886980394</v>
      </c>
      <c r="E428">
        <f>-565.581313224916 -165.944319703814 -306.492684792984</f>
        <v>-1038.0183177217141</v>
      </c>
      <c r="F428">
        <f>-560.946152320045 -167.81252024691 -395.449161839299</f>
        <v>-1124.2078344062541</v>
      </c>
      <c r="G428">
        <f>-549.599731819455 -168.808141845315 -483.81497744462</f>
        <v>-1202.2228511093899</v>
      </c>
      <c r="H428">
        <f>-526.730936239151 -169.476403299115 -606.278827588789</f>
        <v>-1302.4861671270551</v>
      </c>
      <c r="I428">
        <f>-490.803400709834 -167.591161407373 -681.183277454659</f>
        <v>-1339.577839571866</v>
      </c>
      <c r="J428">
        <f>-538.185098477259 -141.511336216393 -552.799126196788</f>
        <v>-1232.4955608904402</v>
      </c>
      <c r="K428">
        <f>-543.524209393659 -4.94966708179936 -537.926203516189</f>
        <v>-1086.4000799916475</v>
      </c>
      <c r="L428" t="s">
        <v>3404</v>
      </c>
      <c r="M428" t="s">
        <v>3405</v>
      </c>
      <c r="N428">
        <f>-535.403568376616 -196.853491782847 -551.977816921852</f>
        <v>-1284.2348770813151</v>
      </c>
      <c r="O428">
        <f>-541.215024359374 -331.489658262771 -524.852894397219</f>
        <v>-1397.5575770193639</v>
      </c>
      <c r="P428">
        <f>-601.645055825239 -391.415576726999 -243.164509762535</f>
        <v>-1236.2251423147729</v>
      </c>
      <c r="Q428">
        <f>-419.258066232823 -245.246443006791 -301.649182031409</f>
        <v>-966.15369127102304</v>
      </c>
      <c r="R428">
        <f>-561.17189145201 -60.7805648560231 -98.2549515707948</f>
        <v>-720.20740787882789</v>
      </c>
      <c r="S428" t="s">
        <v>3406</v>
      </c>
      <c r="T428" t="s">
        <v>3407</v>
      </c>
      <c r="U428" t="s">
        <v>3408</v>
      </c>
      <c r="V428">
        <f>-521.955064970214 -248.854597183134 -92.8636175728171</f>
        <v>-863.67327972616511</v>
      </c>
      <c r="W428" t="s">
        <v>3409</v>
      </c>
      <c r="X428" t="s">
        <v>3410</v>
      </c>
      <c r="Y428" t="s">
        <v>3411</v>
      </c>
    </row>
    <row r="429" spans="1:25" x14ac:dyDescent="0.3">
      <c r="A429">
        <v>21400</v>
      </c>
      <c r="B429" t="s">
        <v>3412</v>
      </c>
      <c r="C429">
        <f>-542.63649313468 -153.865374800757 -94.7107527262515</f>
        <v>-791.21262066168845</v>
      </c>
      <c r="D429">
        <f>-564.301590236968 -161.741238795436 -208.22210698796</f>
        <v>-934.26493602036385</v>
      </c>
      <c r="E429">
        <f>-565.59842205262 -164.959940492479 -306.784794205333</f>
        <v>-1037.3431567504322</v>
      </c>
      <c r="F429">
        <f>-560.35503937661 -166.869996770249 -395.706765078354</f>
        <v>-1122.9318012252129</v>
      </c>
      <c r="G429">
        <f>-548.347329782861 -167.940141961536 -483.984149798162</f>
        <v>-1200.2716215425589</v>
      </c>
      <c r="H429">
        <f>-524.503387430067 -168.74999987958 -606.261012662195</f>
        <v>-1299.5143999718421</v>
      </c>
      <c r="I429">
        <f>-488.265488789955 -166.945696063129 -681.017817443071</f>
        <v>-1336.2290022961549</v>
      </c>
      <c r="J429">
        <f>-536.40192241547 -140.724011695959 -552.910467321376</f>
        <v>-1230.0364014328052</v>
      </c>
      <c r="K429">
        <f>-542.149976510519 -4.15020029095831 -538.238956954983</f>
        <v>-1084.5391337564602</v>
      </c>
      <c r="L429" t="s">
        <v>3413</v>
      </c>
      <c r="M429" t="s">
        <v>3414</v>
      </c>
      <c r="N429">
        <f>-533.590043453753 -196.063167463389 -551.995601344428</f>
        <v>-1281.6488122615699</v>
      </c>
      <c r="O429">
        <f>-538.929328618351 -330.619516222536 -524.396613913905</f>
        <v>-1393.9454587547918</v>
      </c>
      <c r="P429">
        <f>-599.71562609749 -390.688135876443 -242.815211056336</f>
        <v>-1233.2189730302691</v>
      </c>
      <c r="Q429">
        <f>-417.242335434665 -244.834546040648 -301.815687513192</f>
        <v>-963.89256898850499</v>
      </c>
      <c r="R429">
        <f>-562.621661165069 -59.9448331918127 -98.4324030466142</f>
        <v>-720.9988974034959</v>
      </c>
      <c r="S429" t="s">
        <v>3415</v>
      </c>
      <c r="T429" t="s">
        <v>3416</v>
      </c>
      <c r="U429" t="s">
        <v>3417</v>
      </c>
      <c r="V429">
        <f>-522.780972057804 -247.669467386282 -93.0431740873112</f>
        <v>-863.49361353139716</v>
      </c>
      <c r="W429" t="s">
        <v>3418</v>
      </c>
      <c r="X429" t="s">
        <v>3419</v>
      </c>
      <c r="Y429" t="s">
        <v>3420</v>
      </c>
    </row>
    <row r="430" spans="1:25" x14ac:dyDescent="0.3">
      <c r="A430">
        <v>21450</v>
      </c>
      <c r="B430" t="s">
        <v>3421</v>
      </c>
      <c r="C430">
        <f>-543.639632536011 -153.037520075337 -94.7984203012641</f>
        <v>-791.47557291261205</v>
      </c>
      <c r="D430">
        <f>-565.030253781479 -160.880375903471 -208.364156449367</f>
        <v>-934.27478613431697</v>
      </c>
      <c r="E430">
        <f>-566.016851235207 -164.107510039716 -306.930147300581</f>
        <v>-1037.0545085755039</v>
      </c>
      <c r="F430">
        <f>-560.464907995819 -166.044955002081 -395.832663586063</f>
        <v>-1122.342526583963</v>
      </c>
      <c r="G430">
        <f>-548.122776603625 -167.164944984172 -484.063336228983</f>
        <v>-1199.35105781678</v>
      </c>
      <c r="H430">
        <f>-523.787177648237 -168.070198907541 -606.242643300541</f>
        <v>-1298.100019856319</v>
      </c>
      <c r="I430">
        <f>-487.386376419826 -166.326486062665 -680.921799765955</f>
        <v>-1334.6346622484461</v>
      </c>
      <c r="J430">
        <f>-535.913496299567 -140.003353996031 -552.964920333323</f>
        <v>-1228.881770628921</v>
      </c>
      <c r="K430">
        <f>-541.886583243508 -3.44552267447943 -538.361153332991</f>
        <v>-1083.6932592509784</v>
      </c>
      <c r="L430" t="s">
        <v>3422</v>
      </c>
      <c r="M430" t="s">
        <v>3423</v>
      </c>
      <c r="N430">
        <f>-533.078571212724 -195.340208041899 -551.990191799237</f>
        <v>-1280.4089710538601</v>
      </c>
      <c r="O430">
        <f>-538.119310241608 -329.867628924333 -524.175452092078</f>
        <v>-1392.1623912580189</v>
      </c>
      <c r="P430">
        <f>-598.462273175432 -390.20686353804 -242.556749656368</f>
        <v>-1231.2258863698401</v>
      </c>
      <c r="Q430">
        <f>-415.592800674213 -245.06348929332 -302.079843829646</f>
        <v>-962.73613379717904</v>
      </c>
      <c r="R430">
        <f>-563.806723709208 -59.4158211736546 -98.5017754819886</f>
        <v>-721.72432036485122</v>
      </c>
      <c r="S430" t="s">
        <v>3424</v>
      </c>
      <c r="T430" t="s">
        <v>3425</v>
      </c>
      <c r="U430" t="s">
        <v>3426</v>
      </c>
      <c r="V430">
        <f>-523.794648479529 -246.430642704733 -93.0522302688482</f>
        <v>-863.27752145311024</v>
      </c>
      <c r="W430" t="s">
        <v>3427</v>
      </c>
      <c r="X430" t="s">
        <v>3428</v>
      </c>
      <c r="Y430" t="s">
        <v>3429</v>
      </c>
    </row>
    <row r="431" spans="1:25" x14ac:dyDescent="0.3">
      <c r="A431">
        <v>21500</v>
      </c>
      <c r="B431" t="s">
        <v>3430</v>
      </c>
      <c r="C431">
        <f>-545.888433509076 -151.853187849475 -94.7329924129066</f>
        <v>-792.4746137714576</v>
      </c>
      <c r="D431">
        <f>-566.863431671655 -159.619096730659 -208.381474276128</f>
        <v>-934.86400267844203</v>
      </c>
      <c r="E431">
        <f>-567.29584353833 -162.719633445175 -306.955625072663</f>
        <v>-1036.9711020561681</v>
      </c>
      <c r="F431">
        <f>-561.164371532541 -164.530582644021 -395.822710433434</f>
        <v>-1121.517664609996</v>
      </c>
      <c r="G431">
        <f>-548.16764440973 -165.516282890829 -483.961018858824</f>
        <v>-1197.6449461593829</v>
      </c>
      <c r="H431">
        <f>-522.842801096181 -166.232071925271 -605.940287127866</f>
        <v>-1295.015160149318</v>
      </c>
      <c r="I431">
        <f>-486.106188297684 -164.431917463883 -680.453437967568</f>
        <v>-1330.9915437291352</v>
      </c>
      <c r="J431">
        <f>-535.481208809244 -138.252546419654 -552.735763064015</f>
        <v>-1226.4695182929131</v>
      </c>
      <c r="K431">
        <f>-541.946516423893 -1.75633780155863 -537.907905778644</f>
        <v>-1081.6107600040955</v>
      </c>
      <c r="L431" t="s">
        <v>3431</v>
      </c>
      <c r="M431" t="s">
        <v>3432</v>
      </c>
      <c r="N431">
        <f>-532.492921231978 -193.581951272003 -551.790767116325</f>
        <v>-1277.865639620306</v>
      </c>
      <c r="O431">
        <f>-537.001284001446 -328.160340234823 -524.022098284727</f>
        <v>-1389.1837225209961</v>
      </c>
      <c r="P431">
        <f>-595.32276872788 -389.843383713196 -242.268706173711</f>
        <v>-1227.4348586147869</v>
      </c>
      <c r="Q431">
        <f>-411.694355113124 -246.110603851357 -302.868730420018</f>
        <v>-960.67368938449897</v>
      </c>
      <c r="R431">
        <f>-566.255301519972 -58.7155607408649 -98.4085082291904</f>
        <v>-723.37937049002733</v>
      </c>
      <c r="S431" t="s">
        <v>3433</v>
      </c>
      <c r="T431" t="s">
        <v>3434</v>
      </c>
      <c r="U431" t="s">
        <v>3435</v>
      </c>
      <c r="V431">
        <f>-525.592333038132 -245.155613801402 -93.0779661267817</f>
        <v>-863.82591296631574</v>
      </c>
      <c r="W431" t="s">
        <v>3436</v>
      </c>
      <c r="X431" t="s">
        <v>3437</v>
      </c>
      <c r="Y431" t="s">
        <v>3438</v>
      </c>
    </row>
    <row r="432" spans="1:25" x14ac:dyDescent="0.3">
      <c r="A432">
        <v>21550</v>
      </c>
      <c r="B432" t="s">
        <v>3439</v>
      </c>
      <c r="C432">
        <f>-546.847523003331 -151.528698946652 -94.6372689528421</f>
        <v>-793.0134909028252</v>
      </c>
      <c r="D432">
        <f>-567.630337648292 -159.315841892187 -208.319560756239</f>
        <v>-935.26574029671792</v>
      </c>
      <c r="E432">
        <f>-567.814128652509 -162.306958262805 -306.897861485823</f>
        <v>-1037.0189484011371</v>
      </c>
      <c r="F432">
        <f>-561.423201504049 -163.970858731883 -395.749500970008</f>
        <v>-1121.1435612059399</v>
      </c>
      <c r="G432">
        <f>-548.132353405178 -164.761811295462 -483.84590451218</f>
        <v>-1196.7400692128199</v>
      </c>
      <c r="H432">
        <f>-522.361151726351 -165.157078393472 -605.733133101774</f>
        <v>-1293.2513632215969</v>
      </c>
      <c r="I432">
        <f>-485.51493080522 -163.264368792333 -680.189816642867</f>
        <v>-1328.9691162404199</v>
      </c>
      <c r="J432">
        <f>-535.267168672745 -137.321563402688 -552.517330848403</f>
        <v>-1225.1060629238359</v>
      </c>
      <c r="K432">
        <f>-542.210800293552 -0.871364414927029 -537.418843721806</f>
        <v>-1080.5010084302849</v>
      </c>
      <c r="L432" t="s">
        <v>3440</v>
      </c>
      <c r="M432" t="s">
        <v>3441</v>
      </c>
      <c r="N432">
        <f>-532.136509569736 -192.64472302561 -551.675940188769</f>
        <v>-1276.4571727841148</v>
      </c>
      <c r="O432">
        <f>-536.317284188727 -327.266607112962 -524.132450764854</f>
        <v>-1387.7163420665429</v>
      </c>
      <c r="P432">
        <f>-593.782680195777 -389.888230341879 -242.410251583024</f>
        <v>-1226.0811621206801</v>
      </c>
      <c r="Q432">
        <f>-409.484750642579 -247.220832247928 -303.49369870671</f>
        <v>-960.19928159721701</v>
      </c>
      <c r="R432">
        <f>-567.451365266123 -58.4383951377374 -98.3328557849078</f>
        <v>-724.22261618876826</v>
      </c>
      <c r="S432" t="s">
        <v>3442</v>
      </c>
      <c r="T432" t="s">
        <v>3443</v>
      </c>
      <c r="U432" t="s">
        <v>3444</v>
      </c>
      <c r="V432">
        <f>-526.34727088251 -244.821818864551 -93.0528321621323</f>
        <v>-864.22192190919327</v>
      </c>
      <c r="W432" t="s">
        <v>3445</v>
      </c>
      <c r="X432" t="s">
        <v>3446</v>
      </c>
      <c r="Y432" t="s">
        <v>3447</v>
      </c>
    </row>
    <row r="433" spans="1:25" x14ac:dyDescent="0.3">
      <c r="A433">
        <v>21600</v>
      </c>
      <c r="B433" t="s">
        <v>3448</v>
      </c>
      <c r="C433">
        <f>-548.66478101693 -151.147281381953 -94.4872295772009</f>
        <v>-794.29929197608385</v>
      </c>
      <c r="D433">
        <f>-569.241696038489 -159.006089522181 -208.20190746397</f>
        <v>-936.44969302463994</v>
      </c>
      <c r="E433">
        <f>-569.064959961473 -161.777343198677 -306.786688208265</f>
        <v>-1037.628991368415</v>
      </c>
      <c r="F433">
        <f>-562.269497200834 -163.137544848879 -395.613570468851</f>
        <v>-1121.0206125185641</v>
      </c>
      <c r="G433">
        <f>-548.496154069671 -163.523444583935 -483.638488165334</f>
        <v>-1195.6580868189399</v>
      </c>
      <c r="H433">
        <f>-521.96980849529 -163.250724711067 -605.364001312035</f>
        <v>-1290.584534518392</v>
      </c>
      <c r="I433">
        <f>-485.005461310795 -161.201585323864 -679.758010564049</f>
        <v>-1325.9650571987081</v>
      </c>
      <c r="J433">
        <f>-535.335869883981 -135.715256112439 -552.105616728708</f>
        <v>-1223.156742725128</v>
      </c>
      <c r="K433" t="s">
        <v>3449</v>
      </c>
      <c r="L433" t="s">
        <v>3450</v>
      </c>
      <c r="M433" t="s">
        <v>3451</v>
      </c>
      <c r="N433">
        <f>-531.949651012259 -191.026380994302 -551.491665305507</f>
        <v>-1274.4676973120681</v>
      </c>
      <c r="O433">
        <f>-535.391141134145 -325.761319027788 -524.501881191962</f>
        <v>-1385.6543413538948</v>
      </c>
      <c r="P433">
        <f>-591.785144326955 -390.355506362149 -243.008561741747</f>
        <v>-1225.1492124308509</v>
      </c>
      <c r="Q433">
        <f>-406.324564187985 -249.652012068613 -305.11968813174</f>
        <v>-961.09626438833811</v>
      </c>
      <c r="R433">
        <f>-569.604207704409 -58.1602725303396 -98.2106600088109</f>
        <v>-725.97514024355951</v>
      </c>
      <c r="S433" t="s">
        <v>3452</v>
      </c>
      <c r="T433" t="s">
        <v>3453</v>
      </c>
      <c r="U433" t="s">
        <v>3454</v>
      </c>
      <c r="V433">
        <f>-527.911135013182 -244.332935153453 -92.9201962690233</f>
        <v>-865.16426643565842</v>
      </c>
      <c r="W433" t="s">
        <v>3455</v>
      </c>
      <c r="X433" t="s">
        <v>3456</v>
      </c>
      <c r="Y433" t="s">
        <v>3457</v>
      </c>
    </row>
    <row r="434" spans="1:25" x14ac:dyDescent="0.3">
      <c r="A434">
        <v>21650</v>
      </c>
      <c r="B434" t="s">
        <v>3458</v>
      </c>
      <c r="C434">
        <f>-549.564263718466 -151.042582466703 -94.4706956499672</f>
        <v>-795.07754183513623</v>
      </c>
      <c r="D434">
        <f>-570.039716974298 -158.888557218407 -208.204626979762</f>
        <v>-937.13290117246697</v>
      </c>
      <c r="E434">
        <f>-569.698863082887 -161.594106540974 -306.790759518894</f>
        <v>-1038.0837291427549</v>
      </c>
      <c r="F434">
        <f>-562.723409141856 -162.877038183618 -395.604802289657</f>
        <v>-1121.2052496151309</v>
      </c>
      <c r="G434">
        <f>-548.739370481633 -163.170151148232 -483.596828296839</f>
        <v>-1195.5063499267039</v>
      </c>
      <c r="H434">
        <f>-521.88739597624 -162.753859931166 -605.250475996246</f>
        <v>-1289.891731903652</v>
      </c>
      <c r="I434">
        <f>-484.898680526114 -160.713956714396 -679.632648782369</f>
        <v>-1325.2452860228791</v>
      </c>
      <c r="J434">
        <f>-535.402434704616 -135.281624129395 -551.997193695601</f>
        <v>-1222.681252529612</v>
      </c>
      <c r="K434" t="s">
        <v>3459</v>
      </c>
      <c r="L434" t="s">
        <v>3460</v>
      </c>
      <c r="M434" t="s">
        <v>3461</v>
      </c>
      <c r="N434">
        <f>-532.004800328958 -190.592680799051 -551.436425084286</f>
        <v>-1274.0339062122951</v>
      </c>
      <c r="O434">
        <f>-535.258688934785 -325.366863294013 -524.614494768042</f>
        <v>-1385.2400469968402</v>
      </c>
      <c r="P434">
        <f>-591.206225701806 -390.568519025294 -243.172040592899</f>
        <v>-1224.946785319999</v>
      </c>
      <c r="Q434">
        <f>-405.025715546206 -251.153046469623 -306.029271246715</f>
        <v>-962.20803326254406</v>
      </c>
      <c r="R434">
        <f>-570.532138220352 -58.0015686436263 -98.1689145627081</f>
        <v>-726.70262142668639</v>
      </c>
      <c r="S434" t="s">
        <v>3462</v>
      </c>
      <c r="T434" t="s">
        <v>3463</v>
      </c>
      <c r="U434" t="s">
        <v>3464</v>
      </c>
      <c r="V434">
        <f>-528.761902611657 -244.218252198739 -92.8938789094542</f>
        <v>-865.87403371985022</v>
      </c>
      <c r="W434" t="s">
        <v>3465</v>
      </c>
      <c r="X434" t="s">
        <v>3466</v>
      </c>
      <c r="Y434" t="s">
        <v>3467</v>
      </c>
    </row>
    <row r="435" spans="1:25" x14ac:dyDescent="0.3">
      <c r="A435">
        <v>21700</v>
      </c>
      <c r="B435" t="s">
        <v>3468</v>
      </c>
      <c r="C435">
        <f>-551.595341054648 -151.198610775114 -94.4263388851064</f>
        <v>-797.22029071486827</v>
      </c>
      <c r="D435">
        <f>-571.804462071251 -158.798096323901 -208.224588513791</f>
        <v>-938.82714690894306</v>
      </c>
      <c r="E435">
        <f>-571.085331668366 -161.241214094079 -306.815561585207</f>
        <v>-1039.142107347652</v>
      </c>
      <c r="F435">
        <f>-563.711926487392 -162.257599429004 -395.600899916646</f>
        <v>-1121.570425833042</v>
      </c>
      <c r="G435">
        <f>-549.276642581578 -162.251972594502 -483.520562964124</f>
        <v>-1195.049178140204</v>
      </c>
      <c r="H435">
        <f>-521.741831509448 -161.381162708734 -605.019052586583</f>
        <v>-1288.142046804765</v>
      </c>
      <c r="I435">
        <f>-484.833874285937 -159.21315039157 -679.437696528904</f>
        <v>-1323.484721206411</v>
      </c>
      <c r="J435">
        <f>-535.543914117432 -134.107211551858 -551.737459767863</f>
        <v>-1221.3885854371529</v>
      </c>
      <c r="K435" t="s">
        <v>3469</v>
      </c>
      <c r="L435" t="s">
        <v>3470</v>
      </c>
      <c r="M435" t="s">
        <v>3471</v>
      </c>
      <c r="N435">
        <f>-532.173254265794 -189.421445114761 -551.369939087543</f>
        <v>-1272.964638468098</v>
      </c>
      <c r="O435">
        <f>-535.801341119065 -324.255410332829 -524.694875239494</f>
        <v>-1384.7516266913881</v>
      </c>
      <c r="P435">
        <f>-590.815081310952 -389.219151270229 -243.013384845155</f>
        <v>-1223.047617426336</v>
      </c>
      <c r="Q435">
        <f>-403.226874535269 -253.026198456172 -308.686734283294</f>
        <v>-964.93980727473513</v>
      </c>
      <c r="R435">
        <f>-571.853813086141 -58.112635999694 -98.054042740761</f>
        <v>-728.02049182659607</v>
      </c>
      <c r="S435" t="s">
        <v>3472</v>
      </c>
      <c r="T435" t="s">
        <v>3473</v>
      </c>
      <c r="U435" t="s">
        <v>3474</v>
      </c>
      <c r="V435">
        <f>-531.556418337621 -244.502155373611 -92.8092775175763</f>
        <v>-868.86785122880838</v>
      </c>
      <c r="W435" t="s">
        <v>3475</v>
      </c>
      <c r="X435" t="s">
        <v>3476</v>
      </c>
      <c r="Y435" t="s">
        <v>3477</v>
      </c>
    </row>
    <row r="436" spans="1:25" x14ac:dyDescent="0.3">
      <c r="A436">
        <v>21750</v>
      </c>
      <c r="B436" t="s">
        <v>3478</v>
      </c>
      <c r="C436">
        <f>-552.791774703719 -151.129477086191 -94.3212809467972</f>
        <v>-798.24253273670718</v>
      </c>
      <c r="D436">
        <f>-572.905999799731 -158.556414103206 -208.147768471088</f>
        <v>-939.61018237402504</v>
      </c>
      <c r="E436">
        <f>-571.931271031989 -160.768299675845 -306.741954823523</f>
        <v>-1039.441525531357</v>
      </c>
      <c r="F436">
        <f>-564.259697248079 -161.531725390554 -395.504667055743</f>
        <v>-1121.296089694376</v>
      </c>
      <c r="G436">
        <f>-549.461410574699 -161.224702713153 -483.363365949186</f>
        <v>-1194.049479237038</v>
      </c>
      <c r="H436">
        <f>-521.354675273501 -159.87786260188 -604.726561507382</f>
        <v>-1285.959099382763</v>
      </c>
      <c r="I436">
        <f>-484.455446382999 -157.543750931466 -679.144312427797</f>
        <v>-1321.143509742262</v>
      </c>
      <c r="J436">
        <f>-535.445108412939 -132.815203986487 -551.412507345545</f>
        <v>-1219.6728197449711</v>
      </c>
      <c r="K436" t="s">
        <v>3479</v>
      </c>
      <c r="L436" t="s">
        <v>3480</v>
      </c>
      <c r="M436" t="s">
        <v>3481</v>
      </c>
      <c r="N436">
        <f>-532.001116008735 -188.12585718801 -551.228708968515</f>
        <v>-1271.3556821652601</v>
      </c>
      <c r="O436">
        <f>-535.708152711554 -322.952672156462 -524.625591477296</f>
        <v>-1383.2864163453119</v>
      </c>
      <c r="P436">
        <f>-590.792793145623 -387.3149940674 -242.820073626011</f>
        <v>-1220.9278608390341</v>
      </c>
      <c r="Q436">
        <f>-402.302336732004 -253.287073301533 -310.338291715637</f>
        <v>-965.92770174917405</v>
      </c>
      <c r="R436">
        <f>-572.626648884048 -57.8861122814667 -97.9351895018872</f>
        <v>-728.44795066740187</v>
      </c>
      <c r="S436" t="s">
        <v>3482</v>
      </c>
      <c r="T436" t="s">
        <v>3483</v>
      </c>
      <c r="U436" t="s">
        <v>3484</v>
      </c>
      <c r="V436">
        <f>-533.183966000045 -244.324584745706 -92.7586356656046</f>
        <v>-870.26718641135562</v>
      </c>
      <c r="W436" t="s">
        <v>3485</v>
      </c>
      <c r="X436" t="s">
        <v>3486</v>
      </c>
      <c r="Y436" t="s">
        <v>3487</v>
      </c>
    </row>
    <row r="437" spans="1:25" x14ac:dyDescent="0.3">
      <c r="A437">
        <v>21800</v>
      </c>
      <c r="B437" t="s">
        <v>3488</v>
      </c>
      <c r="C437">
        <f>-555.851681113449 -149.960959692089 -94.1847280862713</f>
        <v>-799.99736889180929</v>
      </c>
      <c r="D437">
        <f>-575.592682809283 -157.205405021183 -208.088458573077</f>
        <v>-940.88654640354298</v>
      </c>
      <c r="E437">
        <f>-573.881736838422 -159.035118383605 -306.680312412344</f>
        <v>-1039.5971676343709</v>
      </c>
      <c r="F437">
        <f>-565.382436402768 -159.351189163289 -395.370339539819</f>
        <v>-1120.1039651058761</v>
      </c>
      <c r="G437">
        <f>-549.600985331311 -158.491260441502 -483.054154038902</f>
        <v>-1191.1463998117149</v>
      </c>
      <c r="H437">
        <f>-519.965676282734 -156.256872909067 -604.039991913349</f>
        <v>-1280.2625411051499</v>
      </c>
      <c r="I437">
        <f>-482.993054891478 -153.638473788105 -678.412021549851</f>
        <v>-1315.043550229434</v>
      </c>
      <c r="J437">
        <f>-534.832163633104 -129.591273631221 -550.736655869416</f>
        <v>-1215.1600931337412</v>
      </c>
      <c r="K437" t="s">
        <v>3489</v>
      </c>
      <c r="L437" t="s">
        <v>3490</v>
      </c>
      <c r="M437" t="s">
        <v>3491</v>
      </c>
      <c r="N437">
        <f>-531.181251033243 -184.888925218335 -550.863536650514</f>
        <v>-1266.9337129020919</v>
      </c>
      <c r="O437">
        <f>-534.745643338882 -319.790144454273 -524.750356873099</f>
        <v>-1379.2861446662541</v>
      </c>
      <c r="P437">
        <f>-590.116092018674 -383.488045256263 -242.849783977678</f>
        <v>-1216.4539212526149</v>
      </c>
      <c r="Q437">
        <f>-400.02860992363 -253.540840469932 -313.781669258586</f>
        <v>-967.35111965214799</v>
      </c>
      <c r="R437">
        <f>-575.298540057781 -56.7931316490176 -97.7451671884527</f>
        <v>-729.83683889525128</v>
      </c>
      <c r="S437" t="s">
        <v>3492</v>
      </c>
      <c r="T437" t="s">
        <v>3493</v>
      </c>
      <c r="U437" t="s">
        <v>3494</v>
      </c>
      <c r="V437">
        <f>-536.472483785432 -242.884029332167 -92.6028360653281</f>
        <v>-871.9593491829271</v>
      </c>
      <c r="W437" t="s">
        <v>3495</v>
      </c>
      <c r="X437" t="s">
        <v>3496</v>
      </c>
      <c r="Y437" t="s">
        <v>3497</v>
      </c>
    </row>
    <row r="438" spans="1:25" x14ac:dyDescent="0.3">
      <c r="A438">
        <v>21850</v>
      </c>
      <c r="B438" t="s">
        <v>3498</v>
      </c>
      <c r="C438">
        <f>-557.612922265579 -149.312014016489 -94.2033565295561</f>
        <v>-801.12829281162408</v>
      </c>
      <c r="D438">
        <f>-576.988402896263 -156.463648556343 -208.175579201881</f>
        <v>-941.62763065448689</v>
      </c>
      <c r="E438">
        <f>-574.805686772448 -158.159905120276 -306.760540342323</f>
        <v>-1039.7261322350469</v>
      </c>
      <c r="F438">
        <f>-565.819907179952 -158.332793859536 -395.402884560615</f>
        <v>-1119.5555856001029</v>
      </c>
      <c r="G438">
        <f>-549.496202116617 -157.306425106829 -482.985573869617</f>
        <v>-1189.788201093063</v>
      </c>
      <c r="H438">
        <f>-519.048919709894 -154.81572996375 -603.764733351899</f>
        <v>-1277.6293830255431</v>
      </c>
      <c r="I438">
        <f>-482.03906176187 -152.142939113972 -678.116299709103</f>
        <v>-1312.2983005849451</v>
      </c>
      <c r="J438">
        <f>-534.304550872061 -128.265298617285 -550.513776147459</f>
        <v>-1213.083625636805</v>
      </c>
      <c r="K438" t="s">
        <v>3499</v>
      </c>
      <c r="L438" t="s">
        <v>3500</v>
      </c>
      <c r="M438" t="s">
        <v>3501</v>
      </c>
      <c r="N438">
        <f>-530.59000043647 -183.558364515717 -550.717767408379</f>
        <v>-1264.8661323605661</v>
      </c>
      <c r="O438">
        <f>-534.191590494898 -318.506291243531 -524.859583318204</f>
        <v>-1377.5574650566332</v>
      </c>
      <c r="P438">
        <f>-588.867642998667 -382.421281451695 -242.872776737625</f>
        <v>-1214.1617011879869</v>
      </c>
      <c r="Q438">
        <f>-398.421170233296 -253.842868091958 -315.320218897271</f>
        <v>-967.58425722252491</v>
      </c>
      <c r="R438">
        <f>-576.902925829225 -56.344188192103 -97.7074576321046</f>
        <v>-730.95457165343259</v>
      </c>
      <c r="S438" t="s">
        <v>3502</v>
      </c>
      <c r="T438" t="s">
        <v>3503</v>
      </c>
      <c r="U438" t="s">
        <v>3504</v>
      </c>
      <c r="V438">
        <f>-538.297698487404 -242.257876463461 -92.57346566264</f>
        <v>-873.12904061350503</v>
      </c>
      <c r="W438" t="s">
        <v>3505</v>
      </c>
      <c r="X438" t="s">
        <v>3506</v>
      </c>
      <c r="Y438" t="s">
        <v>3507</v>
      </c>
    </row>
    <row r="439" spans="1:25" x14ac:dyDescent="0.3">
      <c r="A439">
        <v>21900</v>
      </c>
      <c r="B439" t="s">
        <v>3508</v>
      </c>
      <c r="C439">
        <f>-561.258650239093 -148.209779297808 -94.0870512762675</f>
        <v>-803.55548081316851</v>
      </c>
      <c r="D439">
        <f>-579.624643026951 -155.019984208685 -208.247117865602</f>
        <v>-942.89174510123814</v>
      </c>
      <c r="E439">
        <f>-576.292666960674 -156.597674552429 -306.802067128013</f>
        <v>-1039.6924086411159</v>
      </c>
      <c r="F439">
        <f>-566.168193570078 -156.730209645539 -395.321706861856</f>
        <v>-1118.220110077473</v>
      </c>
      <c r="G439">
        <f>-548.617964474166 -155.731093019368 -482.667160366645</f>
        <v>-1187.016217860179</v>
      </c>
      <c r="H439">
        <f>-516.376708700554 -153.348384307174 -602.981845824072</f>
        <v>-1272.7069388318</v>
      </c>
      <c r="I439">
        <f>-479.222192428816 -150.813555947195 -677.266066578175</f>
        <v>-1307.3018149541861</v>
      </c>
      <c r="J439">
        <f>-532.361400183679 -126.746270405452 -549.97131951982</f>
        <v>-1209.0789901089511</v>
      </c>
      <c r="K439" t="s">
        <v>3509</v>
      </c>
      <c r="L439" t="s">
        <v>3510</v>
      </c>
      <c r="M439" t="s">
        <v>3511</v>
      </c>
      <c r="N439">
        <f>-528.767612141905 -182.047530852049 -550.103324815374</f>
        <v>-1260.9184678093279</v>
      </c>
      <c r="O439">
        <f>-532.959072753045 -317.023798754232 -524.323292778293</f>
        <v>-1374.30616428557</v>
      </c>
      <c r="P439">
        <f>-584.678099930252 -380.993601647199 -241.791524659304</f>
        <v>-1207.463226236755</v>
      </c>
      <c r="Q439">
        <f>-394.004599124107 -254.79222946291 -317.737133958203</f>
        <v>-966.53396254521999</v>
      </c>
      <c r="R439">
        <f>-579.896018367003 -55.4572747158225 -97.6094336994313</f>
        <v>-732.96272678225671</v>
      </c>
      <c r="S439" t="s">
        <v>3512</v>
      </c>
      <c r="T439" t="s">
        <v>3513</v>
      </c>
      <c r="U439" t="s">
        <v>3514</v>
      </c>
      <c r="V439">
        <f>-542.674792209179 -241.070052016313 -92.458557976683</f>
        <v>-876.20340220217497</v>
      </c>
      <c r="W439" t="s">
        <v>3515</v>
      </c>
      <c r="X439" t="s">
        <v>3516</v>
      </c>
      <c r="Y439" t="s">
        <v>3517</v>
      </c>
    </row>
    <row r="440" spans="1:25" x14ac:dyDescent="0.3">
      <c r="A440">
        <v>21950</v>
      </c>
      <c r="B440" t="s">
        <v>3518</v>
      </c>
      <c r="C440">
        <f>-563.188319112315 -147.177156272802 -93.9462933632182</f>
        <v>-804.31176874833511</v>
      </c>
      <c r="D440">
        <f>-580.935247102745 -153.760558432995 -208.217527913916</f>
        <v>-942.91333344965608</v>
      </c>
      <c r="E440">
        <f>-576.89281020018 -155.302492432206 -306.746492700555</f>
        <v>-1038.941795332941</v>
      </c>
      <c r="F440">
        <f>-566.064611177463 -155.462286209166 -395.182781850681</f>
        <v>-1116.70967923731</v>
      </c>
      <c r="G440">
        <f>-547.756795740858 -154.549934050905 -482.373471609502</f>
        <v>-1184.6802014012651</v>
      </c>
      <c r="H440">
        <f>-514.40852267109 -152.349146582784 -602.389576420119</f>
        <v>-1269.147245673993</v>
      </c>
      <c r="I440">
        <f>-477.136766506833 -149.938343852015 -676.619151478996</f>
        <v>-1303.6942618378439</v>
      </c>
      <c r="J440">
        <f>-530.806752384942 -125.662217984502 -549.548109599655</f>
        <v>-1206.0170799690991</v>
      </c>
      <c r="K440" t="s">
        <v>3519</v>
      </c>
      <c r="L440" t="s">
        <v>3520</v>
      </c>
      <c r="M440" t="s">
        <v>3521</v>
      </c>
      <c r="N440">
        <f>-527.360141717023 -180.972974409249 -549.604730530988</f>
        <v>-1257.93784665726</v>
      </c>
      <c r="O440">
        <f>-532.214773385927 -315.887022746426 -523.652883925365</f>
        <v>-1371.7546800577179</v>
      </c>
      <c r="P440">
        <f>-581.871799179438 -379.471394151307 -240.664612837698</f>
        <v>-1202.007806168443</v>
      </c>
      <c r="Q440">
        <f>-391.480468658682 -254.071018325174 -318.618301325153</f>
        <v>-964.16978830900894</v>
      </c>
      <c r="R440">
        <f>-581.377148323419 -54.407001509534 -97.543487775022</f>
        <v>-733.32763760797491</v>
      </c>
      <c r="S440" t="s">
        <v>3522</v>
      </c>
      <c r="T440" t="s">
        <v>3523</v>
      </c>
      <c r="U440" t="s">
        <v>3524</v>
      </c>
      <c r="V440">
        <f>-545.060544975174 -239.934350574301 -92.3418893489797</f>
        <v>-877.33678489845477</v>
      </c>
      <c r="W440" t="s">
        <v>3525</v>
      </c>
      <c r="X440" t="s">
        <v>3526</v>
      </c>
      <c r="Y440" t="s">
        <v>3527</v>
      </c>
    </row>
    <row r="441" spans="1:25" x14ac:dyDescent="0.3">
      <c r="A441">
        <v>22000</v>
      </c>
      <c r="B441" t="s">
        <v>3528</v>
      </c>
      <c r="C441">
        <f>-567.345468856455 -143.828364708992 -93.7249255778022</f>
        <v>-804.89875914324921</v>
      </c>
      <c r="D441">
        <f>-583.770586472472 -150.028697676365 -208.21505523417</f>
        <v>-942.01433938300704</v>
      </c>
      <c r="E441">
        <f>-578.210127483408 -151.641020406271 -306.668765451509</f>
        <v>-1036.5199133411879</v>
      </c>
      <c r="F441">
        <f>-565.879558988036 -152.00907545975 -394.907493775106</f>
        <v>-1112.7961282228921</v>
      </c>
      <c r="G441">
        <f>-545.957193010587 -151.445363011537 -481.746556478682</f>
        <v>-1179.149112500806</v>
      </c>
      <c r="H441">
        <f>-510.253574628251 -149.872440698045 -601.09312729455</f>
        <v>-1261.219142620846</v>
      </c>
      <c r="I441">
        <f>-472.858741686988 -147.851840770671 -675.272392402074</f>
        <v>-1295.9829748597331</v>
      </c>
      <c r="J441">
        <f>-527.508960079967 -122.898802531201 -548.671859604023</f>
        <v>-1199.079622215191</v>
      </c>
      <c r="K441" t="s">
        <v>3529</v>
      </c>
      <c r="L441" t="s">
        <v>3530</v>
      </c>
      <c r="M441" t="s">
        <v>3531</v>
      </c>
      <c r="N441">
        <f>-524.421032252685 -178.23045307093 -548.477306117324</f>
        <v>-1251.128791440939</v>
      </c>
      <c r="O441">
        <f>-530.574980755727 -312.930183189573 -521.735953092717</f>
        <v>-1365.2411170380169</v>
      </c>
      <c r="P441">
        <f>-577.990337389209 -372.76614795195 -237.548356293964</f>
        <v>-1188.304841635123</v>
      </c>
      <c r="Q441">
        <f>-387.93991465305 -249.916739955258 -320.250836932601</f>
        <v>-958.107491540909</v>
      </c>
      <c r="R441">
        <f>-584.81746140385 -51.0698933642159 -97.446949191165</f>
        <v>-733.33430395923085</v>
      </c>
      <c r="S441" t="s">
        <v>3532</v>
      </c>
      <c r="T441" t="s">
        <v>3533</v>
      </c>
      <c r="U441" t="s">
        <v>3534</v>
      </c>
      <c r="V441">
        <f>-550.062575959203 -236.402445411826 -92.0925371773681</f>
        <v>-878.55755854839697</v>
      </c>
      <c r="W441" t="s">
        <v>3535</v>
      </c>
      <c r="X441" t="s">
        <v>3536</v>
      </c>
      <c r="Y441" t="s">
        <v>3537</v>
      </c>
    </row>
    <row r="442" spans="1:25" x14ac:dyDescent="0.3">
      <c r="A442">
        <v>22050</v>
      </c>
      <c r="B442" t="s">
        <v>3538</v>
      </c>
      <c r="C442">
        <f>-569.431856130359 -142.001134563527 -93.5796402934529</f>
        <v>-805.01263098733898</v>
      </c>
      <c r="D442">
        <f>-585.194392973599 -148.020405144742 -208.172422619427</f>
        <v>-941.38722073776796</v>
      </c>
      <c r="E442">
        <f>-578.908841292928 -149.722728155008 -306.581095181132</f>
        <v>-1035.2126646290681</v>
      </c>
      <c r="F442">
        <f>-565.872560406659 -150.258358757316 -394.717355529485</f>
        <v>-1110.8482746934601</v>
      </c>
      <c r="G442">
        <f>-545.203918946163 -149.943727161631 -481.383123742128</f>
        <v>-1176.5307698499219</v>
      </c>
      <c r="H442">
        <f>-508.422760402285 -148.797375227265 -600.406883938371</f>
        <v>-1257.627019567921</v>
      </c>
      <c r="I442">
        <f>-471.032075432994 -147.046740698882 -674.595052842716</f>
        <v>-1292.6738689745921</v>
      </c>
      <c r="J442">
        <f>-526.087454944095 -121.632951301539 -548.22106687957</f>
        <v>-1195.9414731252041</v>
      </c>
      <c r="K442" t="s">
        <v>3539</v>
      </c>
      <c r="L442" t="s">
        <v>3540</v>
      </c>
      <c r="M442" t="s">
        <v>3541</v>
      </c>
      <c r="N442">
        <f>-523.128994196108 -176.970681812788 -547.839791139762</f>
        <v>-1247.939467148658</v>
      </c>
      <c r="O442">
        <f>-529.826719467453 -311.538370123475 -520.594180365027</f>
        <v>-1361.9592699559548</v>
      </c>
      <c r="P442">
        <f>-577.10939788474 -368.821634311543 -235.859087677629</f>
        <v>-1181.7901198739121</v>
      </c>
      <c r="Q442">
        <f>-387.370708602715 -246.974271980674 -320.731461168397</f>
        <v>-955.07644175178598</v>
      </c>
      <c r="R442">
        <f>-586.373327494108 -49.5053786141907 -97.3600337385341</f>
        <v>-733.2387398468328</v>
      </c>
      <c r="S442" t="s">
        <v>3542</v>
      </c>
      <c r="T442" t="s">
        <v>3543</v>
      </c>
      <c r="U442" t="s">
        <v>3544</v>
      </c>
      <c r="V442">
        <f>-552.654297445134 -234.379389813575 -91.9213625006719</f>
        <v>-878.95504975938093</v>
      </c>
      <c r="W442" t="s">
        <v>3545</v>
      </c>
      <c r="X442" t="s">
        <v>3546</v>
      </c>
      <c r="Y442" t="s">
        <v>3547</v>
      </c>
    </row>
    <row r="443" spans="1:25" x14ac:dyDescent="0.3">
      <c r="A443">
        <v>22100</v>
      </c>
      <c r="B443" t="s">
        <v>3548</v>
      </c>
      <c r="C443">
        <f>-572.799317851781 -138.239641804416 -93.2789526527238</f>
        <v>-804.31791230892077</v>
      </c>
      <c r="D443">
        <f>-587.43405164454 -144.090673933617 -208.030039484322</f>
        <v>-939.55476506247896</v>
      </c>
      <c r="E443">
        <f>-579.985830927732 -146.178566500404 -306.3499440832</f>
        <v>-1032.5143415113359</v>
      </c>
      <c r="F443">
        <f>-565.841743560375 -147.255915569464 -394.310334843707</f>
        <v>-1107.4079939735461</v>
      </c>
      <c r="G443">
        <f>-544.023469030655 -147.666481179303 -480.693484068378</f>
        <v>-1172.3834342783359</v>
      </c>
      <c r="H443">
        <f>-505.60629548822 -147.714266861729 -599.204729703738</f>
        <v>-1252.5252920536871</v>
      </c>
      <c r="I443">
        <f>-468.254922788742 -146.753981647019 -673.427212290686</f>
        <v>-1288.4361167264469</v>
      </c>
      <c r="J443">
        <f>-523.887088003953 -120.022040688489 -547.51072349868</f>
        <v>-1191.4198521911221</v>
      </c>
      <c r="K443" t="s">
        <v>3549</v>
      </c>
      <c r="L443" t="s">
        <v>3550</v>
      </c>
      <c r="M443" t="s">
        <v>3551</v>
      </c>
      <c r="N443">
        <f>-521.136437166473 -175.3642734047 -546.596697473121</f>
        <v>-1243.0974080442938</v>
      </c>
      <c r="O443">
        <f>-528.489423399087 -309.627980826898 -518.057107452759</f>
        <v>-1356.174511678744</v>
      </c>
      <c r="P443">
        <f>-576.751432763067 -360.181502510065 -232.21402069475</f>
        <v>-1169.1469559678819</v>
      </c>
      <c r="Q443">
        <f>-387.367488244647 -240.428538838437 -320.779329362838</f>
        <v>-948.57535644592201</v>
      </c>
      <c r="R443">
        <f>-589.011807106879 -46.2815611499657 -97.183060826164</f>
        <v>-732.47642908300872</v>
      </c>
      <c r="S443" t="s">
        <v>3552</v>
      </c>
      <c r="T443" t="s">
        <v>3553</v>
      </c>
      <c r="U443" t="s">
        <v>3554</v>
      </c>
      <c r="V443">
        <f>-556.599447027905 -230.161521570003 -91.5741816211064</f>
        <v>-878.33515021901439</v>
      </c>
      <c r="W443" t="s">
        <v>3555</v>
      </c>
      <c r="X443" t="s">
        <v>3556</v>
      </c>
      <c r="Y443" t="s">
        <v>3557</v>
      </c>
    </row>
    <row r="444" spans="1:25" x14ac:dyDescent="0.3">
      <c r="A444">
        <v>22150</v>
      </c>
      <c r="B444" t="s">
        <v>3558</v>
      </c>
      <c r="C444">
        <f>-574.224494487138 -136.577399183093 -93.1206103532119</f>
        <v>-803.92250402344291</v>
      </c>
      <c r="D444">
        <f>-588.468822581308 -142.454015040487 -207.919474912382</f>
        <v>-938.84231253417693</v>
      </c>
      <c r="E444">
        <f>-580.657785553645 -144.819919580645 -306.205072725728</f>
        <v>-1031.6827778600179</v>
      </c>
      <c r="F444">
        <f>-566.182019074683 -146.246942730671 -394.106448832131</f>
        <v>-1106.535410637485</v>
      </c>
      <c r="G444">
        <f>-544.033414017938 -147.103457193964 -480.402161413315</f>
        <v>-1171.539032625217</v>
      </c>
      <c r="H444">
        <f>-505.160057891402 -147.872297315816 -598.762194930756</f>
        <v>-1251.7945501379741</v>
      </c>
      <c r="I444">
        <f>-467.820038563509 -147.40393271686 -672.995119811764</f>
        <v>-1288.2190910921331</v>
      </c>
      <c r="J444">
        <f>-523.587787563265 -119.863242988578 -547.291570205703</f>
        <v>-1190.7426007575459</v>
      </c>
      <c r="K444" t="s">
        <v>3559</v>
      </c>
      <c r="L444" t="s">
        <v>3560</v>
      </c>
      <c r="M444" t="s">
        <v>3561</v>
      </c>
      <c r="N444">
        <f>-520.94485842555 -175.20479740868 -546.063945256484</f>
        <v>-1242.2136010907141</v>
      </c>
      <c r="O444">
        <f>-528.533819899382 -309.30077031885 -516.801290506435</f>
        <v>-1354.635880724667</v>
      </c>
      <c r="P444">
        <f>-577.348489689189 -356.369638627112 -230.457406466974</f>
        <v>-1164.175534783275</v>
      </c>
      <c r="Q444">
        <f>-388.080585110332 -237.485525866387 -320.430268294842</f>
        <v>-945.99637927156095</v>
      </c>
      <c r="R444">
        <f>-590.337800585174 -44.7502942191793 -97.1037325834031</f>
        <v>-732.19182738775646</v>
      </c>
      <c r="S444" t="s">
        <v>3562</v>
      </c>
      <c r="T444" t="s">
        <v>3563</v>
      </c>
      <c r="U444" t="s">
        <v>3564</v>
      </c>
      <c r="V444">
        <f>-558.235454638723 -228.568535995163 -91.3713491111394</f>
        <v>-878.17533974502533</v>
      </c>
      <c r="W444" t="s">
        <v>3565</v>
      </c>
      <c r="X444" t="s">
        <v>3566</v>
      </c>
      <c r="Y444" t="s">
        <v>3567</v>
      </c>
    </row>
    <row r="445" spans="1:25" x14ac:dyDescent="0.3">
      <c r="A445">
        <v>22200</v>
      </c>
      <c r="B445" t="s">
        <v>3568</v>
      </c>
      <c r="C445">
        <f>-576.32211037512 -133.889794884211 -92.8655079576698</f>
        <v>-803.07741321700087</v>
      </c>
      <c r="D445">
        <f>-590.048972794838 -139.970942975789 -207.716681119411</f>
        <v>-937.73659689003796</v>
      </c>
      <c r="E445">
        <f>-581.910187201277 -142.917329767834 -305.959973732129</f>
        <v>-1030.7874907012401</v>
      </c>
      <c r="F445">
        <f>-567.192835264689 -145.030119251455 -393.807476791717</f>
        <v>-1106.0304313078609</v>
      </c>
      <c r="G445">
        <f>-544.861211662155 -146.730570094631 -480.04353075428</f>
        <v>-1171.6353125110661</v>
      </c>
      <c r="H445">
        <f>-505.795562828813 -148.840781628195 -598.323777909701</f>
        <v>-1252.9601223667091</v>
      </c>
      <c r="I445">
        <f>-468.426762558049 -149.448537097485 -672.541212495485</f>
        <v>-1290.4165121510191</v>
      </c>
      <c r="J445">
        <f>-524.232202117348 -120.245922635633 -547.179559868495</f>
        <v>-1191.6576846214759</v>
      </c>
      <c r="K445" t="s">
        <v>3569</v>
      </c>
      <c r="L445" t="s">
        <v>3570</v>
      </c>
      <c r="M445" t="s">
        <v>3571</v>
      </c>
      <c r="N445">
        <f>-521.740558635657 -175.578346870296 -545.369321172989</f>
        <v>-1242.6882266789419</v>
      </c>
      <c r="O445">
        <f>-529.522560539884 -309.36893220761 -514.751898518861</f>
        <v>-1353.6433912663551</v>
      </c>
      <c r="P445">
        <f>-579.113509053795 -350.429663592427 -227.617800346447</f>
        <v>-1157.160972992669</v>
      </c>
      <c r="Q445">
        <f>-390.316930820258 -232.444040693424 -319.738079676534</f>
        <v>-942.49905119021605</v>
      </c>
      <c r="R445">
        <f>-592.55768086782 -42.1078643871726 -97.0515129437612</f>
        <v>-731.71705819875376</v>
      </c>
      <c r="S445" t="s">
        <v>3572</v>
      </c>
      <c r="T445" t="s">
        <v>3573</v>
      </c>
      <c r="U445" t="s">
        <v>3574</v>
      </c>
      <c r="V445">
        <f>-560.119729264448 -225.942060471402 -90.9598914303298</f>
        <v>-877.02168116617975</v>
      </c>
      <c r="W445" t="s">
        <v>3575</v>
      </c>
      <c r="X445" t="s">
        <v>3576</v>
      </c>
      <c r="Y445" t="s">
        <v>3577</v>
      </c>
    </row>
    <row r="446" spans="1:25" x14ac:dyDescent="0.3">
      <c r="A446">
        <v>22250</v>
      </c>
      <c r="B446" t="s">
        <v>3578</v>
      </c>
      <c r="C446">
        <f>-576.989607384643 -132.823293283034 -92.7676645207428</f>
        <v>-802.58056518841977</v>
      </c>
      <c r="D446">
        <f>-590.652524879941 -139.077003514718 -207.617348178711</f>
        <v>-937.34687657336997</v>
      </c>
      <c r="E446">
        <f>-582.539542627092 -142.33735093935 -305.852807773849</f>
        <v>-1030.7297013402911</v>
      </c>
      <c r="F446">
        <f>-567.879624782122 -144.803491256225 -393.700551993467</f>
        <v>-1106.3836680318141</v>
      </c>
      <c r="G446">
        <f>-545.639172043297 -146.92646075273 -479.950840730414</f>
        <v>-1172.5164735264409</v>
      </c>
      <c r="H446">
        <f>-506.736386089448 -149.700382670489 -598.271140265566</f>
        <v>-1254.7079090255029</v>
      </c>
      <c r="I446">
        <f>-469.33745435187 -150.854631274147 -672.466878666963</f>
        <v>-1292.65896429298</v>
      </c>
      <c r="J446">
        <f>-525.074641247061 -120.817391970667 -547.253588222761</f>
        <v>-1193.1456214404889</v>
      </c>
      <c r="K446" t="s">
        <v>3579</v>
      </c>
      <c r="L446" t="s">
        <v>3580</v>
      </c>
      <c r="M446" t="s">
        <v>3581</v>
      </c>
      <c r="N446">
        <f>-522.636555551377 -176.142027024974 -545.154909056455</f>
        <v>-1243.9334916328062</v>
      </c>
      <c r="O446">
        <f>-530.364142223655 -309.80196023423 -513.961361539099</f>
        <v>-1354.127463996984</v>
      </c>
      <c r="P446">
        <f>-580.271851009435 -348.82454876795 -226.598129441366</f>
        <v>-1155.6945292187509</v>
      </c>
      <c r="Q446">
        <f>-391.938229341839 -230.672297041447 -319.449405507212</f>
        <v>-942.05993189049809</v>
      </c>
      <c r="R446">
        <f>-593.387420175824 -40.9939131460344 -97.0512410673615</f>
        <v>-731.43257438921989</v>
      </c>
      <c r="S446" t="s">
        <v>3582</v>
      </c>
      <c r="T446" t="s">
        <v>3583</v>
      </c>
      <c r="U446" t="s">
        <v>3584</v>
      </c>
      <c r="V446">
        <f>-560.661557484304 -224.866255018361 -90.7447905940138</f>
        <v>-876.27260309667884</v>
      </c>
      <c r="W446" t="s">
        <v>3585</v>
      </c>
      <c r="X446" t="s">
        <v>3586</v>
      </c>
      <c r="Y446" t="s">
        <v>3587</v>
      </c>
    </row>
    <row r="447" spans="1:25" x14ac:dyDescent="0.3">
      <c r="A447">
        <v>22300</v>
      </c>
      <c r="B447" t="s">
        <v>3588</v>
      </c>
      <c r="C447">
        <f>-577.81180187049 -131.206478401997 -92.6380799646772</f>
        <v>-801.65636023716411</v>
      </c>
      <c r="D447">
        <f>-591.619546607654 -137.826887313056 -207.449742478061</f>
        <v>-936.89617639877099</v>
      </c>
      <c r="E447">
        <f>-583.83600226041 -141.648957112699 -305.691744914591</f>
        <v>-1031.1767042877</v>
      </c>
      <c r="F447">
        <f>-569.555325080983 -144.726473152899 -393.582666291385</f>
        <v>-1107.8644645252671</v>
      </c>
      <c r="G447">
        <f>-547.773096119031 -147.564208268344 -479.929128757084</f>
        <v>-1175.2664331444591</v>
      </c>
      <c r="H447">
        <f>-509.589565414302 -151.445349537076 -598.452502503928</f>
        <v>-1259.4874174553061</v>
      </c>
      <c r="I447">
        <f>-472.143520881483 -153.489136628077 -672.605323669141</f>
        <v>-1298.2379811787009</v>
      </c>
      <c r="J447">
        <f>-527.592564431125 -122.084487410511 -547.58857615338</f>
        <v>-1197.2656279950161</v>
      </c>
      <c r="K447" t="s">
        <v>3589</v>
      </c>
      <c r="L447" t="s">
        <v>3590</v>
      </c>
      <c r="M447" t="s">
        <v>3591</v>
      </c>
      <c r="N447">
        <f>-525.191907658835 -177.390202156068 -545.004113994323</f>
        <v>-1247.5862238092259</v>
      </c>
      <c r="O447">
        <f>-532.731136464816 -310.840528692271 -512.830276299787</f>
        <v>-1356.4019414568738</v>
      </c>
      <c r="P447">
        <f>-582.989413235144 -346.242926347233 -225.059578308056</f>
        <v>-1154.2919178904328</v>
      </c>
      <c r="Q447">
        <f>-394.691727780857 -229.381491813402 -319.602063130202</f>
        <v>-943.67528272446089</v>
      </c>
      <c r="R447">
        <f>-594.762119486425 -39.0766662539465 -97.1212415078347</f>
        <v>-730.9600272482063</v>
      </c>
      <c r="S447" t="s">
        <v>3592</v>
      </c>
      <c r="T447" t="s">
        <v>3593</v>
      </c>
      <c r="U447" t="s">
        <v>3594</v>
      </c>
      <c r="V447">
        <f>-560.96737934525 -223.532092425435 -90.3967708140834</f>
        <v>-874.8962425847684</v>
      </c>
      <c r="W447" t="s">
        <v>3595</v>
      </c>
      <c r="X447" t="s">
        <v>3596</v>
      </c>
      <c r="Y447" t="s">
        <v>3597</v>
      </c>
    </row>
    <row r="448" spans="1:25" x14ac:dyDescent="0.3">
      <c r="A448">
        <v>22350</v>
      </c>
      <c r="B448" t="s">
        <v>3598</v>
      </c>
      <c r="C448">
        <f>-577.949864039464 -130.628020976106 -92.6242238227486</f>
        <v>-801.20210883831862</v>
      </c>
      <c r="D448">
        <f>-591.970974096855 -137.379107166458 -207.402453915925</f>
        <v>-936.75253517923795</v>
      </c>
      <c r="E448">
        <f>-584.460122353262 -141.41309353622 -305.657123025257</f>
        <v>-1031.5303389147391</v>
      </c>
      <c r="F448">
        <f>-570.460729131165 -144.722591131812 -393.584968178672</f>
        <v>-1108.768288441649</v>
      </c>
      <c r="G448">
        <f>-548.992448970868 -147.831661793222 -480.00082958057</f>
        <v>-1176.82494034466</v>
      </c>
      <c r="H448">
        <f>-511.279969061307 -152.132593825734 -598.660363110685</f>
        <v>-1262.0729259977261</v>
      </c>
      <c r="I448">
        <f>-473.853035475612 -154.504848760623 -672.812928367117</f>
        <v>-1301.170812603352</v>
      </c>
      <c r="J448">
        <f>-529.067129749686 -122.590969682634 -547.825008123811</f>
        <v>-1199.483107556131</v>
      </c>
      <c r="K448" t="s">
        <v>3599</v>
      </c>
      <c r="L448" t="s">
        <v>3600</v>
      </c>
      <c r="M448" t="s">
        <v>3601</v>
      </c>
      <c r="N448">
        <f>-526.683736785821 -177.888890398034 -545.063092494647</f>
        <v>-1249.635719678502</v>
      </c>
      <c r="O448">
        <f>-534.109144011148 -311.22465671808 -512.429541011175</f>
        <v>-1357.7633417404031</v>
      </c>
      <c r="P448">
        <f>-584.389500841476 -345.002497977743 -224.467541190324</f>
        <v>-1153.859540009543</v>
      </c>
      <c r="Q448">
        <f>-395.686770395876 -229.785840003007 -320.213413484871</f>
        <v>-945.68602388375405</v>
      </c>
      <c r="R448">
        <f>-595.027368812761 -38.3805574128953 -97.1535860950725</f>
        <v>-730.56151232072875</v>
      </c>
      <c r="S448" t="s">
        <v>3602</v>
      </c>
      <c r="T448" t="s">
        <v>3603</v>
      </c>
      <c r="U448" t="s">
        <v>3604</v>
      </c>
      <c r="V448">
        <f>-560.994070840211 -223.118117781016 -90.2730721712686</f>
        <v>-874.38526079249561</v>
      </c>
      <c r="W448" t="s">
        <v>3605</v>
      </c>
      <c r="X448" t="s">
        <v>3606</v>
      </c>
      <c r="Y448" t="s">
        <v>3607</v>
      </c>
    </row>
    <row r="449" spans="1:25" x14ac:dyDescent="0.3">
      <c r="A449">
        <v>22400</v>
      </c>
      <c r="B449" t="s">
        <v>3608</v>
      </c>
      <c r="C449">
        <f>-577.828691027213 -130.47010594383 -92.6292584336638</f>
        <v>-800.92805540470681</v>
      </c>
      <c r="D449">
        <f>-592.34962622007 -137.44342181367 -207.332060382105</f>
        <v>-937.12510841584503</v>
      </c>
      <c r="E449">
        <f>-585.477702993239 -141.87564055524 -305.61638349918</f>
        <v>-1032.969727047659</v>
      </c>
      <c r="F449">
        <f>-572.137530134424 -145.627907408001 -393.628778427009</f>
        <v>-1111.3942159694338</v>
      </c>
      <c r="G449">
        <f>-551.405137453367 -149.263104739146 -480.203649116814</f>
        <v>-1180.8718913093271</v>
      </c>
      <c r="H449">
        <f>-514.796165855726 -154.385699826889 -599.17562890183</f>
        <v>-1268.357494584445</v>
      </c>
      <c r="I449">
        <f>-477.465526037255 -157.404254803115 -673.353525746991</f>
        <v>-1308.2233065873611</v>
      </c>
      <c r="J449">
        <f>-531.985587715164 -124.485242786579 -548.344628794643</f>
        <v>-1204.8154592963861</v>
      </c>
      <c r="K449" t="s">
        <v>3609</v>
      </c>
      <c r="L449" t="s">
        <v>3610</v>
      </c>
      <c r="M449" t="s">
        <v>3611</v>
      </c>
      <c r="N449">
        <f>-529.826403597958 -179.777518201853 -545.299375872111</f>
        <v>-1254.903297671922</v>
      </c>
      <c r="O449">
        <f>-537.526115832746 -312.931468712317 -512.00273247567</f>
        <v>-1362.4603170207329</v>
      </c>
      <c r="P449">
        <f>-586.794529368124 -343.717755285073 -223.530764068327</f>
        <v>-1154.043048721524</v>
      </c>
      <c r="Q449">
        <f>-396.226436851925 -234.683005051729 -322.758348208555</f>
        <v>-953.66779011220888</v>
      </c>
      <c r="R449">
        <f>-594.723854157167 -37.7734036161453 -97.1912317295227</f>
        <v>-729.68848950283495</v>
      </c>
      <c r="S449" t="s">
        <v>3612</v>
      </c>
      <c r="T449" t="s">
        <v>3613</v>
      </c>
      <c r="U449" t="s">
        <v>3614</v>
      </c>
      <c r="V449">
        <f>-560.851075367563 -223.544516786907 -90.0804168209238</f>
        <v>-874.47600897539382</v>
      </c>
      <c r="W449" t="s">
        <v>3615</v>
      </c>
      <c r="X449" t="s">
        <v>3616</v>
      </c>
      <c r="Y449" t="s">
        <v>3617</v>
      </c>
    </row>
    <row r="450" spans="1:25" x14ac:dyDescent="0.3">
      <c r="A450">
        <v>22450</v>
      </c>
      <c r="B450" t="s">
        <v>3618</v>
      </c>
      <c r="C450">
        <f>-577.595653134797 -130.773179400027 -92.6232216092841</f>
        <v>-800.99205414410801</v>
      </c>
      <c r="D450">
        <f>-592.301578772719 -137.830693239594 -207.297283092856</f>
        <v>-937.42955510516902</v>
      </c>
      <c r="E450">
        <f>-585.717872825159 -142.462775078664 -305.592069765396</f>
        <v>-1033.772717669219</v>
      </c>
      <c r="F450">
        <f>-572.689785037373 -146.444538169333 -393.641228142758</f>
        <v>-1112.775551349464</v>
      </c>
      <c r="G450">
        <f>-552.318725723069 -150.35820881273 -480.289654662733</f>
        <v>-1182.9665891985319</v>
      </c>
      <c r="H450">
        <f>-516.26338124285 -155.920773778944 -599.411032830473</f>
        <v>-1271.5951878522669</v>
      </c>
      <c r="I450">
        <f>-479.034480929955 -159.252201790614 -673.626364825124</f>
        <v>-1311.9130475456932</v>
      </c>
      <c r="J450">
        <f>-533.096105817709 -125.826138635783 -548.57512213703</f>
        <v>-1207.497366590522</v>
      </c>
      <c r="K450" t="s">
        <v>3619</v>
      </c>
      <c r="L450" t="s">
        <v>3620</v>
      </c>
      <c r="M450" t="s">
        <v>3621</v>
      </c>
      <c r="N450">
        <f>-531.163043465695 -181.119906270125 -545.407936509704</f>
        <v>-1257.6908862455239</v>
      </c>
      <c r="O450">
        <f>-539.340496340908 -314.200070968437 -511.860224764991</f>
        <v>-1365.4007920743361</v>
      </c>
      <c r="P450">
        <f>-588.022085922653 -343.569676028977 -223.141069576157</f>
        <v>-1154.7328315277871</v>
      </c>
      <c r="Q450">
        <f>-396.02699244397 -239.163427595749 -324.571129956283</f>
        <v>-959.76154999600203</v>
      </c>
      <c r="R450">
        <f>-594.16525411973 -37.7585567175288 -97.1682274586337</f>
        <v>-729.09203829589251</v>
      </c>
      <c r="S450" t="s">
        <v>3622</v>
      </c>
      <c r="T450" t="s">
        <v>3623</v>
      </c>
      <c r="U450" t="s">
        <v>3624</v>
      </c>
      <c r="V450">
        <f>-560.825252420066 -224.179448665892 -89.949319315469</f>
        <v>-874.95402040142699</v>
      </c>
      <c r="W450" t="s">
        <v>3625</v>
      </c>
      <c r="X450" t="s">
        <v>3626</v>
      </c>
      <c r="Y450" t="s">
        <v>3627</v>
      </c>
    </row>
    <row r="451" spans="1:25" x14ac:dyDescent="0.3">
      <c r="A451">
        <v>22500</v>
      </c>
      <c r="B451" t="s">
        <v>3628</v>
      </c>
      <c r="C451">
        <f>-577.871104318614 -131.133834964282 -91.972871309737</f>
        <v>-800.97781059263298</v>
      </c>
      <c r="D451">
        <f>-591.935984945799 -138.408579295706 -206.713757151481</f>
        <v>-937.05832139298593</v>
      </c>
      <c r="E451">
        <f>-585.362363032528 -143.431872240637 -304.989966274229</f>
        <v>-1033.7842015473939</v>
      </c>
      <c r="F451">
        <f>-572.569957965854 -147.825217907382 -393.054197130453</f>
        <v>-1113.4493730036891</v>
      </c>
      <c r="G451">
        <f>-552.655543920486 -152.202237759989 -479.7865408105</f>
        <v>-1184.6443224909749</v>
      </c>
      <c r="H451">
        <f>-517.460847943895 -158.456171442805 -599.1306217674</f>
        <v>-1275.0476411541001</v>
      </c>
      <c r="I451">
        <f>-480.533890347247 -162.171508077151 -673.478635345789</f>
        <v>-1316.1840337701869</v>
      </c>
      <c r="J451">
        <f>-533.592046632989 -128.05109486909 -548.252150000052</f>
        <v>-1209.8952915021309</v>
      </c>
      <c r="K451" t="s">
        <v>3629</v>
      </c>
      <c r="L451" t="s">
        <v>3630</v>
      </c>
      <c r="M451" t="s">
        <v>3631</v>
      </c>
      <c r="N451">
        <f>-532.304443966282 -183.357190679257 -544.974261199662</f>
        <v>-1260.635895845201</v>
      </c>
      <c r="O451">
        <f>-542.10175125424 -316.257078040592 -511.049102447865</f>
        <v>-1369.407931742697</v>
      </c>
      <c r="P451">
        <f>-590.052546793136 -343.725176662839 -222.020697767015</f>
        <v>-1155.7984212229899</v>
      </c>
      <c r="Q451">
        <f>-395.299072925602 -248.615330441305 -327.263594010649</f>
        <v>-971.17799737755604</v>
      </c>
      <c r="R451">
        <f>-591.419273423001 -38.7686443525779 -96.681152468355</f>
        <v>-726.86907024393383</v>
      </c>
      <c r="S451" t="s">
        <v>3632</v>
      </c>
      <c r="T451" t="s">
        <v>3633</v>
      </c>
      <c r="U451" t="s">
        <v>3634</v>
      </c>
      <c r="V451">
        <f>-563.897307961515 -223.728712178554 -88.7020310327623</f>
        <v>-876.32805117283135</v>
      </c>
      <c r="W451" t="s">
        <v>3635</v>
      </c>
      <c r="X451" t="s">
        <v>3636</v>
      </c>
      <c r="Y451" t="s">
        <v>3637</v>
      </c>
    </row>
    <row r="452" spans="1:25" x14ac:dyDescent="0.3">
      <c r="A452">
        <v>22550</v>
      </c>
      <c r="B452" t="s">
        <v>3638</v>
      </c>
      <c r="C452">
        <f>-578.817520627591 -131.012628240185 -91.1999597450742</f>
        <v>-801.0301086128502</v>
      </c>
      <c r="D452">
        <f>-592.416767475609 -138.750080440466 -205.966774334254</f>
        <v>-937.13362225032915</v>
      </c>
      <c r="E452">
        <f>-585.672298782408 -144.034926464656 -304.217643222868</f>
        <v>-1033.9248684699319</v>
      </c>
      <c r="F452">
        <f>-572.81566266144 -148.595987671722 -392.264018433144</f>
        <v>-1113.675668766306</v>
      </c>
      <c r="G452">
        <f>-552.923563638598 -153.068343030579 -478.99655391219</f>
        <v>-1184.988460581367</v>
      </c>
      <c r="H452">
        <f>-517.846278001155 -159.374332939753 -598.372526706849</f>
        <v>-1275.593137647757</v>
      </c>
      <c r="I452">
        <f>-481.053369976899 -163.041549501141 -672.789362224063</f>
        <v>-1316.884281702103</v>
      </c>
      <c r="J452">
        <f>-533.781567977725 -128.941527688296 -547.448795133213</f>
        <v>-1210.171890799234</v>
      </c>
      <c r="K452" t="s">
        <v>3639</v>
      </c>
      <c r="L452" t="s">
        <v>3640</v>
      </c>
      <c r="M452" t="s">
        <v>3641</v>
      </c>
      <c r="N452">
        <f>-532.782500803658 -184.257196675554 -544.233288274488</f>
        <v>-1261.2729857537001</v>
      </c>
      <c r="O452">
        <f>-543.641673860142 -317.027853401857 -510.31816532205</f>
        <v>-1370.987692584049</v>
      </c>
      <c r="P452">
        <f>-591.814215979045 -344.118153007807 -221.290990811205</f>
        <v>-1157.2233597980571</v>
      </c>
      <c r="Q452">
        <f>-395.969928577346 -253.108486437179 -328.123308895874</f>
        <v>-977.2017239103991</v>
      </c>
      <c r="R452">
        <f>-591.168539639929 -39.1152280223021 -96.2664645499166</f>
        <v>-726.55023221214765</v>
      </c>
      <c r="S452" t="s">
        <v>3642</v>
      </c>
      <c r="T452" t="s">
        <v>3643</v>
      </c>
      <c r="U452" t="s">
        <v>3644</v>
      </c>
      <c r="V452">
        <f>-566.507905482329 -223.013326303801 -87.3621721706916</f>
        <v>-876.88340395682155</v>
      </c>
      <c r="W452" t="s">
        <v>3645</v>
      </c>
      <c r="X452" t="s">
        <v>3646</v>
      </c>
      <c r="Y452" t="s">
        <v>3647</v>
      </c>
    </row>
    <row r="453" spans="1:25" x14ac:dyDescent="0.3">
      <c r="A453">
        <v>22600</v>
      </c>
      <c r="B453" t="s">
        <v>3648</v>
      </c>
      <c r="C453">
        <f>-582.841216459064 -125.619095894729 -89.1350264099154</f>
        <v>-797.59533876370836</v>
      </c>
      <c r="D453">
        <f>-596.002653402204 -134.060383011137 -203.903316981189</f>
        <v>-933.96635339452996</v>
      </c>
      <c r="E453">
        <f>-588.888198916654 -139.778034605776 -302.103888272245</f>
        <v>-1030.7701217946751</v>
      </c>
      <c r="F453">
        <f>-575.69927040701 -144.654756044023 -390.084036654476</f>
        <v>-1110.4380631055089</v>
      </c>
      <c r="G453">
        <f>-555.477300715032 -149.368619666884 -476.727512484787</f>
        <v>-1181.5734328667031</v>
      </c>
      <c r="H453">
        <f>-519.941632937361 -155.9332325483 -595.953986680436</f>
        <v>-1271.828852166097</v>
      </c>
      <c r="I453">
        <f>-483.172951363816 -159.616731399494 -670.381796294665</f>
        <v>-1313.1714790579749</v>
      </c>
      <c r="J453">
        <f>-535.855828747222 -125.383427414651 -545.093717182468</f>
        <v>-1206.3329733443411</v>
      </c>
      <c r="K453" t="s">
        <v>3649</v>
      </c>
      <c r="L453" t="s">
        <v>3650</v>
      </c>
      <c r="M453" t="s">
        <v>3651</v>
      </c>
      <c r="N453">
        <f>-535.302453165504 -180.705625357225 -541.882759440603</f>
        <v>-1257.8908379633319</v>
      </c>
      <c r="O453">
        <f>-547.725405294112 -313.386216983117 -508.228098805926</f>
        <v>-1369.3397210831549</v>
      </c>
      <c r="P453">
        <f>-596.462427603969 -341.025654133397 -219.34752278321</f>
        <v>-1156.835604520576</v>
      </c>
      <c r="Q453">
        <f>-399.267042218837 -256.091242868453 -328.668126495196</f>
        <v>-984.02641158248593</v>
      </c>
      <c r="R453">
        <f>-595.085758000618 -32.4367193014298 -95.4369897064109</f>
        <v>-722.95946700845866</v>
      </c>
      <c r="S453" t="s">
        <v>3652</v>
      </c>
      <c r="T453" t="s">
        <v>3653</v>
      </c>
      <c r="U453" t="s">
        <v>3654</v>
      </c>
      <c r="V453">
        <f>-571.154271972505 -216.980582614491 -84.7721212655998</f>
        <v>-872.90697585259579</v>
      </c>
      <c r="W453" t="s">
        <v>3655</v>
      </c>
      <c r="X453" t="s">
        <v>3656</v>
      </c>
      <c r="Y453" t="s">
        <v>3657</v>
      </c>
    </row>
    <row r="454" spans="1:25" x14ac:dyDescent="0.3">
      <c r="A454">
        <v>22650</v>
      </c>
      <c r="B454" t="s">
        <v>3658</v>
      </c>
      <c r="C454">
        <f>-586.394769177481 -118.28365872172 -88.47596507255</f>
        <v>-793.15439297175101</v>
      </c>
      <c r="D454">
        <f>-599.352462389017 -126.675590285685 -203.270968097349</f>
        <v>-929.29902077205088</v>
      </c>
      <c r="E454">
        <f>-591.981234836958 -132.508409567211 -301.445933077318</f>
        <v>-1025.9355774814869</v>
      </c>
      <c r="F454">
        <f>-578.532768572083 -137.543267046687 -389.377774554906</f>
        <v>-1105.4538101736759</v>
      </c>
      <c r="G454">
        <f>-558.027397316963 -142.466778789432 -475.94295197722</f>
        <v>-1176.4371280836149</v>
      </c>
      <c r="H454">
        <f>-522.074445081038 -149.374145331314 -595.024868203175</f>
        <v>-1266.4734586155269</v>
      </c>
      <c r="I454">
        <f>-485.169063651212 -153.165687773451 -669.37979763527</f>
        <v>-1307.714549059933</v>
      </c>
      <c r="J454">
        <f>-538.073100852293 -118.675746443187 -544.280736161377</f>
        <v>-1201.0295834568569</v>
      </c>
      <c r="K454" t="s">
        <v>3659</v>
      </c>
      <c r="L454" t="s">
        <v>3660</v>
      </c>
      <c r="M454" t="s">
        <v>3661</v>
      </c>
      <c r="N454">
        <f>-537.717915441336 -173.993386646462 -540.964730776219</f>
        <v>-1252.6760328640171</v>
      </c>
      <c r="O454">
        <f>-550.678206195013 -306.667899244821 -507.359864049149</f>
        <v>-1364.7059694889831</v>
      </c>
      <c r="P454">
        <f>-599.447860672813 -334.171424615224 -218.471935553628</f>
        <v>-1152.0912208416648</v>
      </c>
      <c r="Q454">
        <f>-402.236391056903 -250.991560531748 -329.104891429427</f>
        <v>-982.33284301807794</v>
      </c>
      <c r="R454">
        <f>-599.500231151287 -23.2619229660245 -95.1294186738875</f>
        <v>-717.891572791199</v>
      </c>
      <c r="S454" t="s">
        <v>3662</v>
      </c>
      <c r="T454" t="s">
        <v>3663</v>
      </c>
      <c r="U454" t="s">
        <v>3664</v>
      </c>
      <c r="V454">
        <f>-573.860301830915 -211.610538350054 -84.0642717920412</f>
        <v>-869.53511197301009</v>
      </c>
      <c r="W454" t="s">
        <v>3665</v>
      </c>
      <c r="X454" t="s">
        <v>3666</v>
      </c>
      <c r="Y454" t="s">
        <v>3667</v>
      </c>
    </row>
    <row r="455" spans="1:25" x14ac:dyDescent="0.3">
      <c r="A455">
        <v>22700</v>
      </c>
      <c r="B455" t="s">
        <v>3668</v>
      </c>
      <c r="C455">
        <f>-590.653018937102 -105.367396651128 -87.0797276125662</f>
        <v>-783.10014320079631</v>
      </c>
      <c r="D455">
        <f>-602.601986586721 -113.048331528759 -202.033815887637</f>
        <v>-917.68413400311692</v>
      </c>
      <c r="E455">
        <f>-594.401568190021 -119.024231677524 -300.13419556281</f>
        <v>-1013.559995430355</v>
      </c>
      <c r="F455">
        <f>-580.236827159231 -124.43057180298 -387.931713920097</f>
        <v>-1092.599112882308</v>
      </c>
      <c r="G455">
        <f>-559.057176962695 -129.945999968764 -474.29853872658</f>
        <v>-1163.301715658039</v>
      </c>
      <c r="H455">
        <f>-522.212708562053 -137.883830586154 -593.043121779273</f>
        <v>-1253.1396609274798</v>
      </c>
      <c r="I455">
        <f>-484.953006972316 -142.072157410778 -667.199757647494</f>
        <v>-1294.224922030588</v>
      </c>
      <c r="J455">
        <f>-538.205674252747 -106.739937381229 -542.569454662742</f>
        <v>-1187.515066296718</v>
      </c>
      <c r="K455" t="s">
        <v>3669</v>
      </c>
      <c r="L455" t="s">
        <v>3670</v>
      </c>
      <c r="M455" t="s">
        <v>3671</v>
      </c>
      <c r="N455">
        <f>-538.646513208488 -162.041731149905 -539.009516045275</f>
        <v>-1239.6977604036679</v>
      </c>
      <c r="O455">
        <f>-553.664487223814 -294.444371590287 -505.137542487782</f>
        <v>-1353.246401301883</v>
      </c>
      <c r="P455">
        <f>-601.825274743867 -319.044500175427 -215.885787550455</f>
        <v>-1136.7555624697491</v>
      </c>
      <c r="Q455">
        <f>-404.961760708305 -238.029330798498 -328.722521961535</f>
        <v>-971.71361346833805</v>
      </c>
      <c r="R455">
        <f>-601.114929314789 -10.0860914447787 -93.4610703069612</f>
        <v>-704.662091066529</v>
      </c>
      <c r="S455" t="s">
        <v>3672</v>
      </c>
      <c r="T455" t="s">
        <v>3673</v>
      </c>
      <c r="U455" t="s">
        <v>3674</v>
      </c>
      <c r="V455">
        <f>-579.884246565558 -201.296535824192 -82.756504520959</f>
        <v>-863.93728691070896</v>
      </c>
      <c r="W455" t="s">
        <v>3675</v>
      </c>
      <c r="X455" t="s">
        <v>3676</v>
      </c>
      <c r="Y455" t="s">
        <v>3677</v>
      </c>
    </row>
    <row r="456" spans="1:25" x14ac:dyDescent="0.3">
      <c r="A456">
        <v>22750</v>
      </c>
      <c r="B456" t="s">
        <v>3678</v>
      </c>
      <c r="C456">
        <f>-590.774187020776 -98.8470416891118 -86.1324737169715</f>
        <v>-775.75370242685938</v>
      </c>
      <c r="D456">
        <f>-601.997143346243 -106.220718395066 -201.179788970325</f>
        <v>-909.39765071163401</v>
      </c>
      <c r="E456">
        <f>-593.253220336612 -112.348575963463 -299.223974450374</f>
        <v>-1004.825770750449</v>
      </c>
      <c r="F456">
        <f>-578.63794090977 -118.031183235722 -386.92993635184</f>
        <v>-1083.5990604973319</v>
      </c>
      <c r="G456">
        <f>-557.053304219202 -123.955500512944 -473.169463578085</f>
        <v>-1154.178268310231</v>
      </c>
      <c r="H456">
        <f>-519.693227763592 -132.592570724629 -591.703986411713</f>
        <v>-1243.989784899934</v>
      </c>
      <c r="I456">
        <f>-482.298266362175 -137.181103941925 -665.768707867974</f>
        <v>-1285.248078172074</v>
      </c>
      <c r="J456">
        <f>-535.549392481013 -101.149504682358 -541.372770226095</f>
        <v>-1178.071667389466</v>
      </c>
      <c r="K456" t="s">
        <v>3679</v>
      </c>
      <c r="L456" t="s">
        <v>3680</v>
      </c>
      <c r="M456" t="s">
        <v>3681</v>
      </c>
      <c r="N456">
        <f>-536.71775503313 -156.434198566314 -537.712686163461</f>
        <v>-1230.864639762905</v>
      </c>
      <c r="O456">
        <f>-553.558655209892 -288.472482805846 -503.35070049668</f>
        <v>-1345.381838512418</v>
      </c>
      <c r="P456">
        <f>-601.544430010028 -311.398343721748 -213.932360840158</f>
        <v>-1126.875134571934</v>
      </c>
      <c r="Q456">
        <f>-404.975500476519 -230.939078697086 -327.676984404525</f>
        <v>-963.59156357813004</v>
      </c>
      <c r="R456">
        <f>-599.151632813018 -3.94565782185009 -92.325745957292</f>
        <v>-695.42303659216009</v>
      </c>
      <c r="S456" t="s">
        <v>3682</v>
      </c>
      <c r="T456" t="s">
        <v>3683</v>
      </c>
      <c r="U456" t="s">
        <v>3684</v>
      </c>
      <c r="V456">
        <f>-581.421943971215 -194.882095834102 -82.053335089705</f>
        <v>-858.35737489502196</v>
      </c>
      <c r="W456" t="s">
        <v>3685</v>
      </c>
      <c r="X456" t="s">
        <v>3686</v>
      </c>
      <c r="Y456" t="s">
        <v>3687</v>
      </c>
    </row>
    <row r="457" spans="1:25" x14ac:dyDescent="0.3">
      <c r="A457">
        <v>22800</v>
      </c>
      <c r="B457" t="s">
        <v>3688</v>
      </c>
      <c r="C457">
        <f>-591.894104682044 -87.8825099432597 -84.8212824664482</f>
        <v>-764.59789709175197</v>
      </c>
      <c r="D457">
        <f>-601.49179398443 -94.9518377920638 -200.034717493143</f>
        <v>-896.47834926963685</v>
      </c>
      <c r="E457">
        <f>-591.290598583385 -101.668938137052 -297.899300497242</f>
        <v>-990.85883721767891</v>
      </c>
      <c r="F457">
        <f>-575.354175846786 -108.19124629546 -385.316310985889</f>
        <v>-1068.861733128135</v>
      </c>
      <c r="G457">
        <f>-552.459499701207 -115.262321476652 -471.130346103369</f>
        <v>-1138.852167281228</v>
      </c>
      <c r="H457">
        <f>-513.294047452224 -125.811626968966 -588.925092168137</f>
        <v>-1228.030766589327</v>
      </c>
      <c r="I457">
        <f>-475.520590574514 -131.608799741591 -662.71267686192</f>
        <v>-1269.842067178025</v>
      </c>
      <c r="J457">
        <f>-529.067605388133 -93.5702095449601 -539.07540878248</f>
        <v>-1161.7132237155731</v>
      </c>
      <c r="K457" t="s">
        <v>3689</v>
      </c>
      <c r="L457" t="s">
        <v>3690</v>
      </c>
      <c r="M457" t="s">
        <v>3691</v>
      </c>
      <c r="N457">
        <f>-531.989989991322 -148.768531322142 -535.103594918502</f>
        <v>-1215.862116231966</v>
      </c>
      <c r="O457">
        <f>-552.983143522993 -279.736883903085 -499.398261223015</f>
        <v>-1332.1182886490931</v>
      </c>
      <c r="P457">
        <f>-603.925483028595 -298.446987867403 -210.18198197505</f>
        <v>-1112.5544528710479</v>
      </c>
      <c r="Q457">
        <f>-406.284904929187 -220.793302204703 -324.019452909556</f>
        <v>-951.09766004344601</v>
      </c>
      <c r="R457" t="s">
        <v>3692</v>
      </c>
      <c r="S457" t="s">
        <v>3693</v>
      </c>
      <c r="T457" t="s">
        <v>3694</v>
      </c>
      <c r="U457" t="s">
        <v>3695</v>
      </c>
      <c r="V457">
        <f>-584.486596247004 -184.290069923704 -80.6368724526903</f>
        <v>-849.41353862339827</v>
      </c>
      <c r="W457" t="s">
        <v>3696</v>
      </c>
      <c r="X457" t="s">
        <v>3697</v>
      </c>
      <c r="Y457" t="s">
        <v>3698</v>
      </c>
    </row>
    <row r="458" spans="1:25" x14ac:dyDescent="0.3">
      <c r="A458">
        <v>22850</v>
      </c>
      <c r="B458" t="s">
        <v>3699</v>
      </c>
      <c r="C458">
        <f>-592.862074227554 -83.5211138216271 -84.2036680562537</f>
        <v>-760.58685610543478</v>
      </c>
      <c r="D458">
        <f>-601.830298838507 -90.6052434171693 -199.466899553847</f>
        <v>-891.90244180952334</v>
      </c>
      <c r="E458">
        <f>-590.929229632619 -97.7136653898376 -297.228235678883</f>
        <v>-985.87113070133955</v>
      </c>
      <c r="F458">
        <f>-574.308463115731 -104.745213424733 -384.47822049373</f>
        <v>-1063.5318970341941</v>
      </c>
      <c r="G458">
        <f>-550.687921834312 -112.487782288071 -470.037437374155</f>
        <v>-1133.2131414965379</v>
      </c>
      <c r="H458">
        <f>-510.475499688814 -124.148390430771 -587.373561793219</f>
        <v>-1221.9974519128041</v>
      </c>
      <c r="I458">
        <f>-472.416626514389 -130.581709141821 -660.961444052447</f>
        <v>-1263.9597797086569</v>
      </c>
      <c r="J458">
        <f>-526.35188951998 -91.4489864684078 -537.856101007487</f>
        <v>-1155.6569769958749</v>
      </c>
      <c r="K458" t="s">
        <v>3700</v>
      </c>
      <c r="L458" t="s">
        <v>3701</v>
      </c>
      <c r="M458" t="s">
        <v>3702</v>
      </c>
      <c r="N458">
        <f>-529.990065366975 -146.585295689524 -533.623513675325</f>
        <v>-1210.1988747318242</v>
      </c>
      <c r="O458">
        <f>-552.575078546389 -277.24925338189 -497.34204261988</f>
        <v>-1327.166374548159</v>
      </c>
      <c r="P458">
        <f>-607.015046706597 -292.807652132673 -208.57666531976</f>
        <v>-1108.39936415903</v>
      </c>
      <c r="Q458">
        <f>-407.963055664538 -217.350627787015 -321.427981378843</f>
        <v>-946.74166483039596</v>
      </c>
      <c r="R458" t="s">
        <v>3703</v>
      </c>
      <c r="S458" t="s">
        <v>3704</v>
      </c>
      <c r="T458" t="s">
        <v>3705</v>
      </c>
      <c r="U458" t="s">
        <v>3706</v>
      </c>
      <c r="V458">
        <f>-586.020679906145 -179.705221710623 -79.6490178543188</f>
        <v>-845.37491947108674</v>
      </c>
      <c r="W458" t="s">
        <v>3707</v>
      </c>
      <c r="X458" t="s">
        <v>3708</v>
      </c>
      <c r="Y458" t="s">
        <v>3709</v>
      </c>
    </row>
    <row r="459" spans="1:25" x14ac:dyDescent="0.3">
      <c r="A459">
        <v>22900</v>
      </c>
      <c r="B459" t="s">
        <v>3710</v>
      </c>
      <c r="C459">
        <f>-597.50112246019 -74.1421883600988 -82.2549669862372</f>
        <v>-753.89827780652604</v>
      </c>
      <c r="D459">
        <f>-605.691020229156 -81.3850186085215 -197.566262605092</f>
        <v>-884.64230144276951</v>
      </c>
      <c r="E459">
        <f>-594.083800732978 -89.1341600300671 -295.197589837708</f>
        <v>-978.41555060075302</v>
      </c>
      <c r="F459">
        <f>-576.822509748201 -96.9428398392695 -382.256838802628</f>
        <v>-1056.0221883900986</v>
      </c>
      <c r="G459">
        <f>-552.569417066412 -105.663954369305 -467.544494139435</f>
        <v>-1125.777865575152</v>
      </c>
      <c r="H459">
        <f>-511.490979635408 -118.902821217135 -584.412338438818</f>
        <v>-1214.806139291361</v>
      </c>
      <c r="I459">
        <f>-472.938329860801 -126.143530710213 -657.66738643239</f>
        <v>-1256.749247003404</v>
      </c>
      <c r="J459">
        <f>-527.323794344112 -85.5572157229683 -535.313296226029</f>
        <v>-1148.1943062931093</v>
      </c>
      <c r="K459" t="s">
        <v>3711</v>
      </c>
      <c r="L459" t="s">
        <v>3712</v>
      </c>
      <c r="M459" t="s">
        <v>3713</v>
      </c>
      <c r="N459">
        <f>-531.811426611165 -140.596686369437 -530.65581333243</f>
        <v>-1203.063926313032</v>
      </c>
      <c r="O459">
        <f>-556.806644935562 -270.551729587193 -493.42870300467</f>
        <v>-1320.787077527425</v>
      </c>
      <c r="P459">
        <f>-618.516794763552 -278.610100154202 -205.821033502791</f>
        <v>-1102.9479284205449</v>
      </c>
      <c r="Q459">
        <f>-416.009671102722 -208.174362181223 -315.732775996454</f>
        <v>-939.91680928039887</v>
      </c>
      <c r="R459" t="s">
        <v>3714</v>
      </c>
      <c r="S459" t="s">
        <v>3715</v>
      </c>
      <c r="T459" t="s">
        <v>3716</v>
      </c>
      <c r="U459" t="s">
        <v>3717</v>
      </c>
      <c r="V459">
        <f>-589.909999451311 -174.250778277009 -77.3937996302732</f>
        <v>-841.55457735859318</v>
      </c>
      <c r="W459" t="s">
        <v>3718</v>
      </c>
      <c r="X459" t="s">
        <v>3719</v>
      </c>
      <c r="Y459" t="s">
        <v>3720</v>
      </c>
    </row>
    <row r="460" spans="1:25" x14ac:dyDescent="0.3">
      <c r="A460">
        <v>22950</v>
      </c>
      <c r="B460" t="s">
        <v>3721</v>
      </c>
      <c r="C460">
        <f>-598.364323968864 -71.4522319843197 -81.4608011962489</f>
        <v>-751.27735714943265</v>
      </c>
      <c r="D460">
        <f>-606.493867763423 -79.0551696262642 -196.753135510048</f>
        <v>-882.30217289973518</v>
      </c>
      <c r="E460">
        <f>-594.924649675355 -87.2349715538321 -294.353927788671</f>
        <v>-976.51354901785817</v>
      </c>
      <c r="F460">
        <f>-577.7351886725 -95.4808546617671 -381.387042535813</f>
        <v>-1054.6030858700801</v>
      </c>
      <c r="G460">
        <f>-553.591697287841 -104.688934249168 -466.654581718228</f>
        <v>-1124.9352132552372</v>
      </c>
      <c r="H460">
        <f>-512.70575984142 -118.660190651459 -583.504662490628</f>
        <v>-1214.8706129835068</v>
      </c>
      <c r="I460">
        <f>-473.961873975682 -126.284403521958 -656.619821142209</f>
        <v>-1256.866098639849</v>
      </c>
      <c r="J460">
        <f>-528.28451297614 -85.0168091320679 -534.527820434989</f>
        <v>-1147.8291425431971</v>
      </c>
      <c r="K460" t="s">
        <v>3722</v>
      </c>
      <c r="L460" t="s">
        <v>3723</v>
      </c>
      <c r="M460" t="s">
        <v>3724</v>
      </c>
      <c r="N460">
        <f>-533.110880915209 -140.007637781829 -529.641595366881</f>
        <v>-1202.760114063919</v>
      </c>
      <c r="O460">
        <f>-558.885810915595 -269.588452771224 -491.804041458154</f>
        <v>-1320.278305144973</v>
      </c>
      <c r="P460">
        <f>-622.846837841422 -275.4206119303 -204.634889692414</f>
        <v>-1102.902339464136</v>
      </c>
      <c r="Q460">
        <f>-418.778204050125 -206.920297670822 -312.868702532869</f>
        <v>-938.56720425381604</v>
      </c>
      <c r="R460" t="s">
        <v>3725</v>
      </c>
      <c r="S460" t="s">
        <v>3726</v>
      </c>
      <c r="T460" t="s">
        <v>3727</v>
      </c>
      <c r="U460" t="s">
        <v>3728</v>
      </c>
      <c r="V460">
        <f>-590.65770861932 -172.86867158913 -76.2373931907788</f>
        <v>-839.76377339922885</v>
      </c>
      <c r="W460" t="s">
        <v>3729</v>
      </c>
      <c r="X460" t="s">
        <v>3730</v>
      </c>
      <c r="Y460" t="s">
        <v>3731</v>
      </c>
    </row>
    <row r="461" spans="1:25" x14ac:dyDescent="0.3">
      <c r="A461">
        <v>23000</v>
      </c>
      <c r="B461" t="s">
        <v>3732</v>
      </c>
      <c r="C461">
        <f>-599.005418923024 -68.5544520248288 -79.9760117696267</f>
        <v>-747.53588271747947</v>
      </c>
      <c r="D461">
        <f>-607.211237332893 -76.746403473647 -195.222711341302</f>
        <v>-879.18035214784197</v>
      </c>
      <c r="E461">
        <f>-596.086741211328 -85.7149965882156 -292.805813160558</f>
        <v>-974.60755096010166</v>
      </c>
      <c r="F461">
        <f>-579.452011106641 -94.798092926955 -379.863373301912</f>
        <v>-1054.1134773355079</v>
      </c>
      <c r="G461">
        <f>-556.013674902939 -104.975319746777 -465.217379409729</f>
        <v>-1126.2063740594449</v>
      </c>
      <c r="H461">
        <f>-516.266865763862 -120.444889967379 -582.271729190219</f>
        <v>-1218.9834849214601</v>
      </c>
      <c r="I461">
        <f>-477.337603571469 -128.90641754138 -655.195884151439</f>
        <v>-1261.439905264288</v>
      </c>
      <c r="J461">
        <f>-531.067598658319 -86.1929981271937 -533.475481604779</f>
        <v>-1150.7360783902918</v>
      </c>
      <c r="K461" t="s">
        <v>3733</v>
      </c>
      <c r="L461" t="s">
        <v>3734</v>
      </c>
      <c r="M461" t="s">
        <v>3735</v>
      </c>
      <c r="N461">
        <f>-536.447329873017 -141.081828905641 -528.048253473006</f>
        <v>-1205.5774122516641</v>
      </c>
      <c r="O461">
        <f>-563.271571673339 -270.115345923362 -488.965338807648</f>
        <v>-1322.3522564043492</v>
      </c>
      <c r="P461">
        <f>-628.739751507097 -273.637435619762 -202.098161484348</f>
        <v>-1104.4753486112072</v>
      </c>
      <c r="Q461">
        <f>-422.580699790691 -207.80893080492 -308.003445824728</f>
        <v>-938.39307642033896</v>
      </c>
      <c r="R461" t="s">
        <v>3736</v>
      </c>
      <c r="S461" t="s">
        <v>3737</v>
      </c>
      <c r="T461" t="s">
        <v>3738</v>
      </c>
      <c r="U461" t="s">
        <v>3739</v>
      </c>
      <c r="V461">
        <f>-589.873659249533 -173.959640680673 -73.77687850057</f>
        <v>-837.61017843077605</v>
      </c>
      <c r="W461" t="s">
        <v>3740</v>
      </c>
      <c r="X461" t="s">
        <v>3741</v>
      </c>
      <c r="Y461" t="s">
        <v>3742</v>
      </c>
    </row>
    <row r="462" spans="1:25" x14ac:dyDescent="0.3">
      <c r="A462">
        <v>23050</v>
      </c>
      <c r="B462" t="s">
        <v>3743</v>
      </c>
      <c r="C462">
        <f>-597.993337468073 -70.6381177513435 -79.5182748220702</f>
        <v>-748.14973004148681</v>
      </c>
      <c r="D462">
        <f>-606.007483937084 -78.8648530291116 -194.776015435842</f>
        <v>-879.64835240203752</v>
      </c>
      <c r="E462">
        <f>-595.000441654977 -88.0622202185477 -292.351016601806</f>
        <v>-975.4136784753307</v>
      </c>
      <c r="F462">
        <f>-578.585953640173 -97.4336489027269 -379.419866696519</f>
        <v>-1055.4394692394189</v>
      </c>
      <c r="G462">
        <f>-555.480353515665 -107.981896815825 -464.819533106438</f>
        <v>-1128.281783437928</v>
      </c>
      <c r="H462">
        <f>-516.313139216301 -124.057322996646 -581.987534595694</f>
        <v>-1222.357996808641</v>
      </c>
      <c r="I462">
        <f>-477.382171496746 -132.832648889996 -654.873787715436</f>
        <v>-1265.0886081021781</v>
      </c>
      <c r="J462">
        <f>-530.768268366251 -89.56005181468 -533.260669599949</f>
        <v>-1153.5889897808802</v>
      </c>
      <c r="K462" t="s">
        <v>3744</v>
      </c>
      <c r="L462" t="s">
        <v>3745</v>
      </c>
      <c r="M462" t="s">
        <v>3746</v>
      </c>
      <c r="N462">
        <f>-536.328802296489 -144.406496584118 -527.594548133108</f>
        <v>-1208.3298470137152</v>
      </c>
      <c r="O462">
        <f>-563.452452476991 -273.179301301352 -487.873660106514</f>
        <v>-1324.505413884857</v>
      </c>
      <c r="P462">
        <f>-629.430631525702 -275.767876497177 -201.113594743852</f>
        <v>-1106.312102766731</v>
      </c>
      <c r="Q462">
        <f>-422.487149850176 -211.350423780836 -306.35462966265</f>
        <v>-940.19220329366203</v>
      </c>
      <c r="R462" t="s">
        <v>3747</v>
      </c>
      <c r="S462" t="s">
        <v>3748</v>
      </c>
      <c r="T462" t="s">
        <v>3749</v>
      </c>
      <c r="U462" t="s">
        <v>3750</v>
      </c>
      <c r="V462">
        <f>-587.339654954295 -180.247750749026 -73.2982108472768</f>
        <v>-840.88561655059789</v>
      </c>
      <c r="W462" t="s">
        <v>3751</v>
      </c>
      <c r="X462" t="s">
        <v>3752</v>
      </c>
      <c r="Y462" t="s">
        <v>3753</v>
      </c>
    </row>
    <row r="463" spans="1:25" x14ac:dyDescent="0.3">
      <c r="A463">
        <v>23100</v>
      </c>
      <c r="B463" t="s">
        <v>3754</v>
      </c>
      <c r="C463">
        <f>-604.291451261556 -60.9154087471054 -78.3431899610039</f>
        <v>-743.55004996966522</v>
      </c>
      <c r="D463">
        <f>-611.799415690647 -68.9521708957734 -193.648302631179</f>
        <v>-874.39988921759948</v>
      </c>
      <c r="E463">
        <f>-600.790637104988 -78.3504588659168 -291.204164352686</f>
        <v>-970.34526032359088</v>
      </c>
      <c r="F463">
        <f>-584.551424578199 -88.0483360478615 -378.270039044545</f>
        <v>-1050.8697996706055</v>
      </c>
      <c r="G463">
        <f>-561.796784532826 -99.0697872974354 -463.704292695457</f>
        <v>-1124.5708645257184</v>
      </c>
      <c r="H463">
        <f>-523.30172187256 -115.959950006778 -580.980178298162</f>
        <v>-1220.2418501775001</v>
      </c>
      <c r="I463">
        <f>-484.506597315793 -125.05026877596 -653.900301709051</f>
        <v>-1263.457167800804</v>
      </c>
      <c r="J463">
        <f>-537.294861136119 -81.136859877314 -532.350474667055</f>
        <v>-1150.782195680488</v>
      </c>
      <c r="K463" t="s">
        <v>3755</v>
      </c>
      <c r="L463" t="s">
        <v>3756</v>
      </c>
      <c r="M463" t="s">
        <v>3757</v>
      </c>
      <c r="N463">
        <f>-543.188270156549 -135.917979143548 -526.395254691859</f>
        <v>-1205.501503991956</v>
      </c>
      <c r="O463">
        <f>-570.596688445608 -264.376680443953 -485.680339651835</f>
        <v>-1320.6537085413961</v>
      </c>
      <c r="P463">
        <f>-638.402937001202 -266.030900916504 -199.339951818879</f>
        <v>-1103.7737897365848</v>
      </c>
      <c r="Q463">
        <f>-430.101853174302 -203.979559634943 -303.316595306373</f>
        <v>-937.39800811561804</v>
      </c>
      <c r="R463" t="s">
        <v>3758</v>
      </c>
      <c r="S463" t="s">
        <v>3759</v>
      </c>
      <c r="T463" t="s">
        <v>3760</v>
      </c>
      <c r="U463" t="s">
        <v>3761</v>
      </c>
      <c r="V463">
        <f>-600.000539432322 -161.144445554066 -71.7805412116612</f>
        <v>-832.92552619804917</v>
      </c>
      <c r="W463" t="s">
        <v>3762</v>
      </c>
      <c r="X463" t="s">
        <v>3763</v>
      </c>
      <c r="Y463" t="s">
        <v>3764</v>
      </c>
    </row>
    <row r="464" spans="1:25" x14ac:dyDescent="0.3">
      <c r="A464">
        <v>23150</v>
      </c>
      <c r="B464" t="s">
        <v>3765</v>
      </c>
      <c r="C464">
        <f>-611.634778452831 -46.942798265168 -78.619278212552</f>
        <v>-737.19685493055101</v>
      </c>
      <c r="D464">
        <f>-618.875388848862 -54.8280019007325 -193.95197233119</f>
        <v>-867.65536308078458</v>
      </c>
      <c r="E464">
        <f>-607.822643824947 -64.1602954963498 -291.509148699987</f>
        <v>-963.49208802128385</v>
      </c>
      <c r="F464">
        <f>-591.618832514775 -73.8275299020943 -378.585164204172</f>
        <v>-1044.0315266210414</v>
      </c>
      <c r="G464">
        <f>-568.974173673535 -84.8505198992984 -464.048281825487</f>
        <v>-1117.8729753983205</v>
      </c>
      <c r="H464">
        <f>-530.709314735142 -101.779152197911 -581.393991259323</f>
        <v>-1213.8824581923759</v>
      </c>
      <c r="I464">
        <f>-491.992306291957 -110.820118234006 -654.361706734529</f>
        <v>-1257.174131260492</v>
      </c>
      <c r="J464">
        <f>-544.513385988495 -66.946854836528 -532.716870467558</f>
        <v>-1144.177111292581</v>
      </c>
      <c r="K464" t="s">
        <v>3766</v>
      </c>
      <c r="L464" t="s">
        <v>3767</v>
      </c>
      <c r="M464" t="s">
        <v>3768</v>
      </c>
      <c r="N464">
        <f>-550.582229023137 -121.71251056779 -526.795118043953</f>
        <v>-1199.08985763488</v>
      </c>
      <c r="O464">
        <f>-578.363335836548 -250.129937488166 -486.167154680254</f>
        <v>-1314.660428004968</v>
      </c>
      <c r="P464">
        <f>-647.18203664138 -252.547116655811 -200.073940306854</f>
        <v>-1099.803093604045</v>
      </c>
      <c r="Q464">
        <f>-438.275546219294 -190.896919222522 -303.069834384743</f>
        <v>-932.24229982655902</v>
      </c>
      <c r="R464" t="s">
        <v>3769</v>
      </c>
      <c r="S464" t="s">
        <v>3770</v>
      </c>
      <c r="T464" t="s">
        <v>3771</v>
      </c>
      <c r="U464" t="s">
        <v>3772</v>
      </c>
      <c r="V464">
        <f>-610.493821000579 -140.605051496213 -72.8061757876885</f>
        <v>-823.90504828448059</v>
      </c>
      <c r="W464" t="s">
        <v>3773</v>
      </c>
      <c r="X464" t="s">
        <v>3774</v>
      </c>
      <c r="Y464" t="s">
        <v>3775</v>
      </c>
    </row>
    <row r="465" spans="1:25" x14ac:dyDescent="0.3">
      <c r="A465">
        <v>23200</v>
      </c>
      <c r="B465" t="s">
        <v>3776</v>
      </c>
      <c r="C465">
        <f>-616.546930572006 -39.0916870045744 -79.5140543956303</f>
        <v>-735.15267197221067</v>
      </c>
      <c r="D465">
        <f>-623.550128681873 -46.7357665913698 -194.877608386499</f>
        <v>-865.16350365974188</v>
      </c>
      <c r="E465">
        <f>-612.608726490948 -55.6432505620701 -292.486960454418</f>
        <v>-960.73893750743605</v>
      </c>
      <c r="F465">
        <f>-596.627659048905 -64.8545684592827 -379.653560011053</f>
        <v>-1041.1357875192407</v>
      </c>
      <c r="G465">
        <f>-574.322231603749 -75.3599267269024 -465.271042295797</f>
        <v>-1114.9532006264483</v>
      </c>
      <c r="H465">
        <f>-536.648473627416 -91.5106240446371 -582.91736449311</f>
        <v>-1211.0764621651631</v>
      </c>
      <c r="I465">
        <f>-498.142450903242 -99.8776569511615 -656.076820631582</f>
        <v>-1254.0969284859855</v>
      </c>
      <c r="J465">
        <f>-550.112604460006 -57.0089978926167 -533.91049508472</f>
        <v>-1141.0320974373426</v>
      </c>
      <c r="K465" t="s">
        <v>3777</v>
      </c>
      <c r="L465" t="s">
        <v>3778</v>
      </c>
      <c r="M465" t="s">
        <v>3779</v>
      </c>
      <c r="N465">
        <f>-556.341117049794 -111.797985094009 -528.383470220787</f>
        <v>-1196.5225723645899</v>
      </c>
      <c r="O465">
        <f>-584.541935616875 -240.287197768747 -488.491602397019</f>
        <v>-1313.3207357826409</v>
      </c>
      <c r="P465">
        <f>-655.11514325027 -246.457275481735 -202.88263941398</f>
        <v>-1104.455058145985</v>
      </c>
      <c r="Q465">
        <f>-445.205835283667 -184.231576826545 -303.465551144188</f>
        <v>-932.90296325439999</v>
      </c>
      <c r="R465" t="s">
        <v>3780</v>
      </c>
      <c r="S465" t="s">
        <v>3781</v>
      </c>
      <c r="T465" t="s">
        <v>3782</v>
      </c>
      <c r="U465" t="s">
        <v>3783</v>
      </c>
      <c r="V465">
        <f>-615.086322498266 -133.359798069832 -74.6493055293349</f>
        <v>-823.09542609743289</v>
      </c>
      <c r="W465" t="s">
        <v>3784</v>
      </c>
      <c r="X465" t="s">
        <v>3785</v>
      </c>
      <c r="Y465" t="s">
        <v>3786</v>
      </c>
    </row>
    <row r="466" spans="1:25" x14ac:dyDescent="0.3">
      <c r="A466">
        <v>23250</v>
      </c>
      <c r="B466" t="s">
        <v>3787</v>
      </c>
      <c r="C466">
        <f>-615.085955809762 -42.3558759507744 -79.7386388732122</f>
        <v>-737.18047063374854</v>
      </c>
      <c r="D466">
        <f>-622.173888481916 -50.0143434864101 -195.096009529562</f>
        <v>-867.28424149788816</v>
      </c>
      <c r="E466">
        <f>-611.456396412049 -58.6716405620953 -292.752884243899</f>
        <v>-962.88092121804334</v>
      </c>
      <c r="F466">
        <f>-595.732237934827 -67.5616295689019 -379.999357219946</f>
        <v>-1043.2932247236749</v>
      </c>
      <c r="G466">
        <f>-573.733688659183 -77.6562121163993 -465.745534209623</f>
        <v>-1117.1354349852054</v>
      </c>
      <c r="H466">
        <f>-536.535448332669 -93.1445702866667 -583.631984503292</f>
        <v>-1213.3120031226276</v>
      </c>
      <c r="I466">
        <f>-498.215335369861 -100.955623805697 -656.950388357991</f>
        <v>-1256.1213475335489</v>
      </c>
      <c r="J466">
        <f>-549.823447173071 -58.9174469360262 -534.38521547395</f>
        <v>-1143.1261095830473</v>
      </c>
      <c r="K466" t="s">
        <v>3788</v>
      </c>
      <c r="L466" t="s">
        <v>3789</v>
      </c>
      <c r="M466" t="s">
        <v>3790</v>
      </c>
      <c r="N466">
        <f>-555.985662489857 -113.740231473735 -529.126770147013</f>
        <v>-1198.852664110605</v>
      </c>
      <c r="O466">
        <f>-583.92339924633 -242.426444908331 -489.734974792597</f>
        <v>-1316.0848189472581</v>
      </c>
      <c r="P466">
        <f>-655.297668583325 -252.432917352766 -204.43371045912</f>
        <v>-1112.1642963952111</v>
      </c>
      <c r="Q466">
        <f>-445.429531031565 -187.910967342903 -303.646363479849</f>
        <v>-936.986861854317</v>
      </c>
      <c r="R466" t="s">
        <v>3791</v>
      </c>
      <c r="S466" t="s">
        <v>3792</v>
      </c>
      <c r="T466" t="s">
        <v>3793</v>
      </c>
      <c r="U466" t="s">
        <v>3794</v>
      </c>
      <c r="V466">
        <f>-613.078929655981 -137.292041367364 -75.0448568938982</f>
        <v>-825.41582791724318</v>
      </c>
      <c r="W466" t="s">
        <v>3795</v>
      </c>
      <c r="X466" t="s">
        <v>3796</v>
      </c>
      <c r="Y466" t="s">
        <v>3797</v>
      </c>
    </row>
    <row r="467" spans="1:25" x14ac:dyDescent="0.3">
      <c r="A467">
        <v>23300</v>
      </c>
      <c r="B467" t="s">
        <v>3798</v>
      </c>
      <c r="C467">
        <f>-608.232768584754 -52.8149554054833 -79.9091032859413</f>
        <v>-740.95682727617861</v>
      </c>
      <c r="D467">
        <f>-616.215346664021 -61.2217840480362 -195.155975269238</f>
        <v>-872.59310598129514</v>
      </c>
      <c r="E467">
        <f>-606.462842455304 -69.5802216325735 -292.939764089162</f>
        <v>-968.98282817703944</v>
      </c>
      <c r="F467">
        <f>-591.669044312892 -77.8497082098738 -380.409694866095</f>
        <v>-1049.9284473888608</v>
      </c>
      <c r="G467">
        <f>-570.642242993468 -86.984076292367 -466.506647213666</f>
        <v>-1124.132966499501</v>
      </c>
      <c r="H467">
        <f>-534.83091739159 -100.78960251731 -585.029978160288</f>
        <v>-1220.650498069188</v>
      </c>
      <c r="I467">
        <f>-497.1305943001 -107.240358905673 -658.800640315048</f>
        <v>-1263.1715935208208</v>
      </c>
      <c r="J467">
        <f>-547.744501610185 -67.2513436338436 -535.212921370459</f>
        <v>-1150.2087666144876</v>
      </c>
      <c r="K467" t="s">
        <v>3799</v>
      </c>
      <c r="L467" t="s">
        <v>3800</v>
      </c>
      <c r="M467" t="s">
        <v>3801</v>
      </c>
      <c r="N467">
        <f>-553.434933340651 -122.177610795303 -530.534500402002</f>
        <v>-1206.1470445379559</v>
      </c>
      <c r="O467">
        <f>-579.964924410617 -251.657076169622 -492.645546194329</f>
        <v>-1324.267546774568</v>
      </c>
      <c r="P467">
        <f>-653.334722129866 -271.427999679676 -208.361969110144</f>
        <v>-1133.1246909196859</v>
      </c>
      <c r="Q467">
        <f>-443.723053651772 -201.478201436817 -304.387056810666</f>
        <v>-949.5883118992549</v>
      </c>
      <c r="R467" t="s">
        <v>3802</v>
      </c>
      <c r="S467" t="s">
        <v>3803</v>
      </c>
      <c r="T467" t="s">
        <v>3804</v>
      </c>
      <c r="U467" t="s">
        <v>3805</v>
      </c>
      <c r="V467">
        <f>-604.581107808234 -147.535011937044 -74.9555674438984</f>
        <v>-827.07168718917649</v>
      </c>
      <c r="W467" t="s">
        <v>3806</v>
      </c>
      <c r="X467" t="s">
        <v>3807</v>
      </c>
      <c r="Y467" t="s">
        <v>3808</v>
      </c>
    </row>
    <row r="468" spans="1:25" x14ac:dyDescent="0.3">
      <c r="A468">
        <v>23350</v>
      </c>
      <c r="B468" t="s">
        <v>3809</v>
      </c>
      <c r="C468">
        <f>-604.97623394305 -54.6078355568593 -80.3280148195038</f>
        <v>-739.91208431941311</v>
      </c>
      <c r="D468">
        <f>-613.536291808919 -63.2169804460616 -195.518429773926</f>
        <v>-872.27170202890659</v>
      </c>
      <c r="E468">
        <f>-604.391946524659 -71.3146792524778 -293.38300106949</f>
        <v>-969.08962684662686</v>
      </c>
      <c r="F468">
        <f>-590.18089621839 -79.1817727148591 -380.986566263533</f>
        <v>-1050.349235196782</v>
      </c>
      <c r="G468">
        <f>-569.761287950925 -87.7484310806744 -467.287656413378</f>
        <v>-1124.7973754449774</v>
      </c>
      <c r="H468">
        <f>-534.815074908824 -100.590520058025 -586.176930346062</f>
        <v>-1221.582525312911</v>
      </c>
      <c r="I468">
        <f>-497.542772529135 -106.283549055482 -660.226897069243</f>
        <v>-1264.0532186538599</v>
      </c>
      <c r="J468">
        <f>-547.526318795268 -67.4456357223964 -536.045656551932</f>
        <v>-1151.0176110695966</v>
      </c>
      <c r="K468" t="s">
        <v>3810</v>
      </c>
      <c r="L468" t="s">
        <v>3811</v>
      </c>
      <c r="M468" t="s">
        <v>3812</v>
      </c>
      <c r="N468">
        <f>-552.859956156043 -122.433003224587 -531.673889673918</f>
        <v>-1206.966849054548</v>
      </c>
      <c r="O468">
        <f>-578.364548192699 -252.333372268375 -494.528060210058</f>
        <v>-1325.225980671132</v>
      </c>
      <c r="P468">
        <f>-652.40977813606 -277.058413387767 -210.807858541506</f>
        <v>-1140.276050065333</v>
      </c>
      <c r="Q468">
        <f>-443.068505060858 -203.747971597026 -304.896391703175</f>
        <v>-951.71286836105901</v>
      </c>
      <c r="R468" t="s">
        <v>3813</v>
      </c>
      <c r="S468" t="s">
        <v>3814</v>
      </c>
      <c r="T468" t="s">
        <v>3815</v>
      </c>
      <c r="U468" t="s">
        <v>3816</v>
      </c>
      <c r="V468">
        <f>-599.887012741342 -146.645707214451 -75.7887997068899</f>
        <v>-822.32151966268293</v>
      </c>
      <c r="W468" t="s">
        <v>3817</v>
      </c>
      <c r="X468" t="s">
        <v>3818</v>
      </c>
      <c r="Y468" t="s">
        <v>3819</v>
      </c>
    </row>
    <row r="469" spans="1:25" x14ac:dyDescent="0.3">
      <c r="A469">
        <v>23400</v>
      </c>
      <c r="B469" t="s">
        <v>3820</v>
      </c>
      <c r="C469">
        <f>-600.657125983964 -59.5238925815509 -81.3942865018115</f>
        <v>-741.57530506732633</v>
      </c>
      <c r="D469">
        <f>-610.079421379086 -67.4606942053404 -196.565732331938</f>
        <v>-874.10584791636438</v>
      </c>
      <c r="E469">
        <f>-602.003232456806 -74.6521482786552 -294.594953695377</f>
        <v>-971.25033443083817</v>
      </c>
      <c r="F469">
        <f>-588.876234146767 -81.573366198279 -382.447152912653</f>
        <v>-1052.8967532576989</v>
      </c>
      <c r="G469">
        <f>-569.645896771863 -89.0662636624684 -469.120580679055</f>
        <v>-1127.8327411133864</v>
      </c>
      <c r="H469">
        <f>-536.459977503329 -100.27564042211 -588.677549789442</f>
        <v>-1225.413167714881</v>
      </c>
      <c r="I469">
        <f>-500.109922654071 -104.618701579507 -663.275373820803</f>
        <v>-1268.0039980543811</v>
      </c>
      <c r="J469">
        <f>-548.715084224742 -67.8011680359461 -537.996888376679</f>
        <v>-1154.5131406373671</v>
      </c>
      <c r="K469" t="s">
        <v>3821</v>
      </c>
      <c r="L469" t="s">
        <v>3822</v>
      </c>
      <c r="M469" t="s">
        <v>3823</v>
      </c>
      <c r="N469">
        <f>-553.411910350695 -122.884700226957 -534.136071747713</f>
        <v>-1210.432682325365</v>
      </c>
      <c r="O469">
        <f>-577.15115736555 -253.473611293535 -498.313378270799</f>
        <v>-1328.9381469298839</v>
      </c>
      <c r="P469">
        <f>-651.732934961698 -286.881037075798 -215.624970043994</f>
        <v>-1154.23894208149</v>
      </c>
      <c r="Q469">
        <f>-443.247209287529 -206.541419515866 -305.792193689823</f>
        <v>-955.58082249321797</v>
      </c>
      <c r="R469" t="s">
        <v>3824</v>
      </c>
      <c r="S469" t="s">
        <v>3825</v>
      </c>
      <c r="T469" t="s">
        <v>3826</v>
      </c>
      <c r="U469" t="s">
        <v>3827</v>
      </c>
      <c r="V469">
        <f>-596.756016611038 -146.310072107327 -77.4340290987758</f>
        <v>-820.50011781714079</v>
      </c>
      <c r="W469" t="s">
        <v>3828</v>
      </c>
      <c r="X469" t="s">
        <v>3829</v>
      </c>
      <c r="Y469" t="s">
        <v>3830</v>
      </c>
    </row>
    <row r="470" spans="1:25" x14ac:dyDescent="0.3">
      <c r="A470">
        <v>23450</v>
      </c>
      <c r="B470" t="s">
        <v>3831</v>
      </c>
      <c r="C470">
        <f>-601.076829425346 -61.7465091841755 -81.2978101958596</f>
        <v>-744.12114880538104</v>
      </c>
      <c r="D470">
        <f>-610.857409732374 -69.1147550658193 -196.477153055057</f>
        <v>-876.44931785325025</v>
      </c>
      <c r="E470">
        <f>-603.242712182456 -75.7890055293922 -294.579726796045</f>
        <v>-973.61144450789311</v>
      </c>
      <c r="F470">
        <f>-590.590940852986 -82.233297932376 -382.537903700878</f>
        <v>-1055.3621424862399</v>
      </c>
      <c r="G470">
        <f>-571.89023108472 -89.2393237280085 -469.367822424462</f>
        <v>-1130.4973772371904</v>
      </c>
      <c r="H470">
        <f>-539.4968867827 -99.7588067207828 -589.204607806653</f>
        <v>-1228.4603013101359</v>
      </c>
      <c r="I470">
        <f>-503.610668308268 -103.57569818849 -664.055405279648</f>
        <v>-1271.241771776406</v>
      </c>
      <c r="J470">
        <f>-551.500207519001 -67.5716269371362 -538.280879931612</f>
        <v>-1157.3527143877493</v>
      </c>
      <c r="K470" t="s">
        <v>3832</v>
      </c>
      <c r="L470" t="s">
        <v>3833</v>
      </c>
      <c r="M470" t="s">
        <v>3834</v>
      </c>
      <c r="N470">
        <f>-556.002853141524 -122.68762103505 -534.659788541184</f>
        <v>-1213.3502627177581</v>
      </c>
      <c r="O470">
        <f>-579.271975400803 -253.469095572238 -499.329970893585</f>
        <v>-1332.0710418666258</v>
      </c>
      <c r="P470">
        <f>-653.572329281889 -289.950598816238 -216.947782018221</f>
        <v>-1160.4707101163481</v>
      </c>
      <c r="Q470">
        <f>-445.557798400904 -206.621744649952 -305.475273781683</f>
        <v>-957.65481683253893</v>
      </c>
      <c r="R470" t="s">
        <v>3835</v>
      </c>
      <c r="S470" t="s">
        <v>3836</v>
      </c>
      <c r="T470" t="s">
        <v>3837</v>
      </c>
      <c r="U470" t="s">
        <v>3838</v>
      </c>
      <c r="V470">
        <f>-598.214377962049 -146.065715324949 -77.6706021062436</f>
        <v>-821.95069539324152</v>
      </c>
      <c r="W470" t="s">
        <v>3839</v>
      </c>
      <c r="X470" t="s">
        <v>3840</v>
      </c>
      <c r="Y470" t="s">
        <v>3841</v>
      </c>
    </row>
    <row r="471" spans="1:25" x14ac:dyDescent="0.3">
      <c r="A471">
        <v>23500</v>
      </c>
      <c r="B471" t="s">
        <v>3842</v>
      </c>
      <c r="C471">
        <f>-597.097432646635 -71.8030619034289 -79.1287563086249</f>
        <v>-748.02925085868878</v>
      </c>
      <c r="D471">
        <f>-608.185118773205 -78.3390002996439 -194.239919615638</f>
        <v>-880.76403868848683</v>
      </c>
      <c r="E471">
        <f>-601.804054378388 -84.0799453275201 -292.489437207145</f>
        <v>-978.37343691305307</v>
      </c>
      <c r="F471">
        <f>-590.302392711555 -89.605785319291 -380.667734595186</f>
        <v>-1060.575912626032</v>
      </c>
      <c r="G471">
        <f>-572.778462782566 -95.6244642294098 -467.81663521665</f>
        <v>-1136.2195622286258</v>
      </c>
      <c r="H471">
        <f>-542.050907707697 -104.698748920721 -588.208899878932</f>
        <v>-1234.9585565073498</v>
      </c>
      <c r="I471">
        <f>-507.028937298052 -107.628218709066 -663.507631112864</f>
        <v>-1278.1647871199821</v>
      </c>
      <c r="J471">
        <f>-553.457166584864 -73.1203720771264 -536.769459053799</f>
        <v>-1163.3469977157893</v>
      </c>
      <c r="K471" t="s">
        <v>3843</v>
      </c>
      <c r="L471" t="s">
        <v>3844</v>
      </c>
      <c r="M471" t="s">
        <v>3845</v>
      </c>
      <c r="N471">
        <f>-557.687960617734 -128.290856697607 -533.69095698729</f>
        <v>-1219.6697743026311</v>
      </c>
      <c r="O471">
        <f>-580.234545339734 -259.459611631775 -499.37221994445</f>
        <v>-1339.0663769159592</v>
      </c>
      <c r="P471">
        <f>-652.475510441784 -300.124345217999 -217.027068973231</f>
        <v>-1169.6269246330139</v>
      </c>
      <c r="Q471">
        <f>-445.487768315994 -212.543364555636 -303.840107235574</f>
        <v>-961.87124010720402</v>
      </c>
      <c r="R471" t="s">
        <v>3846</v>
      </c>
      <c r="S471" t="s">
        <v>3847</v>
      </c>
      <c r="T471" t="s">
        <v>3848</v>
      </c>
      <c r="U471" t="s">
        <v>3849</v>
      </c>
      <c r="V471">
        <f>-592.878383583413 -151.831448954799 -76.6868633449809</f>
        <v>-821.39669588319282</v>
      </c>
      <c r="W471" t="s">
        <v>3850</v>
      </c>
      <c r="X471" t="s">
        <v>3851</v>
      </c>
      <c r="Y471" t="s">
        <v>3852</v>
      </c>
    </row>
    <row r="472" spans="1:25" x14ac:dyDescent="0.3">
      <c r="A472">
        <v>23550</v>
      </c>
      <c r="B472" t="s">
        <v>3853</v>
      </c>
      <c r="C472">
        <f>-595.944018060256 -78.3353676253009 -77.5899075008494</f>
        <v>-751.86929318640637</v>
      </c>
      <c r="D472">
        <f>-607.481470185371 -84.1929725072355 -192.693300714886</f>
        <v>-884.36774340749253</v>
      </c>
      <c r="E472">
        <f>-601.652182423155 -89.3774714685355 -291.008109192425</f>
        <v>-982.03776308411557</v>
      </c>
      <c r="F472">
        <f>-590.713634572276 -94.4182702853948 -379.287189963187</f>
        <v>-1064.4190948208577</v>
      </c>
      <c r="G472">
        <f>-573.814098940111 -99.9726420964985 -466.590063300521</f>
        <v>-1140.3768043371306</v>
      </c>
      <c r="H472">
        <f>-544.019828958198 -108.422786796636 -587.261853518249</f>
        <v>-1239.7044692730831</v>
      </c>
      <c r="I472">
        <f>-509.328157678913 -111.009988019338 -662.726008811882</f>
        <v>-1283.064154510133</v>
      </c>
      <c r="J472">
        <f>-555.096913272361 -77.1070221659504 -535.590594657736</f>
        <v>-1167.7945300960473</v>
      </c>
      <c r="K472" t="s">
        <v>3854</v>
      </c>
      <c r="L472" t="s">
        <v>3855</v>
      </c>
      <c r="M472" t="s">
        <v>3856</v>
      </c>
      <c r="N472">
        <f>-559.164735705974 -132.30155447163 -532.729795382492</f>
        <v>-1224.196085560096</v>
      </c>
      <c r="O472">
        <f>-581.07840676149 -263.706130273153 -498.931169923043</f>
        <v>-1343.7157069576861</v>
      </c>
      <c r="P472">
        <f>-651.728233528485 -306.231637346204 -216.457516068221</f>
        <v>-1174.4173869429101</v>
      </c>
      <c r="Q472">
        <f>-445.50306013569 -216.751881879041 -303.149020151367</f>
        <v>-965.40396216609793</v>
      </c>
      <c r="R472">
        <f>-598.558898344091 -1.04235944718357 -81.2327480181777</f>
        <v>-680.83400580945226</v>
      </c>
      <c r="S472" t="s">
        <v>3857</v>
      </c>
      <c r="T472" t="s">
        <v>3858</v>
      </c>
      <c r="U472" t="s">
        <v>3859</v>
      </c>
      <c r="V472">
        <f>-592.922325440984 -155.860063933801 -75.7876102939039</f>
        <v>-824.56999966868887</v>
      </c>
      <c r="W472" t="s">
        <v>3860</v>
      </c>
      <c r="X472" t="s">
        <v>3861</v>
      </c>
      <c r="Y472" t="s">
        <v>3862</v>
      </c>
    </row>
    <row r="473" spans="1:25" x14ac:dyDescent="0.3">
      <c r="A473">
        <v>23600</v>
      </c>
      <c r="B473" t="s">
        <v>3863</v>
      </c>
      <c r="C473">
        <f>-594.557667096129 -92.1470072782058 -75.5985218996344</f>
        <v>-762.30319627396921</v>
      </c>
      <c r="D473">
        <f>-607.381073564233 -97.2475468206435 -190.601848167655</f>
        <v>-895.23046855253153</v>
      </c>
      <c r="E473">
        <f>-602.767717325791 -101.586868412481 -289.022114395067</f>
        <v>-993.37670013333889</v>
      </c>
      <c r="F473">
        <f>-592.964471838194 -105.807293996514 -377.477408404947</f>
        <v>-1076.2491742396551</v>
      </c>
      <c r="G473">
        <f>-577.229759930838 -110.491804258424 -465.048551782358</f>
        <v>-1152.7701159716198</v>
      </c>
      <c r="H473">
        <f>-549.088207657337 -117.684646632324 -586.197771474922</f>
        <v>-1252.970625764583</v>
      </c>
      <c r="I473">
        <f>-514.952161988113 -119.587529265634 -661.934980434609</f>
        <v>-1296.474671688356</v>
      </c>
      <c r="J473">
        <f>-559.64086415517 -86.897661072401 -534.100629267617</f>
        <v>-1180.639154495188</v>
      </c>
      <c r="K473" t="s">
        <v>3864</v>
      </c>
      <c r="L473" t="s">
        <v>3865</v>
      </c>
      <c r="M473" t="s">
        <v>3866</v>
      </c>
      <c r="N473">
        <f>-563.303051603778 -142.141314983791 -531.671397368267</f>
        <v>-1237.115763955836</v>
      </c>
      <c r="O473">
        <f>-583.853485936209 -274.03558286727 -498.866108239561</f>
        <v>-1356.75517704304</v>
      </c>
      <c r="P473">
        <f>-651.145129578943 -320.204711368022 -216.144597190155</f>
        <v>-1187.4944381371201</v>
      </c>
      <c r="Q473">
        <f>-446.341463633086 -227.625054190369 -302.951175784414</f>
        <v>-976.91769360786896</v>
      </c>
      <c r="R473">
        <f>-598.280895412215 -15.4056651462279 -78.5343977723112</f>
        <v>-692.22095833075412</v>
      </c>
      <c r="S473" t="s">
        <v>3867</v>
      </c>
      <c r="T473" t="s">
        <v>3868</v>
      </c>
      <c r="U473" t="s">
        <v>3869</v>
      </c>
      <c r="V473">
        <f>-591.358151683338 -169.428480303211 -74.6783668213134</f>
        <v>-835.46499880786234</v>
      </c>
      <c r="W473" t="s">
        <v>3870</v>
      </c>
      <c r="X473" t="s">
        <v>3871</v>
      </c>
      <c r="Y473" t="s">
        <v>3872</v>
      </c>
    </row>
    <row r="474" spans="1:25" x14ac:dyDescent="0.3">
      <c r="A474">
        <v>23650</v>
      </c>
      <c r="B474" t="s">
        <v>3873</v>
      </c>
      <c r="C474">
        <f>-596.673950219522 -87.9805798912826 -76.2404900922446</f>
        <v>-760.89502020304917</v>
      </c>
      <c r="D474">
        <f>-610.472414754073 -93.3092535451224 -191.120604244009</f>
        <v>-894.90227254320439</v>
      </c>
      <c r="E474">
        <f>-606.664146776961 -97.45596804558 -289.583540662471</f>
        <v>-993.70365548501206</v>
      </c>
      <c r="F474">
        <f>-597.564812364735 -101.358295931426 -378.128545711376</f>
        <v>-1077.0516540075369</v>
      </c>
      <c r="G474">
        <f>-582.502695370892 -105.58447722487 -465.841201855411</f>
        <v>-1153.9283744511731</v>
      </c>
      <c r="H474">
        <f>-555.26277799511 -111.995850663847 -587.240072156102</f>
        <v>-1254.498700815059</v>
      </c>
      <c r="I474">
        <f>-521.409793479824 -113.505032041594 -663.113111184684</f>
        <v>-1298.0279367061021</v>
      </c>
      <c r="J474">
        <f>-565.54919428034 -81.5387510821963 -534.896396406963</f>
        <v>-1181.9843417694992</v>
      </c>
      <c r="K474" t="s">
        <v>3874</v>
      </c>
      <c r="L474" t="s">
        <v>3875</v>
      </c>
      <c r="M474" t="s">
        <v>3876</v>
      </c>
      <c r="N474">
        <f>-568.95032308603 -136.810377166589 -532.740614615168</f>
        <v>-1238.5013148677872</v>
      </c>
      <c r="O474">
        <f>-588.707418777627 -268.994748387011 -500.38494269209</f>
        <v>-1358.0871098567281</v>
      </c>
      <c r="P474">
        <f>-654.57070190757 -316.639784868825 -217.571991771004</f>
        <v>-1188.782478547399</v>
      </c>
      <c r="Q474">
        <f>-450.168025671072 -222.797085599657 -303.96629220486</f>
        <v>-976.93140347558904</v>
      </c>
      <c r="R474">
        <f>-603.100799791713 -4.18971116245939 -79.6416700517971</f>
        <v>-686.93218100596948</v>
      </c>
      <c r="S474" t="s">
        <v>3877</v>
      </c>
      <c r="T474" t="s">
        <v>3878</v>
      </c>
      <c r="U474" t="s">
        <v>3879</v>
      </c>
      <c r="V474">
        <f>-591.848069290921 -169.19102748455 -75.1280952359108</f>
        <v>-836.16719201138176</v>
      </c>
      <c r="W474" t="s">
        <v>3880</v>
      </c>
      <c r="X474" t="s">
        <v>3881</v>
      </c>
      <c r="Y474" t="s">
        <v>3882</v>
      </c>
    </row>
    <row r="475" spans="1:25" x14ac:dyDescent="0.3">
      <c r="A475">
        <v>23700</v>
      </c>
      <c r="B475" t="s">
        <v>3883</v>
      </c>
      <c r="C475">
        <f>-603.11247877085 -57.0853969456487 -80.8382419415518</f>
        <v>-741.03611765805044</v>
      </c>
      <c r="D475">
        <f>-618.613679495241 -63.0291818459 -195.470711343887</f>
        <v>-877.11357268502798</v>
      </c>
      <c r="E475">
        <f>-616.615571004883 -66.9506171248145 -293.996244306095</f>
        <v>-977.56243243579252</v>
      </c>
      <c r="F475">
        <f>-609.267775405172 -70.3645639154154 -382.72386854587</f>
        <v>-1062.3562078664572</v>
      </c>
      <c r="G475">
        <f>-596.054373569411 -73.819374066614 -470.767685745477</f>
        <v>-1140.6414333815021</v>
      </c>
      <c r="H475">
        <f>-571.483204427541 -78.862689093479 -592.799101318126</f>
        <v>-1243.144994839146</v>
      </c>
      <c r="I475">
        <f>-538.326282237356 -79.5907532906897 -668.990300524923</f>
        <v>-1286.9073360529687</v>
      </c>
      <c r="J475">
        <f>-580.923993357102 -48.9819289499328 -539.966173800467</f>
        <v>-1169.8720961075019</v>
      </c>
      <c r="K475" t="s">
        <v>3884</v>
      </c>
      <c r="L475" t="s">
        <v>3885</v>
      </c>
      <c r="M475" t="s">
        <v>3886</v>
      </c>
      <c r="N475">
        <f>-583.667598679427 -104.304758032691 -538.232138645703</f>
        <v>-1226.2044953578211</v>
      </c>
      <c r="O475">
        <f>-601.594433796026 -236.958778632572 -506.810003724664</f>
        <v>-1345.3632161532621</v>
      </c>
      <c r="P475">
        <f>-665.029671871178 -286.876010421845 -223.83386791027</f>
        <v>-1175.7395502032932</v>
      </c>
      <c r="Q475">
        <f>-461.56235715299 -189.777661321387 -308.826993175159</f>
        <v>-960.16701164953588</v>
      </c>
      <c r="R475" t="s">
        <v>3887</v>
      </c>
      <c r="S475" t="s">
        <v>3888</v>
      </c>
      <c r="T475" t="s">
        <v>3889</v>
      </c>
      <c r="U475" t="s">
        <v>3890</v>
      </c>
      <c r="V475">
        <f>-591.215119944246 -151.572745068779 -79.4761816400472</f>
        <v>-822.26404665307223</v>
      </c>
      <c r="W475" t="s">
        <v>3891</v>
      </c>
      <c r="X475" t="s">
        <v>3892</v>
      </c>
      <c r="Y475" t="s">
        <v>3893</v>
      </c>
    </row>
    <row r="476" spans="1:25" x14ac:dyDescent="0.3">
      <c r="A476">
        <v>23750</v>
      </c>
      <c r="B476" t="s">
        <v>3894</v>
      </c>
      <c r="C476">
        <f>-602.473124999556 -47.3706604512429 -83.7993493980626</f>
        <v>-733.64313484886156</v>
      </c>
      <c r="D476">
        <f>-618.660485826533 -53.6514259449764 -198.3190377509</f>
        <v>-870.63094952240931</v>
      </c>
      <c r="E476">
        <f>-617.557805080968 -57.573377228385 -296.858598860672</f>
        <v>-971.98978117002503</v>
      </c>
      <c r="F476">
        <f>-611.131995814705 -60.8764379387899 -385.662033744822</f>
        <v>-1057.6704674983168</v>
      </c>
      <c r="G476">
        <f>-598.944849125635 -64.1065881273623 -473.862290482479</f>
        <v>-1136.9137277354762</v>
      </c>
      <c r="H476">
        <f>-575.90817061595 -68.7168709342377 -596.209504483548</f>
        <v>-1240.8345460337357</v>
      </c>
      <c r="I476">
        <f>-543.108021547221 -69.1176883387918 -672.557627280152</f>
        <v>-1284.783337166165</v>
      </c>
      <c r="J476">
        <f>-584.879159058455 -39.0157874367981 -543.193727707842</f>
        <v>-1167.088674203095</v>
      </c>
      <c r="K476" t="s">
        <v>3895</v>
      </c>
      <c r="L476" t="s">
        <v>3896</v>
      </c>
      <c r="M476" t="s">
        <v>3897</v>
      </c>
      <c r="N476">
        <f>-587.211786935929 -94.3603874000855 -541.547441249939</f>
        <v>-1223.1196155859534</v>
      </c>
      <c r="O476">
        <f>-603.997049951573 -227.16792337648 -510.359748060485</f>
        <v>-1341.524721388538</v>
      </c>
      <c r="P476">
        <f>-666.09870011474 -279.231661828846 -227.474577628066</f>
        <v>-1172.8049395716521</v>
      </c>
      <c r="Q476">
        <f>-463.345976383344 -179.738301928658 -311.398882394552</f>
        <v>-954.48316070655392</v>
      </c>
      <c r="R476" t="s">
        <v>3898</v>
      </c>
      <c r="S476" t="s">
        <v>3899</v>
      </c>
      <c r="T476" t="s">
        <v>3900</v>
      </c>
      <c r="U476" t="s">
        <v>3901</v>
      </c>
      <c r="V476">
        <f>-588.878217170588 -144.40145643789 -82.0986995776246</f>
        <v>-815.37837318610264</v>
      </c>
      <c r="W476" t="s">
        <v>3902</v>
      </c>
      <c r="X476" t="s">
        <v>3903</v>
      </c>
      <c r="Y476" t="s">
        <v>3904</v>
      </c>
    </row>
    <row r="477" spans="1:25" x14ac:dyDescent="0.3">
      <c r="A477">
        <v>23800</v>
      </c>
      <c r="B477" t="s">
        <v>3905</v>
      </c>
      <c r="C477">
        <f>-598.931186191463 -38.4099104507548 -89.131010646912</f>
        <v>-726.47210728912978</v>
      </c>
      <c r="D477">
        <f>-616.787544099168 -45.4697672002865 -203.356733571994</f>
        <v>-865.61404487144853</v>
      </c>
      <c r="E477">
        <f>-617.542766088379 -49.6009731289405 -301.891144781352</f>
        <v>-969.0348839986716</v>
      </c>
      <c r="F477">
        <f>-612.949277158368 -52.9126077130934 -390.807873766526</f>
        <v>-1056.6697586379873</v>
      </c>
      <c r="G477">
        <f>-602.733249968137 -55.9621933914168 -479.264510403066</f>
        <v>-1137.9599537626198</v>
      </c>
      <c r="H477">
        <f>-582.58262881532 -60.1195785927428 -602.136383682425</f>
        <v>-1244.8385910904879</v>
      </c>
      <c r="I477">
        <f>-550.37211345954 -60.0392276810005 -678.735895464019</f>
        <v>-1289.1472366045596</v>
      </c>
      <c r="J477">
        <f>-590.701287332998 -30.6030943969054 -548.880505474107</f>
        <v>-1170.1848872040105</v>
      </c>
      <c r="K477" t="s">
        <v>3906</v>
      </c>
      <c r="L477" t="s">
        <v>3907</v>
      </c>
      <c r="M477" t="s">
        <v>3908</v>
      </c>
      <c r="N477">
        <f>-592.198550501122 -85.9771455023645 -547.252426545697</f>
        <v>-1225.4281225491834</v>
      </c>
      <c r="O477">
        <f>-606.487621976946 -219.160494673694 -516.335950460822</f>
        <v>-1341.9840671114621</v>
      </c>
      <c r="P477">
        <f>-664.957191225793 -275.559523476164 -233.507903379347</f>
        <v>-1174.024618081304</v>
      </c>
      <c r="Q477">
        <f>-464.743522538122 -169.768212844096 -315.809667974241</f>
        <v>-950.32140335645909</v>
      </c>
      <c r="R477" t="s">
        <v>3909</v>
      </c>
      <c r="S477" t="s">
        <v>3910</v>
      </c>
      <c r="T477" t="s">
        <v>3911</v>
      </c>
      <c r="U477" t="s">
        <v>3912</v>
      </c>
      <c r="V477">
        <f>-584.483790300876 -135.606941094937 -86.9100020283646</f>
        <v>-807.00073342417761</v>
      </c>
      <c r="W477" t="s">
        <v>3913</v>
      </c>
      <c r="X477" t="s">
        <v>3914</v>
      </c>
      <c r="Y477" t="s">
        <v>3915</v>
      </c>
    </row>
    <row r="478" spans="1:25" x14ac:dyDescent="0.3">
      <c r="A478">
        <v>23850</v>
      </c>
      <c r="B478" t="s">
        <v>3916</v>
      </c>
      <c r="C478">
        <f>-597.17627248391 -35.6105691285827 -91.3019504043374</f>
        <v>-724.0887920168301</v>
      </c>
      <c r="D478">
        <f>-615.919202351778 -42.9529400354133 -205.367738535133</f>
        <v>-864.23988092232435</v>
      </c>
      <c r="E478">
        <f>-617.643459574632 -47.1945947157033 -303.885264119571</f>
        <v>-968.72331840990614</v>
      </c>
      <c r="F478">
        <f>-614.003239988174 -50.5499587640427 -392.844345745374</f>
        <v>-1057.3975444975906</v>
      </c>
      <c r="G478">
        <f>-604.81210893092 -53.5812278068677 -481.414067227429</f>
        <v>-1139.8074039652165</v>
      </c>
      <c r="H478">
        <f>-586.163364811201 -57.6451130253774 -604.525923992774</f>
        <v>-1248.3344018293524</v>
      </c>
      <c r="I478">
        <f>-554.277711837749 -57.4781055532546 -681.261106609604</f>
        <v>-1293.0169240006076</v>
      </c>
      <c r="J478">
        <f>-593.801729670909 -28.1658584783979 -551.178522339151</f>
        <v>-1173.1461104884579</v>
      </c>
      <c r="K478" t="s">
        <v>3917</v>
      </c>
      <c r="L478" t="s">
        <v>3918</v>
      </c>
      <c r="M478" t="s">
        <v>3919</v>
      </c>
      <c r="N478">
        <f>-594.937954928873 -83.5476623043394 -549.522427745881</f>
        <v>-1228.0080449790935</v>
      </c>
      <c r="O478">
        <f>-607.987418760086 -216.783943928133 -518.441366087948</f>
        <v>-1343.2127287761671</v>
      </c>
      <c r="P478">
        <f>-664.133972189351 -274.241172453729 -235.355874181898</f>
        <v>-1173.731018824978</v>
      </c>
      <c r="Q478">
        <f>-465.152055591647 -166.238188983073 -317.771833198269</f>
        <v>-949.16207777298905</v>
      </c>
      <c r="R478" t="s">
        <v>3920</v>
      </c>
      <c r="S478" t="s">
        <v>3921</v>
      </c>
      <c r="T478" t="s">
        <v>3922</v>
      </c>
      <c r="U478" t="s">
        <v>3923</v>
      </c>
      <c r="V478">
        <f>-582.533719202161 -131.955184504253 -88.9794860121551</f>
        <v>-803.46838971856914</v>
      </c>
      <c r="W478" t="s">
        <v>3924</v>
      </c>
      <c r="X478" t="s">
        <v>3925</v>
      </c>
      <c r="Y478" t="s">
        <v>3926</v>
      </c>
    </row>
    <row r="479" spans="1:25" x14ac:dyDescent="0.3">
      <c r="A479">
        <v>23900</v>
      </c>
      <c r="B479" t="s">
        <v>3927</v>
      </c>
      <c r="C479">
        <f>-594.236490260972 -30.8535463332594 -95.2980336364269</f>
        <v>-720.38807023065829</v>
      </c>
      <c r="D479">
        <f>-614.400844654225 -39.139539893901 -209.056285571237</f>
        <v>-862.59667011936301</v>
      </c>
      <c r="E479">
        <f>-617.846670109165 -43.8368683971321 -307.507907260537</f>
        <v>-969.19144576683402</v>
      </c>
      <c r="F479">
        <f>-615.951206414932 -47.452648574787 -396.511216855146</f>
        <v>-1059.915071844865</v>
      </c>
      <c r="G479">
        <f>-608.682077907921 -50.5824060369841 -485.25585898194</f>
        <v>-1144.5203429268452</v>
      </c>
      <c r="H479">
        <f>-592.892919102257 -54.6065626835455 -608.768241186005</f>
        <v>-1256.2677229718074</v>
      </c>
      <c r="I479">
        <f>-561.659764053026 -54.5247154411707 -685.771535377535</f>
        <v>-1301.9560148717317</v>
      </c>
      <c r="J479">
        <f>-599.494147397434 -25.1421191454283 -555.27442379695</f>
        <v>-1179.9106903398124</v>
      </c>
      <c r="K479" t="s">
        <v>3928</v>
      </c>
      <c r="L479" t="s">
        <v>3929</v>
      </c>
      <c r="M479" t="s">
        <v>3930</v>
      </c>
      <c r="N479">
        <f>-600.18777532265 -80.5292861972732 -553.558522310967</f>
        <v>-1234.2755838308904</v>
      </c>
      <c r="O479">
        <f>-611.557402363193 -213.832330289039 -522.019779273822</f>
        <v>-1347.4095119260539</v>
      </c>
      <c r="P479">
        <f>-662.609826806071 -271.346448258329 -237.982801427947</f>
        <v>-1171.9390764923471</v>
      </c>
      <c r="Q479">
        <f>-465.924686869171 -159.539492068625 -320.83839189146</f>
        <v>-946.30257082925607</v>
      </c>
      <c r="R479" t="s">
        <v>3931</v>
      </c>
      <c r="S479" t="s">
        <v>3932</v>
      </c>
      <c r="T479" t="s">
        <v>3933</v>
      </c>
      <c r="U479" t="s">
        <v>3934</v>
      </c>
      <c r="V479">
        <f>-578.824610860625 -126.330979053719 -92.2616995413284</f>
        <v>-797.4172894556724</v>
      </c>
      <c r="W479" t="s">
        <v>3935</v>
      </c>
      <c r="X479" t="s">
        <v>3936</v>
      </c>
      <c r="Y479" t="s">
        <v>3937</v>
      </c>
    </row>
    <row r="480" spans="1:25" x14ac:dyDescent="0.3">
      <c r="A480">
        <v>23950</v>
      </c>
      <c r="B480" t="s">
        <v>3938</v>
      </c>
      <c r="C480">
        <f>-593.029927769128 -28.2534587988325 -96.8727740507809</f>
        <v>-718.15616061874141</v>
      </c>
      <c r="D480">
        <f>-613.678605091204 -36.9466635276681 -210.513869741957</f>
        <v>-861.13913836082907</v>
      </c>
      <c r="E480">
        <f>-617.7431477271 -41.7562829313588 -308.936487766158</f>
        <v>-968.43591842461683</v>
      </c>
      <c r="F480">
        <f>-616.481640794477 -45.3748314239956 -397.95081103419</f>
        <v>-1059.8072832526627</v>
      </c>
      <c r="G480">
        <f>-609.915686168898 -48.4048832636702 -486.753589577747</f>
        <v>-1145.0741590103153</v>
      </c>
      <c r="H480">
        <f>-595.176595530438 -52.1801068647042 -610.403600257237</f>
        <v>-1257.7603026523793</v>
      </c>
      <c r="I480">
        <f>-564.208283618245 -52.0608898135306 -687.513769285264</f>
        <v>-1303.7829427170395</v>
      </c>
      <c r="J480">
        <f>-601.407253893929 -22.8230346412804 -556.806481851878</f>
        <v>-1181.0367703870875</v>
      </c>
      <c r="K480" t="s">
        <v>3939</v>
      </c>
      <c r="L480" t="s">
        <v>3940</v>
      </c>
      <c r="M480" t="s">
        <v>3941</v>
      </c>
      <c r="N480">
        <f>-601.917901339325 -78.2147775598557 -555.176280203866</f>
        <v>-1235.3089591030466</v>
      </c>
      <c r="O480">
        <f>-612.754531509112 -211.595707105253 -523.572887391295</f>
        <v>-1347.9231260056599</v>
      </c>
      <c r="P480">
        <f>-661.922422718938 -267.598807517377 -238.902261237083</f>
        <v>-1168.4234914733979</v>
      </c>
      <c r="Q480">
        <f>-466.265965132253 -154.360593597014 -322.2476488636</f>
        <v>-942.87420759286692</v>
      </c>
      <c r="R480" t="s">
        <v>3942</v>
      </c>
      <c r="S480" t="s">
        <v>3943</v>
      </c>
      <c r="T480" t="s">
        <v>3944</v>
      </c>
      <c r="U480" t="s">
        <v>3945</v>
      </c>
      <c r="V480">
        <f>-577.137725296355 -122.489883323278 -93.5608389424999</f>
        <v>-793.18844756213298</v>
      </c>
      <c r="W480" t="s">
        <v>3946</v>
      </c>
      <c r="X480" t="s">
        <v>3947</v>
      </c>
      <c r="Y480" t="s">
        <v>3948</v>
      </c>
    </row>
    <row r="481" spans="1:25" x14ac:dyDescent="0.3">
      <c r="A481">
        <v>24000</v>
      </c>
      <c r="B481" t="s">
        <v>3949</v>
      </c>
      <c r="C481">
        <f>-591.392953754489 -23.118711998879 -98.8330603441115</f>
        <v>-713.34472609747945</v>
      </c>
      <c r="D481">
        <f>-612.685776985116 -32.1593035357948 -212.327950668681</f>
        <v>-857.17303118959194</v>
      </c>
      <c r="E481">
        <f>-617.546272738627 -36.946028735445 -310.715495421271</f>
        <v>-965.20779689534288</v>
      </c>
      <c r="F481">
        <f>-617.093913028381 -40.405378465621 -399.7440407184</f>
        <v>-1057.243332212402</v>
      </c>
      <c r="G481">
        <f>-611.4205734229 -43.1294099992967 -488.61840101485</f>
        <v>-1143.1683844370468</v>
      </c>
      <c r="H481">
        <f>-598.009211058197 -46.3165305692648 -612.435896301643</f>
        <v>-1256.7616379291048</v>
      </c>
      <c r="I481">
        <f>-567.583184277358 -46.1203734763947 -689.761505564262</f>
        <v>-1303.4650633180147</v>
      </c>
      <c r="J481">
        <f>-603.827562608062 -17.2140605392976 -558.653923286175</f>
        <v>-1179.6955464335347</v>
      </c>
      <c r="K481" t="s">
        <v>3950</v>
      </c>
      <c r="L481" t="s">
        <v>3951</v>
      </c>
      <c r="M481" t="s">
        <v>3952</v>
      </c>
      <c r="N481">
        <f>-603.994185114855 -72.614047535581 -557.245937422093</f>
        <v>-1233.8541700725291</v>
      </c>
      <c r="O481">
        <f>-613.932890827041 -206.040446175093 -525.684050982157</f>
        <v>-1345.6573879842911</v>
      </c>
      <c r="P481">
        <f>-662.074426752143 -257.884691129613 -240.051795540416</f>
        <v>-1160.0109134221721</v>
      </c>
      <c r="Q481">
        <f>-467.382022436056 -144.207711718781 -325.041858627547</f>
        <v>-936.63159278238413</v>
      </c>
      <c r="R481" t="s">
        <v>3953</v>
      </c>
      <c r="S481" t="s">
        <v>3954</v>
      </c>
      <c r="T481" t="s">
        <v>3955</v>
      </c>
      <c r="U481" t="s">
        <v>3956</v>
      </c>
      <c r="V481">
        <f>-574.644775551963 -118.454766149471 -94.8525609338535</f>
        <v>-787.95210263528747</v>
      </c>
      <c r="W481" t="s">
        <v>3957</v>
      </c>
      <c r="X481" t="s">
        <v>3958</v>
      </c>
      <c r="Y481" t="s">
        <v>3959</v>
      </c>
    </row>
    <row r="482" spans="1:25" x14ac:dyDescent="0.3">
      <c r="A482">
        <v>24050</v>
      </c>
      <c r="B482" t="s">
        <v>3960</v>
      </c>
      <c r="C482">
        <f>-590.353171590336 -21.4732873819669 -99.3878395034427</f>
        <v>-711.21429847574564</v>
      </c>
      <c r="D482">
        <f>-611.825809420165 -30.5781803800087 -212.843659633405</f>
        <v>-855.24764943357866</v>
      </c>
      <c r="E482">
        <f>-616.932198034378 -35.3530030161407 -311.219359593987</f>
        <v>-963.50456064450577</v>
      </c>
      <c r="F482">
        <f>-616.737520747034 -38.7716832273472 -400.250401240711</f>
        <v>-1055.7596052150923</v>
      </c>
      <c r="G482">
        <f>-611.355622249853 -41.4226953272162 -489.145073000073</f>
        <v>-1141.9233905771421</v>
      </c>
      <c r="H482">
        <f>-598.385140203421 -44.4718151166853 -613.013088492338</f>
        <v>-1255.8700438124442</v>
      </c>
      <c r="I482">
        <f>-568.215493083492 -44.2792112735333 -690.439004608506</f>
        <v>-1302.9337089655314</v>
      </c>
      <c r="J482">
        <f>-604.06453305321 -15.4293593392019 -559.183800777102</f>
        <v>-1178.677693169514</v>
      </c>
      <c r="K482" t="s">
        <v>3961</v>
      </c>
      <c r="L482" t="s">
        <v>3962</v>
      </c>
      <c r="M482" t="s">
        <v>3963</v>
      </c>
      <c r="N482">
        <f>-604.120965903477 -70.830767027463 -557.825815008687</f>
        <v>-1232.7775479396269</v>
      </c>
      <c r="O482">
        <f>-613.810376597463 -204.273849531517 -526.307298257477</f>
        <v>-1344.3915243864569</v>
      </c>
      <c r="P482">
        <f>-661.759095667982 -254.74133190094 -240.396130759082</f>
        <v>-1156.8965583280042</v>
      </c>
      <c r="Q482">
        <f>-467.566056169896 -140.74871096452 -326.102572935052</f>
        <v>-934.41734006946808</v>
      </c>
      <c r="R482" t="s">
        <v>3964</v>
      </c>
      <c r="S482" t="s">
        <v>3965</v>
      </c>
      <c r="T482" t="s">
        <v>3966</v>
      </c>
      <c r="U482" t="s">
        <v>3967</v>
      </c>
      <c r="V482">
        <f>-573.713489745747 -117.07159481618 -95.3704501968505</f>
        <v>-786.15553475877743</v>
      </c>
      <c r="W482" t="s">
        <v>3968</v>
      </c>
      <c r="X482" t="s">
        <v>3969</v>
      </c>
      <c r="Y482" t="s">
        <v>3970</v>
      </c>
    </row>
    <row r="483" spans="1:25" x14ac:dyDescent="0.3">
      <c r="A483">
        <v>24100</v>
      </c>
      <c r="B483" t="s">
        <v>3971</v>
      </c>
      <c r="C483">
        <f>-588.262820161289 -19.06402855846 -99.9269266922944</f>
        <v>-707.25377541204341</v>
      </c>
      <c r="D483">
        <f>-609.716655478536 -28.2309118004264 -213.381401785388</f>
        <v>-851.32896906435042</v>
      </c>
      <c r="E483">
        <f>-615.136960173796 -33.083957852356 -311.736525720549</f>
        <v>-959.95744374670096</v>
      </c>
      <c r="F483">
        <f>-615.358240956803 -36.5828743518427 -400.764269581256</f>
        <v>-1052.7053848899018</v>
      </c>
      <c r="G483">
        <f>-610.52361943997 -39.3204792308466 -489.687676299156</f>
        <v>-1139.5317749699725</v>
      </c>
      <c r="H483">
        <f>-598.453608361803 -42.4955074581137 -613.643578921557</f>
        <v>-1254.5926947414737</v>
      </c>
      <c r="I483">
        <f>-568.742857523098 -42.4351749854695 -691.246942693711</f>
        <v>-1302.4249752022786</v>
      </c>
      <c r="J483">
        <f>-603.782177900732 -13.3984041453566 -559.807968380675</f>
        <v>-1176.9885504267636</v>
      </c>
      <c r="K483" t="s">
        <v>3972</v>
      </c>
      <c r="L483" t="s">
        <v>3973</v>
      </c>
      <c r="M483" t="s">
        <v>3974</v>
      </c>
      <c r="N483">
        <f>-603.747853324722 -68.7982928008228 -558.385502622652</f>
        <v>-1230.9316487481967</v>
      </c>
      <c r="O483">
        <f>-613.233134536079 -202.217962609094 -526.687386500605</f>
        <v>-1342.138483645778</v>
      </c>
      <c r="P483">
        <f>-660.525345978441 -251.339967449206 -240.432839235701</f>
        <v>-1152.298152663348</v>
      </c>
      <c r="Q483">
        <f>-467.207372241965 -136.852291757449 -327.447799390519</f>
        <v>-931.50746338993292</v>
      </c>
      <c r="R483" t="s">
        <v>3975</v>
      </c>
      <c r="S483" t="s">
        <v>3976</v>
      </c>
      <c r="T483" t="s">
        <v>3977</v>
      </c>
      <c r="U483" t="s">
        <v>3978</v>
      </c>
      <c r="V483">
        <f>-571.826616787097 -114.221138660264 -95.9392836212965</f>
        <v>-781.98703906865751</v>
      </c>
      <c r="W483" t="s">
        <v>3979</v>
      </c>
      <c r="X483" t="s">
        <v>3980</v>
      </c>
      <c r="Y483" t="s">
        <v>3981</v>
      </c>
    </row>
    <row r="484" spans="1:25" x14ac:dyDescent="0.3">
      <c r="A484">
        <v>24150</v>
      </c>
      <c r="B484" t="s">
        <v>3982</v>
      </c>
      <c r="C484">
        <f>-587.557636419175 -17.9023899357821 -99.9793148170015</f>
        <v>-705.43934117195863</v>
      </c>
      <c r="D484">
        <f>-608.882700251413 -27.0936351113107 -213.456144131513</f>
        <v>-849.43247949423676</v>
      </c>
      <c r="E484">
        <f>-614.361546848713 -31.9685366346266 -311.806856209796</f>
        <v>-958.13693969313567</v>
      </c>
      <c r="F484">
        <f>-614.703344161449 -35.4880819554094 -400.833428582697</f>
        <v>-1051.0248546995554</v>
      </c>
      <c r="G484">
        <f>-610.056407183908 -38.2467362873931 -489.766257730297</f>
        <v>-1138.0694012015981</v>
      </c>
      <c r="H484">
        <f>-598.318027840149 -41.4511675262265 -613.753106655498</f>
        <v>-1253.5223020218734</v>
      </c>
      <c r="I484">
        <f>-568.820645199683 -41.4411402753949 -691.437956447597</f>
        <v>-1301.699741922675</v>
      </c>
      <c r="J484">
        <f>-603.530878531593 -12.3413878323702 -559.91305203306</f>
        <v>-1175.7853183970233</v>
      </c>
      <c r="K484" t="s">
        <v>3983</v>
      </c>
      <c r="L484" t="s">
        <v>3984</v>
      </c>
      <c r="M484" t="s">
        <v>3985</v>
      </c>
      <c r="N484">
        <f>-603.436105899684 -67.7405799037233 -558.472311231601</f>
        <v>-1229.6489970350083</v>
      </c>
      <c r="O484">
        <f>-612.888463447033 -201.159524794195 -526.700099646941</f>
        <v>-1340.748087888169</v>
      </c>
      <c r="P484">
        <f>-659.750237405345 -249.999526574427 -240.32660237569</f>
        <v>-1150.0763663554621</v>
      </c>
      <c r="Q484">
        <f>-466.715461718218 -135.308620306678 -327.701705498217</f>
        <v>-929.72578752311301</v>
      </c>
      <c r="R484" t="s">
        <v>3986</v>
      </c>
      <c r="S484" t="s">
        <v>3987</v>
      </c>
      <c r="T484" t="s">
        <v>3988</v>
      </c>
      <c r="U484" t="s">
        <v>3989</v>
      </c>
      <c r="V484">
        <f>-570.917922910368 -113.177296295963 -96.119982195016</f>
        <v>-780.21520140134692</v>
      </c>
      <c r="W484" t="s">
        <v>3990</v>
      </c>
      <c r="X484" t="s">
        <v>3991</v>
      </c>
      <c r="Y484" t="s">
        <v>3992</v>
      </c>
    </row>
    <row r="485" spans="1:25" x14ac:dyDescent="0.3">
      <c r="A485">
        <v>24200</v>
      </c>
      <c r="B485" t="s">
        <v>3993</v>
      </c>
      <c r="C485">
        <f>-586.877353050426 -14.9888795062363 -100.033646678456</f>
        <v>-701.89987923511831</v>
      </c>
      <c r="D485">
        <f>-608.016995338068 -24.2266167978059 -213.54135596856</f>
        <v>-845.78496810443391</v>
      </c>
      <c r="E485">
        <f>-613.538457056674 -29.1024482882181 -311.889700998181</f>
        <v>-954.53060634307303</v>
      </c>
      <c r="F485">
        <f>-613.999310417653 -32.6084391131874 -400.916353949798</f>
        <v>-1047.5241034806384</v>
      </c>
      <c r="G485">
        <f>-609.550299404541 -35.336099927569 -489.860129055855</f>
        <v>-1134.7465283879649</v>
      </c>
      <c r="H485">
        <f>-598.170347594903 -38.478130690138 -613.882039264542</f>
        <v>-1250.5305175495839</v>
      </c>
      <c r="I485">
        <f>-569.068484640256 -38.5667950385541 -691.715848265318</f>
        <v>-1299.3511279441282</v>
      </c>
      <c r="J485">
        <f>-603.339233129138 -9.39616184514966 -560.022682078294</f>
        <v>-1172.7580770525817</v>
      </c>
      <c r="K485" t="s">
        <v>3994</v>
      </c>
      <c r="L485" t="s">
        <v>3995</v>
      </c>
      <c r="M485" t="s">
        <v>3996</v>
      </c>
      <c r="N485">
        <f>-603.017184387103 -64.7948384123513 -558.589651089924</f>
        <v>-1226.4016738893783</v>
      </c>
      <c r="O485">
        <f>-611.993188303966 -198.249893363273 -526.831858963217</f>
        <v>-1337.074940630456</v>
      </c>
      <c r="P485">
        <f>-658.893554679148 -246.826590519356 -240.419822350374</f>
        <v>-1146.1399675488781</v>
      </c>
      <c r="Q485">
        <f>-466.408452461755 -131.097301628729 -327.638444607544</f>
        <v>-925.14419869802805</v>
      </c>
      <c r="R485" t="s">
        <v>3997</v>
      </c>
      <c r="S485" t="s">
        <v>3998</v>
      </c>
      <c r="T485" t="s">
        <v>3999</v>
      </c>
      <c r="U485" t="s">
        <v>4000</v>
      </c>
      <c r="V485">
        <f>-569.723497607843 -110.576373229682 -96.3810547161459</f>
        <v>-776.68092555367082</v>
      </c>
      <c r="W485" t="s">
        <v>4001</v>
      </c>
      <c r="X485" t="s">
        <v>4002</v>
      </c>
      <c r="Y485" t="s">
        <v>4003</v>
      </c>
    </row>
    <row r="486" spans="1:25" x14ac:dyDescent="0.3">
      <c r="A486">
        <v>24250</v>
      </c>
      <c r="B486" t="s">
        <v>4004</v>
      </c>
      <c r="C486">
        <f>-586.581101315115 -11.9569890198284 -100.148742147091</f>
        <v>-698.68683248203433</v>
      </c>
      <c r="D486">
        <f>-607.795149110601 -21.3287996783215 -213.631457146156</f>
        <v>-842.75540593507844</v>
      </c>
      <c r="E486">
        <f>-613.456301023728 -26.2304740477202 -311.970624737551</f>
        <v>-951.65739980899923</v>
      </c>
      <c r="F486">
        <f>-614.071597286508 -29.7233909362219 -400.99684311892</f>
        <v>-1044.7918313416499</v>
      </c>
      <c r="G486">
        <f>-609.804353850594 -32.3976162384276 -489.95121048225</f>
        <v>-1132.1531805712716</v>
      </c>
      <c r="H486">
        <f>-598.705202919786 -35.420796668926 -614.001642746948</f>
        <v>-1248.1276423356599</v>
      </c>
      <c r="I486">
        <f>-569.977276213695 -35.5451049492337 -691.973997427364</f>
        <v>-1297.4963785902928</v>
      </c>
      <c r="J486">
        <f>-603.92069474275 -6.39225179378332 -560.117848940447</f>
        <v>-1170.4307954769802</v>
      </c>
      <c r="K486" t="s">
        <v>4005</v>
      </c>
      <c r="L486" t="s">
        <v>4006</v>
      </c>
      <c r="M486" t="s">
        <v>4007</v>
      </c>
      <c r="N486">
        <f>-603.258140640951 -61.7884888075303 -558.708504999765</f>
        <v>-1223.7551344482463</v>
      </c>
      <c r="O486">
        <f>-611.463284816243 -195.309756743869 -527.097846834144</f>
        <v>-1333.8708883942559</v>
      </c>
      <c r="P486">
        <f>-658.358384899129 -244.072920280442 -240.716508175422</f>
        <v>-1143.1478133549929</v>
      </c>
      <c r="Q486">
        <f>-466.321968793597 -126.72348868181 -326.751242729703</f>
        <v>-919.79670020511003</v>
      </c>
      <c r="R486" t="s">
        <v>4008</v>
      </c>
      <c r="S486" t="s">
        <v>4009</v>
      </c>
      <c r="T486" t="s">
        <v>4010</v>
      </c>
      <c r="U486" t="s">
        <v>4011</v>
      </c>
      <c r="V486">
        <f>-568.962098494947 -107.453355735888 -96.534604818296</f>
        <v>-772.95005904913091</v>
      </c>
      <c r="W486" t="s">
        <v>4012</v>
      </c>
      <c r="X486" t="s">
        <v>4013</v>
      </c>
      <c r="Y486" t="s">
        <v>4014</v>
      </c>
    </row>
    <row r="487" spans="1:25" x14ac:dyDescent="0.3">
      <c r="A487">
        <v>24300</v>
      </c>
      <c r="B487" t="s">
        <v>4015</v>
      </c>
      <c r="C487">
        <f>-586.225502036789 -11.3156801838786 -100.182321583534</f>
        <v>-697.72350380420153</v>
      </c>
      <c r="D487">
        <f>-607.496735996766 -20.7455047536876 -213.649648355054</f>
        <v>-841.89188910550752</v>
      </c>
      <c r="E487">
        <f>-613.235465879634 -25.6670877896383 -311.983175542173</f>
        <v>-950.88572921144532</v>
      </c>
      <c r="F487">
        <f>-613.931622851218 -29.1659700657704 -401.008499901311</f>
        <v>-1044.1060928182992</v>
      </c>
      <c r="G487">
        <f>-609.755735104123 -31.8316396769008 -489.967581346671</f>
        <v>-1131.5549561276948</v>
      </c>
      <c r="H487">
        <f>-598.794390673329 -34.8272160403924 -614.030733186692</f>
        <v>-1247.6523399004134</v>
      </c>
      <c r="I487">
        <f>-570.239949870382 -34.9542916292567 -692.067090268624</f>
        <v>-1297.2613317682626</v>
      </c>
      <c r="J487">
        <f>-604.018255175983 -5.81177356143871 -560.140828807448</f>
        <v>-1169.9708575448697</v>
      </c>
      <c r="K487" t="s">
        <v>4016</v>
      </c>
      <c r="L487" t="s">
        <v>4017</v>
      </c>
      <c r="M487" t="s">
        <v>4018</v>
      </c>
      <c r="N487">
        <f>-603.217571388283 -61.2062085988239 -558.732567834772</f>
        <v>-1223.1563478218789</v>
      </c>
      <c r="O487">
        <f>-611.035983468453 -194.772200998202 -527.173917920113</f>
        <v>-1332.982102386768</v>
      </c>
      <c r="P487">
        <f>-657.6423860855 -244.122822705894 -240.846117604598</f>
        <v>-1142.6113263959919</v>
      </c>
      <c r="Q487">
        <f>-466.195529498214 -125.393281207825 -326.299409496102</f>
        <v>-917.88822020214093</v>
      </c>
      <c r="R487" t="s">
        <v>4019</v>
      </c>
      <c r="S487" t="s">
        <v>4020</v>
      </c>
      <c r="T487" t="s">
        <v>4021</v>
      </c>
      <c r="U487" t="s">
        <v>4022</v>
      </c>
      <c r="V487">
        <f>-568.308562276748 -107.020682848978 -96.5595729941314</f>
        <v>-771.88881811985743</v>
      </c>
      <c r="W487" t="s">
        <v>4023</v>
      </c>
      <c r="X487" t="s">
        <v>4024</v>
      </c>
      <c r="Y487" t="s">
        <v>4025</v>
      </c>
    </row>
    <row r="488" spans="1:25" x14ac:dyDescent="0.3">
      <c r="A488">
        <v>24350</v>
      </c>
      <c r="B488" t="s">
        <v>4026</v>
      </c>
      <c r="C488">
        <f>-585.643338054511 -10.9362176591339 -100.22035785406</f>
        <v>-696.79991356770495</v>
      </c>
      <c r="D488">
        <f>-606.993797119374 -20.4473157386797 -213.665949057173</f>
        <v>-841.10706191522672</v>
      </c>
      <c r="E488">
        <f>-612.813496992634 -25.3907973113478 -311.993790918442</f>
        <v>-950.19808522242374</v>
      </c>
      <c r="F488">
        <f>-613.586688383321 -28.8905136749381 -401.018480221758</f>
        <v>-1043.495682280017</v>
      </c>
      <c r="G488">
        <f>-609.490981833124 -31.538059286145 -489.981800166705</f>
        <v>-1131.010841285974</v>
      </c>
      <c r="H488">
        <f>-598.644495345284 -34.4871874058267 -614.056245503974</f>
        <v>-1247.1879282550847</v>
      </c>
      <c r="I488">
        <f>-570.228302766408 -34.6165070868519 -692.142942950774</f>
        <v>-1296.9877528040338</v>
      </c>
      <c r="J488">
        <f>-603.874069610581 -5.49283381829332 -560.155363567739</f>
        <v>-1169.5222669966133</v>
      </c>
      <c r="K488" t="s">
        <v>4027</v>
      </c>
      <c r="L488" t="s">
        <v>4028</v>
      </c>
      <c r="M488" t="s">
        <v>4029</v>
      </c>
      <c r="N488">
        <f>-602.961060205459 -60.8858765858267 -558.759003294356</f>
        <v>-1222.6059400856418</v>
      </c>
      <c r="O488">
        <f>-610.481339699575 -194.479779405322 -527.254685639539</f>
        <v>-1332.2158047444359</v>
      </c>
      <c r="P488">
        <f>-656.734401987073 -244.394659566337 -240.967487435969</f>
        <v>-1142.096548989379</v>
      </c>
      <c r="Q488">
        <f>-465.821739902018 -124.471311516194 -325.947663672145</f>
        <v>-916.24071509035707</v>
      </c>
      <c r="R488" t="s">
        <v>4030</v>
      </c>
      <c r="S488" t="s">
        <v>4031</v>
      </c>
      <c r="T488" t="s">
        <v>4032</v>
      </c>
      <c r="U488" t="s">
        <v>4033</v>
      </c>
      <c r="V488">
        <f>-567.521600368294 -106.659606388014 -96.5807356039255</f>
        <v>-770.76194236023355</v>
      </c>
      <c r="W488" t="s">
        <v>4034</v>
      </c>
      <c r="X488" t="s">
        <v>4035</v>
      </c>
      <c r="Y488" t="s">
        <v>4036</v>
      </c>
    </row>
    <row r="489" spans="1:25" x14ac:dyDescent="0.3">
      <c r="A489">
        <v>24400</v>
      </c>
      <c r="B489" t="s">
        <v>4037</v>
      </c>
      <c r="C489">
        <f>-584.102894596664 -10.9066700500834 -100.212715880406</f>
        <v>-695.22228052715343</v>
      </c>
      <c r="D489">
        <f>-605.632144964576 -20.563838435809 -213.61220596938</f>
        <v>-839.80818936976493</v>
      </c>
      <c r="E489">
        <f>-611.619513115113 -25.5510065212027 -311.927746630143</f>
        <v>-949.09826626645872</v>
      </c>
      <c r="F489">
        <f>-612.547686412237 -29.0591565905022 -400.950602211935</f>
        <v>-1042.5574452146743</v>
      </c>
      <c r="G489">
        <f>-608.60886713771 -31.6824410553236 -489.921617053962</f>
        <v>-1130.2129252469956</v>
      </c>
      <c r="H489">
        <f>-597.982180024787 -34.5637919995463 -614.016672139144</f>
        <v>-1246.5626441634772</v>
      </c>
      <c r="I489">
        <f>-569.837009134518 -34.7304727168232 -692.201239857641</f>
        <v>-1296.7687217089822</v>
      </c>
      <c r="J489">
        <f>-603.205294207188 -5.60089819514201 -560.098386931564</f>
        <v>-1168.9045793338942</v>
      </c>
      <c r="K489" t="s">
        <v>4038</v>
      </c>
      <c r="L489" t="s">
        <v>4039</v>
      </c>
      <c r="M489" t="s">
        <v>4040</v>
      </c>
      <c r="N489">
        <f>-602.111587299008 -60.9910818354051 -558.71867369193</f>
        <v>-1221.821342826343</v>
      </c>
      <c r="O489">
        <f>-609.130890777232 -194.649540069033 -527.345746636361</f>
        <v>-1331.1261774826262</v>
      </c>
      <c r="P489">
        <f>-654.944474894688 -244.958557549705 -241.056830077351</f>
        <v>-1140.9598625217441</v>
      </c>
      <c r="Q489">
        <f>-464.940909617139 -123.264472872701 -325.555833372516</f>
        <v>-913.76121586235604</v>
      </c>
      <c r="R489" t="s">
        <v>4041</v>
      </c>
      <c r="S489" t="s">
        <v>4042</v>
      </c>
      <c r="T489" t="s">
        <v>4043</v>
      </c>
      <c r="U489" t="s">
        <v>4044</v>
      </c>
      <c r="V489">
        <f>-565.420324104229 -106.930292705726 -96.5562209400321</f>
        <v>-768.90683774998706</v>
      </c>
      <c r="W489" t="s">
        <v>4045</v>
      </c>
      <c r="X489" t="s">
        <v>4046</v>
      </c>
      <c r="Y489" t="s">
        <v>4047</v>
      </c>
    </row>
    <row r="490" spans="1:25" x14ac:dyDescent="0.3">
      <c r="A490">
        <v>24450</v>
      </c>
      <c r="B490" t="s">
        <v>4048</v>
      </c>
      <c r="C490">
        <f>-583.295431561281 -11.3571060551014 -100.195540507885</f>
        <v>-694.84807812426743</v>
      </c>
      <c r="D490">
        <f>-604.843724188124 -21.0541449700299 -213.588199186266</f>
        <v>-839.48606834442</v>
      </c>
      <c r="E490">
        <f>-610.888304072133 -26.0487081912102 -311.899727478239</f>
        <v>-948.83673974158216</v>
      </c>
      <c r="F490">
        <f>-611.884209814161 -29.5518794250272 -400.922048401051</f>
        <v>-1042.3581376402392</v>
      </c>
      <c r="G490">
        <f>-608.028618548398 -32.1568536716388 -489.897199825502</f>
        <v>-1130.0826720455389</v>
      </c>
      <c r="H490">
        <f>-597.534344182808 -34.997506068215 -614.004505172995</f>
        <v>-1246.536355424018</v>
      </c>
      <c r="I490">
        <f>-569.517248301969 -35.1958075451394 -692.235141787343</f>
        <v>-1296.9481976344514</v>
      </c>
      <c r="J490">
        <f>-602.73450694171 -6.05302950422265 -560.074232042528</f>
        <v>-1168.8617684884607</v>
      </c>
      <c r="K490" t="s">
        <v>4049</v>
      </c>
      <c r="L490" t="s">
        <v>4050</v>
      </c>
      <c r="M490" t="s">
        <v>4051</v>
      </c>
      <c r="N490">
        <f>-601.570157247778 -61.441973260936 -558.708013809584</f>
        <v>-1221.720144318298</v>
      </c>
      <c r="O490">
        <f>-608.396776953558 -195.123481602327 -527.396971507264</f>
        <v>-1330.917230063149</v>
      </c>
      <c r="P490">
        <f>-654.022647273477 -245.567536668644 -241.101909619093</f>
        <v>-1140.6920935612141</v>
      </c>
      <c r="Q490">
        <f>-464.515531949117 -122.984232567203 -325.430310110662</f>
        <v>-912.9300746269821</v>
      </c>
      <c r="R490" t="s">
        <v>4052</v>
      </c>
      <c r="S490" t="s">
        <v>4053</v>
      </c>
      <c r="T490" t="s">
        <v>4054</v>
      </c>
      <c r="U490" t="s">
        <v>4055</v>
      </c>
      <c r="V490">
        <f>-564.515122472829 -107.736058669213 -96.4913895458815</f>
        <v>-768.74257068792349</v>
      </c>
      <c r="W490" t="s">
        <v>4056</v>
      </c>
      <c r="X490" t="s">
        <v>4057</v>
      </c>
      <c r="Y490" t="s">
        <v>4058</v>
      </c>
    </row>
    <row r="491" spans="1:25" x14ac:dyDescent="0.3">
      <c r="A491">
        <v>24500</v>
      </c>
      <c r="B491" t="s">
        <v>4059</v>
      </c>
      <c r="C491">
        <f>-582.231783971933 -11.9055634796755 -100.103429106721</f>
        <v>-694.24077655832957</v>
      </c>
      <c r="D491">
        <f>-603.936912504293 -21.6991765905593 -213.457643580152</f>
        <v>-839.09373267500428</v>
      </c>
      <c r="E491">
        <f>-610.195067842813 -26.6817507349706 -311.756625725015</f>
        <v>-948.63344430279858</v>
      </c>
      <c r="F491">
        <f>-611.412672342881 -30.1379519920438 -400.777966917612</f>
        <v>-1042.3285912525369</v>
      </c>
      <c r="G491">
        <f>-607.805541254599 -32.6600263090668 -489.766009283051</f>
        <v>-1130.2315768467167</v>
      </c>
      <c r="H491">
        <f>-597.684355155337 -35.3481749709704 -613.907741809037</f>
        <v>-1246.9402719353443</v>
      </c>
      <c r="I491">
        <f>-569.979045516416 -35.7252789984918 -692.248598924452</f>
        <v>-1297.9529234393599</v>
      </c>
      <c r="J491">
        <f>-602.746199095506 -6.47059443967783 -559.928375265254</f>
        <v>-1169.1451688004377</v>
      </c>
      <c r="K491" t="s">
        <v>4060</v>
      </c>
      <c r="L491" t="s">
        <v>4061</v>
      </c>
      <c r="M491" t="s">
        <v>4062</v>
      </c>
      <c r="N491">
        <f>-601.529969307651 -61.8601347237843 -558.629810933548</f>
        <v>-1222.0199149649834</v>
      </c>
      <c r="O491">
        <f>-608.168668992463 -195.600622260264 -527.502157521308</f>
        <v>-1331.271448774035</v>
      </c>
      <c r="P491">
        <f>-653.056801333398 -246.536608584899 -241.177490588384</f>
        <v>-1140.7709005066808</v>
      </c>
      <c r="Q491">
        <f>-464.738148348912 -121.141419370302 -324.020771375133</f>
        <v>-909.90033909434703</v>
      </c>
      <c r="R491" t="s">
        <v>4063</v>
      </c>
      <c r="S491" t="s">
        <v>4064</v>
      </c>
      <c r="T491" t="s">
        <v>4065</v>
      </c>
      <c r="U491" t="s">
        <v>4066</v>
      </c>
      <c r="V491">
        <f>-563.728191698557 -108.047430360869 -96.4027276285195</f>
        <v>-768.17834968794557</v>
      </c>
      <c r="W491" t="s">
        <v>4067</v>
      </c>
      <c r="X491" t="s">
        <v>4068</v>
      </c>
      <c r="Y491" t="s">
        <v>4069</v>
      </c>
    </row>
    <row r="492" spans="1:25" x14ac:dyDescent="0.3">
      <c r="A492">
        <v>24550</v>
      </c>
      <c r="B492" t="s">
        <v>4070</v>
      </c>
      <c r="C492">
        <f>-581.917045243202 -11.6735857175029 -100.00780546228</f>
        <v>-693.59843642298483</v>
      </c>
      <c r="D492">
        <f>-603.709742832704 -21.4719114873797 -213.344794176045</f>
        <v>-838.52644849612875</v>
      </c>
      <c r="E492">
        <f>-610.070125147901 -26.4206352515562 -311.638831358489</f>
        <v>-948.12959175794617</v>
      </c>
      <c r="F492">
        <f>-611.389409887313 -29.8322656123603 -400.660517831994</f>
        <v>-1041.8821933316674</v>
      </c>
      <c r="G492">
        <f>-607.89273083343 -32.2964038287523 -489.654545577514</f>
        <v>-1129.8436802396964</v>
      </c>
      <c r="H492">
        <f>-597.93393139009 -34.8898651648763 -613.811364792669</f>
        <v>-1246.6351613476354</v>
      </c>
      <c r="I492">
        <f>-570.429060407637 -35.4163085931289 -692.221967582724</f>
        <v>-1298.06733658349</v>
      </c>
      <c r="J492">
        <f>-602.927582562956 -6.05344662043535 -559.803686196707</f>
        <v>-1168.7847153800983</v>
      </c>
      <c r="K492" t="s">
        <v>4071</v>
      </c>
      <c r="L492" t="s">
        <v>4072</v>
      </c>
      <c r="M492" t="s">
        <v>4073</v>
      </c>
      <c r="N492">
        <f>-601.704873791108 -61.4438694121345 -558.548578843075</f>
        <v>-1221.6973220463174</v>
      </c>
      <c r="O492">
        <f>-608.348220503357 -195.211961088535 -527.538360536065</f>
        <v>-1331.098542127957</v>
      </c>
      <c r="P492">
        <f>-652.800105738457 -246.482790326533 -241.205490259432</f>
        <v>-1140.488386324422</v>
      </c>
      <c r="Q492">
        <f>-465.273108868571 -119.031493240423 -322.696031623744</f>
        <v>-907.00063373273792</v>
      </c>
      <c r="R492" t="s">
        <v>4074</v>
      </c>
      <c r="S492" t="s">
        <v>4075</v>
      </c>
      <c r="T492" t="s">
        <v>4076</v>
      </c>
      <c r="U492" t="s">
        <v>4077</v>
      </c>
      <c r="V492">
        <f>-563.252175300513 -107.522017065172 -96.3999314937089</f>
        <v>-767.17412385939394</v>
      </c>
      <c r="W492" t="s">
        <v>4078</v>
      </c>
      <c r="X492" t="s">
        <v>4079</v>
      </c>
      <c r="Y492" t="s">
        <v>4080</v>
      </c>
    </row>
    <row r="493" spans="1:25" x14ac:dyDescent="0.3">
      <c r="A493">
        <v>24600</v>
      </c>
      <c r="B493" t="s">
        <v>4081</v>
      </c>
      <c r="C493">
        <f>-580.513674645569 -11.2608544583127 -99.9170631999162</f>
        <v>-691.69159230379796</v>
      </c>
      <c r="D493">
        <f>-602.539475784449 -21.0563599947297 -213.209382288709</f>
        <v>-836.80521806788772</v>
      </c>
      <c r="E493">
        <f>-609.076144675449 -25.9424597436746 -311.494878574409</f>
        <v>-946.51348299353253</v>
      </c>
      <c r="F493">
        <f>-610.544790363152 -29.2686610477592 -400.517463496072</f>
        <v>-1040.3309149069833</v>
      </c>
      <c r="G493">
        <f>-607.186442091786 -31.6160445511155 -489.520015440909</f>
        <v>-1128.3225020838104</v>
      </c>
      <c r="H493">
        <f>-597.409222041424 -34.011238168295 -613.695245503279</f>
        <v>-1245.1157057129981</v>
      </c>
      <c r="I493">
        <f>-570.219606079805 -34.7792794708512 -692.213803708455</f>
        <v>-1297.2126892591111</v>
      </c>
      <c r="J493">
        <f>-602.35713614788 -5.26182390886333 -559.636824650914</f>
        <v>-1167.2557847076573</v>
      </c>
      <c r="K493" t="s">
        <v>4082</v>
      </c>
      <c r="L493" t="s">
        <v>4083</v>
      </c>
      <c r="M493" t="s">
        <v>4084</v>
      </c>
      <c r="N493">
        <f>-601.066152549185 -60.6526453865608 -558.466809900818</f>
        <v>-1220.1856078365638</v>
      </c>
      <c r="O493">
        <f>-607.544689497896 -194.430553395013 -527.518436331534</f>
        <v>-1329.493679224443</v>
      </c>
      <c r="P493">
        <f>-651.406409848596 -245.918525784818 -241.133442936039</f>
        <v>-1138.4583785694531</v>
      </c>
      <c r="Q493">
        <f>-464.830884344789 -114.987874793053 -319.220637425468</f>
        <v>-899.03939656330999</v>
      </c>
      <c r="R493" t="s">
        <v>4085</v>
      </c>
      <c r="S493" t="s">
        <v>4086</v>
      </c>
      <c r="T493" t="s">
        <v>4087</v>
      </c>
      <c r="U493" t="s">
        <v>4088</v>
      </c>
      <c r="V493">
        <f>-561.648263873522 -107.214710268361 -96.4314667092031</f>
        <v>-765.29444085108605</v>
      </c>
      <c r="W493" t="s">
        <v>4089</v>
      </c>
      <c r="X493" t="s">
        <v>4090</v>
      </c>
      <c r="Y493" t="s">
        <v>4091</v>
      </c>
    </row>
    <row r="494" spans="1:25" x14ac:dyDescent="0.3">
      <c r="A494">
        <v>24650</v>
      </c>
      <c r="B494" t="s">
        <v>4092</v>
      </c>
      <c r="C494">
        <f>-579.649153379101 -11.499324459151 -99.9272771231583</f>
        <v>-691.07575496141033</v>
      </c>
      <c r="D494">
        <f>-601.744455794496 -21.3281355073464 -213.203159038822</f>
        <v>-836.27575034066444</v>
      </c>
      <c r="E494">
        <f>-608.356751483172 -26.2245264256339 -311.483195702206</f>
        <v>-946.06447361101198</v>
      </c>
      <c r="F494">
        <f>-609.90042608447 -29.5489237498734 -400.504546959473</f>
        <v>-1039.9538967938165</v>
      </c>
      <c r="G494">
        <f>-606.623630849738 -31.881089943085 -489.51048542275</f>
        <v>-1128.015206215573</v>
      </c>
      <c r="H494">
        <f>-596.966977400543 -34.2392933350095 -613.695845529638</f>
        <v>-1244.9021162651904</v>
      </c>
      <c r="I494">
        <f>-569.90102688173 -35.1094789794827 -692.256094908938</f>
        <v>-1297.2666007701507</v>
      </c>
      <c r="J494">
        <f>-601.887756272569 -5.50677170488143 -559.626108890871</f>
        <v>-1167.0206368683216</v>
      </c>
      <c r="K494" t="s">
        <v>4093</v>
      </c>
      <c r="L494" t="s">
        <v>4094</v>
      </c>
      <c r="M494" t="s">
        <v>4095</v>
      </c>
      <c r="N494">
        <f>-600.544930984805 -60.8964370122924 -558.469907596175</f>
        <v>-1219.9112755932724</v>
      </c>
      <c r="O494">
        <f>-606.893647445997 -194.681130405076 -527.490838637792</f>
        <v>-1329.0656164888651</v>
      </c>
      <c r="P494">
        <f>-650.755728258117 -246.193003267284 -241.110380792286</f>
        <v>-1138.0591123176869</v>
      </c>
      <c r="Q494">
        <f>-464.312160949906 -114.534297295873 -318.283138405057</f>
        <v>-897.12959665083599</v>
      </c>
      <c r="R494" t="s">
        <v>4096</v>
      </c>
      <c r="S494" t="s">
        <v>4097</v>
      </c>
      <c r="T494" t="s">
        <v>4098</v>
      </c>
      <c r="U494" t="s">
        <v>4099</v>
      </c>
      <c r="V494">
        <f>-560.898761831017 -107.477239527632 -96.4117216455036</f>
        <v>-764.78772300415267</v>
      </c>
      <c r="W494" t="s">
        <v>4100</v>
      </c>
      <c r="X494" t="s">
        <v>4101</v>
      </c>
      <c r="Y494" t="s">
        <v>4102</v>
      </c>
    </row>
    <row r="495" spans="1:25" x14ac:dyDescent="0.3">
      <c r="A495">
        <v>24700</v>
      </c>
      <c r="B495" t="s">
        <v>4103</v>
      </c>
      <c r="C495">
        <f>-578.352291874733 -12.0607154459465 -99.999879665725</f>
        <v>-690.41288698640449</v>
      </c>
      <c r="D495">
        <f>-600.579082307129 -22.0202250771558 -213.238591854515</f>
        <v>-835.83789923879988</v>
      </c>
      <c r="E495">
        <f>-607.360188944234 -26.9513218810948 -311.505284814963</f>
        <v>-945.81679564029173</v>
      </c>
      <c r="F495">
        <f>-609.077266172436 -30.2736796770773 -400.523681272857</f>
        <v>-1039.8746271223704</v>
      </c>
      <c r="G495">
        <f>-605.993697990589 -32.5682422698753 -489.537470180469</f>
        <v>-1128.0994104409333</v>
      </c>
      <c r="H495">
        <f>-596.626106785634 -34.8348647355172 -613.746732529639</f>
        <v>-1245.2077040507902</v>
      </c>
      <c r="I495">
        <f>-569.812356140651 -35.84555540464 -692.391629041376</f>
        <v>-1298.0495405866668</v>
      </c>
      <c r="J495">
        <f>-601.463415033849 -6.14329246535181 -559.647634520506</f>
        <v>-1167.2543420197067</v>
      </c>
      <c r="K495" t="s">
        <v>4104</v>
      </c>
      <c r="L495" t="s">
        <v>4105</v>
      </c>
      <c r="M495" t="s">
        <v>4106</v>
      </c>
      <c r="N495">
        <f>-600.033288877582 -61.5316116082643 -558.529093865444</f>
        <v>-1220.0939943512903</v>
      </c>
      <c r="O495">
        <f>-606.372859172445 -195.327995700247 -527.60614025298</f>
        <v>-1329.3069951256721</v>
      </c>
      <c r="P495">
        <f>-650.717966679252 -246.546845907415 -241.247235963395</f>
        <v>-1138.512048550062</v>
      </c>
      <c r="Q495">
        <f>-462.414111476063 -116.845626400929 -317.208800711711</f>
        <v>-896.46853858870293</v>
      </c>
      <c r="R495" t="s">
        <v>4107</v>
      </c>
      <c r="S495" t="s">
        <v>4108</v>
      </c>
      <c r="T495" t="s">
        <v>4109</v>
      </c>
      <c r="U495" t="s">
        <v>4110</v>
      </c>
      <c r="V495">
        <f>-559.749523051684 -107.696775506823 -96.3589156493188</f>
        <v>-763.80521420782577</v>
      </c>
      <c r="W495" t="s">
        <v>4111</v>
      </c>
      <c r="X495" t="s">
        <v>4112</v>
      </c>
      <c r="Y495" t="s">
        <v>4113</v>
      </c>
    </row>
    <row r="496" spans="1:25" x14ac:dyDescent="0.3">
      <c r="A496">
        <v>24750</v>
      </c>
      <c r="B496" t="s">
        <v>4114</v>
      </c>
      <c r="C496">
        <f>-577.854482104793 -11.9949439897894 -100.042094419971</f>
        <v>-689.89152051455335</v>
      </c>
      <c r="D496">
        <f>-600.102349517753 -22.0564113369869 -213.267562258938</f>
        <v>-835.426323113678</v>
      </c>
      <c r="E496">
        <f>-606.963033327933 -27.0388131506384 -311.526190148907</f>
        <v>-945.52803662747829</v>
      </c>
      <c r="F496">
        <f>-608.775516402622 -30.3926172494484 -400.541584846757</f>
        <v>-1039.7097184988274</v>
      </c>
      <c r="G496">
        <f>-605.810216754493 -32.7035020503545 -489.55890665393</f>
        <v>-1128.0726254587776</v>
      </c>
      <c r="H496">
        <f>-596.631625097639 -34.976070804111 -613.782068344117</f>
        <v>-1245.3897642458669</v>
      </c>
      <c r="I496">
        <f>-569.936258937157 -36.0897306973895 -692.466010255904</f>
        <v>-1298.4919998904506</v>
      </c>
      <c r="J496">
        <f>-601.411034638462 -6.28259326814123 -559.678930913174</f>
        <v>-1167.3725588197772</v>
      </c>
      <c r="K496" t="s">
        <v>4115</v>
      </c>
      <c r="L496" t="s">
        <v>4116</v>
      </c>
      <c r="M496" t="s">
        <v>4117</v>
      </c>
      <c r="N496">
        <f>-599.930423350656 -61.6694889073194 -558.556324389022</f>
        <v>-1220.1562366469975</v>
      </c>
      <c r="O496">
        <f>-606.301005352778 -195.472862193216 -527.674391209963</f>
        <v>-1329.4482587559569</v>
      </c>
      <c r="P496">
        <f>-651.246784950136 -246.355181882831 -241.349386603424</f>
        <v>-1138.9513534363909</v>
      </c>
      <c r="Q496">
        <f>-462.017411498161 -118.218192388956 -317.66456191751</f>
        <v>-897.90016580462702</v>
      </c>
      <c r="R496" t="s">
        <v>4118</v>
      </c>
      <c r="S496" t="s">
        <v>4119</v>
      </c>
      <c r="T496" t="s">
        <v>4120</v>
      </c>
      <c r="U496" t="s">
        <v>4121</v>
      </c>
      <c r="V496">
        <f>-559.163711095657 -107.249194673434 -96.3573839850144</f>
        <v>-762.77028975410542</v>
      </c>
      <c r="W496" t="s">
        <v>4122</v>
      </c>
      <c r="X496" t="s">
        <v>4123</v>
      </c>
      <c r="Y496" t="s">
        <v>4124</v>
      </c>
    </row>
    <row r="497" spans="1:25" x14ac:dyDescent="0.3">
      <c r="A497">
        <v>24800</v>
      </c>
      <c r="B497" t="s">
        <v>4125</v>
      </c>
      <c r="C497">
        <f>-576.460083552145 -11.7914535951695 -100.062124903047</f>
        <v>-688.31366205036147</v>
      </c>
      <c r="D497">
        <f>-598.62581102783 -21.9945583378274 -213.29109830255</f>
        <v>-833.91146766820737</v>
      </c>
      <c r="E497">
        <f>-605.587085293859 -27.1718311515961 -311.532657038018</f>
        <v>-944.29157348347303</v>
      </c>
      <c r="F497">
        <f>-607.561689111121 -30.7287141225472 -400.536451782491</f>
        <v>-1038.8268550161592</v>
      </c>
      <c r="G497">
        <f>-604.829927390132 -33.2660595427633 -489.555235255718</f>
        <v>-1127.6512221886132</v>
      </c>
      <c r="H497">
        <f>-596.05283457639 -35.8773001883978 -613.800818156796</f>
        <v>-1245.7309529215838</v>
      </c>
      <c r="I497">
        <f>-569.596695880386 -37.3177102601669 -692.560060044155</f>
        <v>-1299.474466184708</v>
      </c>
      <c r="J497">
        <f>-600.711246715206 -7.0380536962557 -559.764725079053</f>
        <v>-1167.5140254905148</v>
      </c>
      <c r="K497" t="s">
        <v>4126</v>
      </c>
      <c r="L497" t="s">
        <v>4127</v>
      </c>
      <c r="M497" t="s">
        <v>4128</v>
      </c>
      <c r="N497">
        <f>-599.119299999334 -62.4185849506537 -558.488306202131</f>
        <v>-1220.0261911521186</v>
      </c>
      <c r="O497">
        <f>-605.361570022971 -196.163327181201 -527.361327774713</f>
        <v>-1328.8862249788849</v>
      </c>
      <c r="P497">
        <f>-650.719375902716 -245.967116928257 -240.911534527194</f>
        <v>-1137.598027358167</v>
      </c>
      <c r="Q497">
        <f>-461.162914089503 -118.845404872844 -318.108208765141</f>
        <v>-898.11652772748789</v>
      </c>
      <c r="R497" t="s">
        <v>4129</v>
      </c>
      <c r="S497" t="s">
        <v>4130</v>
      </c>
      <c r="T497" t="s">
        <v>4131</v>
      </c>
      <c r="U497" t="s">
        <v>4132</v>
      </c>
      <c r="V497">
        <f>-557.549930073589 -106.684808846295 -96.324247228792</f>
        <v>-760.55898614867613</v>
      </c>
      <c r="W497" t="s">
        <v>4133</v>
      </c>
      <c r="X497" t="s">
        <v>4134</v>
      </c>
      <c r="Y497" t="s">
        <v>4135</v>
      </c>
    </row>
    <row r="498" spans="1:25" x14ac:dyDescent="0.3">
      <c r="A498">
        <v>24850</v>
      </c>
      <c r="B498" t="s">
        <v>4136</v>
      </c>
      <c r="C498">
        <f>-575.733995675821 -12.102384768813 -100.075507175989</f>
        <v>-687.91188762062302</v>
      </c>
      <c r="D498">
        <f>-597.810801356133 -22.3491659256529 -213.318006514795</f>
        <v>-833.47797379658084</v>
      </c>
      <c r="E498">
        <f>-604.793741843333 -27.6471327236034 -311.551341069415</f>
        <v>-943.99221563635137</v>
      </c>
      <c r="F498">
        <f>-606.829644357974 -31.3434706121429 -400.548245490403</f>
        <v>-1038.7213604605199</v>
      </c>
      <c r="G498">
        <f>-604.201998075455 -34.0486368846239 -489.565280911528</f>
        <v>-1127.8159158716069</v>
      </c>
      <c r="H498">
        <f>-595.615882201962 -36.9223234102524 -613.818310156446</f>
        <v>-1246.3565157686603</v>
      </c>
      <c r="I498">
        <f>-569.256082187816 -38.5786856485913 -692.605690391324</f>
        <v>-1300.4404582277311</v>
      </c>
      <c r="J498">
        <f>-600.214627961192 -7.96960549079517 -559.837655057678</f>
        <v>-1168.0218885096651</v>
      </c>
      <c r="K498" t="s">
        <v>4137</v>
      </c>
      <c r="L498" t="s">
        <v>4138</v>
      </c>
      <c r="M498" t="s">
        <v>4139</v>
      </c>
      <c r="N498">
        <f>-598.573748212368 -63.3458792413005 -558.443678965032</f>
        <v>-1220.3633064187004</v>
      </c>
      <c r="O498">
        <f>-604.655581568118 -197.038714837409 -527.051842850581</f>
        <v>-1328.7461392561081</v>
      </c>
      <c r="P498">
        <f>-649.840336330814 -246.155755135693 -240.45625150826</f>
        <v>-1136.4523429747669</v>
      </c>
      <c r="Q498">
        <f>-460.730874828221 -118.2530891691 -317.458804321249</f>
        <v>-896.44276831856996</v>
      </c>
      <c r="R498" t="s">
        <v>4140</v>
      </c>
      <c r="S498" t="s">
        <v>4141</v>
      </c>
      <c r="T498" t="s">
        <v>4142</v>
      </c>
      <c r="U498" t="s">
        <v>4143</v>
      </c>
      <c r="V498">
        <f>-556.862054228612 -107.162176240835 -96.2689413628673</f>
        <v>-760.29317183231433</v>
      </c>
      <c r="W498" t="s">
        <v>4144</v>
      </c>
      <c r="X498" t="s">
        <v>4145</v>
      </c>
      <c r="Y498" t="s">
        <v>4146</v>
      </c>
    </row>
    <row r="499" spans="1:25" x14ac:dyDescent="0.3">
      <c r="A499">
        <v>24900</v>
      </c>
      <c r="B499" t="s">
        <v>4147</v>
      </c>
      <c r="C499">
        <f>-574.679778861863 -12.007764615309 -100.16816935973</f>
        <v>-686.85571283690206</v>
      </c>
      <c r="D499">
        <f>-596.612623272779 -22.4428477221134 -213.421243232321</f>
        <v>-832.47671422721339</v>
      </c>
      <c r="E499">
        <f>-603.639665697812 -28.0675423487453 -311.633575579683</f>
        <v>-943.3407836262403</v>
      </c>
      <c r="F499">
        <f>-605.786004987006 -32.1265993345787 -400.611901596768</f>
        <v>-1038.5245059183526</v>
      </c>
      <c r="G499">
        <f>-603.341183979556 -35.2600169652251 -489.620035864165</f>
        <v>-1128.2212368089461</v>
      </c>
      <c r="H499">
        <f>-595.0873556091 -38.8001684883432 -613.878539735001</f>
        <v>-1247.7660638324442</v>
      </c>
      <c r="I499">
        <f>-568.91085164598 -41.0155402310777 -692.713190314437</f>
        <v>-1302.6395821914948</v>
      </c>
      <c r="J499">
        <f>-599.568314633527 -9.55922155412281 -560.043558159054</f>
        <v>-1169.1710943467037</v>
      </c>
      <c r="K499" t="s">
        <v>4148</v>
      </c>
      <c r="L499" t="s">
        <v>4149</v>
      </c>
      <c r="M499" t="s">
        <v>4150</v>
      </c>
      <c r="N499">
        <f>-597.870643464486 -64.9254453593887 -558.353445450642</f>
        <v>-1221.1495342745166</v>
      </c>
      <c r="O499">
        <f>-603.678289510577 -198.49210591204 -526.344059914028</f>
        <v>-1328.5144553366449</v>
      </c>
      <c r="P499">
        <f>-648.319124714044 -247.0347123996 -239.565481377601</f>
        <v>-1134.9193184912451</v>
      </c>
      <c r="Q499">
        <f>-460.247658301789 -117.382474072622 -316.183373100612</f>
        <v>-893.81350547502302</v>
      </c>
      <c r="R499" t="s">
        <v>4151</v>
      </c>
      <c r="S499" t="s">
        <v>4152</v>
      </c>
      <c r="T499" t="s">
        <v>4153</v>
      </c>
      <c r="U499" t="s">
        <v>4154</v>
      </c>
      <c r="V499">
        <f>-555.838591545151 -106.82209741732 -96.2263182289128</f>
        <v>-758.88700719138376</v>
      </c>
      <c r="W499" t="s">
        <v>4155</v>
      </c>
      <c r="X499" t="s">
        <v>4156</v>
      </c>
      <c r="Y499" t="s">
        <v>4157</v>
      </c>
    </row>
    <row r="500" spans="1:25" x14ac:dyDescent="0.3">
      <c r="A500">
        <v>24950</v>
      </c>
      <c r="B500" t="s">
        <v>4158</v>
      </c>
      <c r="C500">
        <f>-574.413183522888 -11.7901771686709 -100.22488806085</f>
        <v>-686.42824875240888</v>
      </c>
      <c r="D500">
        <f>-596.288189771104 -22.2650343040591 -213.485548662455</f>
        <v>-832.03877273761816</v>
      </c>
      <c r="E500">
        <f>-603.341794201055 -28.0599024503201 -311.685956411483</f>
        <v>-943.08765306285818</v>
      </c>
      <c r="F500">
        <f>-605.545528285604 -32.3277896563745 -400.65326910854</f>
        <v>-1038.5265870505184</v>
      </c>
      <c r="G500">
        <f>-603.193334774318 -35.7245332442719 -489.654181997057</f>
        <v>-1128.5720500156469</v>
      </c>
      <c r="H500">
        <f>-595.106892293832 -39.6897726159957 -613.910754853076</f>
        <v>-1248.7074197629036</v>
      </c>
      <c r="I500">
        <f>-568.990676736439 -42.2362689653394 -692.755497396206</f>
        <v>-1303.9824430979843</v>
      </c>
      <c r="J500">
        <f>-599.509612800678 -10.2645343486934 -560.169754705874</f>
        <v>-1169.9439018552453</v>
      </c>
      <c r="K500" t="s">
        <v>4159</v>
      </c>
      <c r="L500" t="s">
        <v>4160</v>
      </c>
      <c r="M500" t="s">
        <v>4161</v>
      </c>
      <c r="N500">
        <f>-597.821037276134 -65.6251343037143 -558.293379558614</f>
        <v>-1221.7395511384623</v>
      </c>
      <c r="O500">
        <f>-603.59975924916 -199.0921479211 -525.912218963283</f>
        <v>-1328.6041261335431</v>
      </c>
      <c r="P500">
        <f>-647.69815514873 -246.866524799697 -238.920755224045</f>
        <v>-1133.4854351724721</v>
      </c>
      <c r="Q500">
        <f>-460.22717326976 -117.317120161453 -317.166799037927</f>
        <v>-894.71109246913988</v>
      </c>
      <c r="R500" t="s">
        <v>4162</v>
      </c>
      <c r="S500" t="s">
        <v>4163</v>
      </c>
      <c r="T500" t="s">
        <v>4164</v>
      </c>
      <c r="U500" t="s">
        <v>4165</v>
      </c>
      <c r="V500">
        <f>-555.463213880306 -106.658136832045 -96.2474083826124</f>
        <v>-758.36875909496337</v>
      </c>
      <c r="W500" t="s">
        <v>4166</v>
      </c>
      <c r="X500" t="s">
        <v>4167</v>
      </c>
      <c r="Y500" t="s">
        <v>4168</v>
      </c>
    </row>
    <row r="501" spans="1:25" x14ac:dyDescent="0.3">
      <c r="A501">
        <v>25000</v>
      </c>
      <c r="B501" t="s">
        <v>4169</v>
      </c>
      <c r="C501">
        <f>-573.760216616845 -11.0485663593033 -100.343454826377</f>
        <v>-685.15223780252529</v>
      </c>
      <c r="D501">
        <f>-595.545725206244 -21.6150133024344 -213.612887473529</f>
        <v>-830.77362598220736</v>
      </c>
      <c r="E501">
        <f>-602.693247155672 -27.7838960427462 -311.783777627763</f>
        <v>-942.26092082618118</v>
      </c>
      <c r="F501">
        <f>-605.057107318562 -32.5065959152716 -400.723884562161</f>
        <v>-1038.2875877959946</v>
      </c>
      <c r="G501">
        <f>-602.943609729186 -36.4737525755156 -489.707296846748</f>
        <v>-1129.1246591514496</v>
      </c>
      <c r="H501">
        <f>-595.275685973593 -41.355554894835 -613.957659948816</f>
        <v>-1250.5889008172439</v>
      </c>
      <c r="I501">
        <f>-569.110512685206 -44.5434576398368 -692.762797007625</f>
        <v>-1306.4167673326679</v>
      </c>
      <c r="J501">
        <f>-599.456019185093 -11.5332667075911 -560.418250436327</f>
        <v>-1171.4075363290112</v>
      </c>
      <c r="K501" t="s">
        <v>4170</v>
      </c>
      <c r="L501" t="s">
        <v>4171</v>
      </c>
      <c r="M501" t="s">
        <v>4172</v>
      </c>
      <c r="N501">
        <f>-597.843966305516 -66.8812091620391 -558.144132165291</f>
        <v>-1222.8693076328461</v>
      </c>
      <c r="O501">
        <f>-603.795366669134 -200.13094598405 -524.844417098873</f>
        <v>-1328.7707297520569</v>
      </c>
      <c r="P501">
        <f>-647.286892757738 -245.212175215263 -237.325211161707</f>
        <v>-1129.8242791347079</v>
      </c>
      <c r="Q501">
        <f>-458.194520394714 -118.46704890619 -316.259183254606</f>
        <v>-892.92075255551003</v>
      </c>
      <c r="R501" t="s">
        <v>4173</v>
      </c>
      <c r="S501" t="s">
        <v>4174</v>
      </c>
      <c r="T501" t="s">
        <v>4175</v>
      </c>
      <c r="U501" t="s">
        <v>4176</v>
      </c>
      <c r="V501">
        <f>-554.693237808355 -105.918156770882 -96.2846803888328</f>
        <v>-756.8960749680698</v>
      </c>
      <c r="W501" t="s">
        <v>4177</v>
      </c>
      <c r="X501" t="s">
        <v>4178</v>
      </c>
      <c r="Y501" t="s">
        <v>4179</v>
      </c>
    </row>
    <row r="502" spans="1:25" x14ac:dyDescent="0.3">
      <c r="A502">
        <v>25050</v>
      </c>
      <c r="B502" t="s">
        <v>4180</v>
      </c>
      <c r="C502">
        <f>-573.387480916887 -10.5894451937268 -100.392001347307</f>
        <v>-684.36892745792068</v>
      </c>
      <c r="D502">
        <f>-595.211315372295 -21.1922456841407 -213.650776823399</f>
        <v>-830.05433787983475</v>
      </c>
      <c r="E502">
        <f>-602.424516443186 -27.5246995062396 -311.806337449472</f>
        <v>-941.75555339889752</v>
      </c>
      <c r="F502">
        <f>-604.864021961466 -32.4479608332047 -400.733529028934</f>
        <v>-1038.0455118236048</v>
      </c>
      <c r="G502">
        <f>-602.843895111697 -36.6683619755456 -489.707374270589</f>
        <v>-1129.2196313578315</v>
      </c>
      <c r="H502">
        <f>-595.326181677635 -41.9589093203608 -613.950452058897</f>
        <v>-1251.2355430568928</v>
      </c>
      <c r="I502">
        <f>-569.070064785141 -45.4416995577265 -692.712714449791</f>
        <v>-1307.2244787926584</v>
      </c>
      <c r="J502">
        <f>-599.416201438288 -11.9598634211104 -560.502818367769</f>
        <v>-1171.8788832271675</v>
      </c>
      <c r="K502" t="s">
        <v>4181</v>
      </c>
      <c r="L502" t="s">
        <v>4182</v>
      </c>
      <c r="M502" t="s">
        <v>4183</v>
      </c>
      <c r="N502">
        <f>-597.852528133589 -67.3016817283224 -558.051584772975</f>
        <v>-1223.2057946348864</v>
      </c>
      <c r="O502">
        <f>-603.904177361607 -200.440719851833 -524.317203866759</f>
        <v>-1328.6621010801991</v>
      </c>
      <c r="P502">
        <f>-647.246456088201 -244.97895383625 -236.690744302078</f>
        <v>-1128.916154226529</v>
      </c>
      <c r="Q502">
        <f>-457.865710875927 -119.068026601924 -316.265775975506</f>
        <v>-893.19951345335699</v>
      </c>
      <c r="R502" t="s">
        <v>4184</v>
      </c>
      <c r="S502" t="s">
        <v>4185</v>
      </c>
      <c r="T502" t="s">
        <v>4186</v>
      </c>
      <c r="U502" t="s">
        <v>4187</v>
      </c>
      <c r="V502">
        <f>-554.358832290624 -105.357819289087 -96.3098611494129</f>
        <v>-756.02651272912397</v>
      </c>
      <c r="W502" t="s">
        <v>4188</v>
      </c>
      <c r="X502" t="s">
        <v>4189</v>
      </c>
      <c r="Y502" t="s">
        <v>4190</v>
      </c>
    </row>
    <row r="503" spans="1:25" x14ac:dyDescent="0.3">
      <c r="A503">
        <v>25100</v>
      </c>
      <c r="B503" t="s">
        <v>4191</v>
      </c>
      <c r="C503">
        <f>-572.401911340948 -9.75821628998074 -100.512953911875</f>
        <v>-682.67308154280374</v>
      </c>
      <c r="D503">
        <f>-594.394648329991 -20.4228693350556 -213.733161361777</f>
        <v>-828.55067902682356</v>
      </c>
      <c r="E503">
        <f>-601.800121810323 -27.0473008374188 -311.855204527083</f>
        <v>-940.70262717482478</v>
      </c>
      <c r="F503">
        <f>-604.437471005358 -32.3284609904811 -400.756238278172</f>
        <v>-1037.5221702740112</v>
      </c>
      <c r="G503">
        <f>-602.64185872694 -37.0012734843976 -489.712293695068</f>
        <v>-1129.3554259064056</v>
      </c>
      <c r="H503">
        <f>-595.468521527976 -43.0229495558565 -613.942228477088</f>
        <v>-1252.4336995609206</v>
      </c>
      <c r="I503">
        <f>-568.885739547532 -47.0381207037512 -692.56973130008</f>
        <v>-1308.4935915513634</v>
      </c>
      <c r="J503">
        <f>-599.333987052461 -12.7077106959807 -560.656777626366</f>
        <v>-1172.6984753748077</v>
      </c>
      <c r="K503" t="s">
        <v>4192</v>
      </c>
      <c r="L503" t="s">
        <v>4193</v>
      </c>
      <c r="M503" t="s">
        <v>4194</v>
      </c>
      <c r="N503">
        <f>-597.916312398964 -68.0386472509531 -557.892811603744</f>
        <v>-1223.847771253661</v>
      </c>
      <c r="O503">
        <f>-604.18919591666 -200.987986886181 -523.518767343492</f>
        <v>-1328.695950146333</v>
      </c>
      <c r="P503">
        <f>-646.77444776683 -244.756577353656 -235.661052908766</f>
        <v>-1127.1920780292521</v>
      </c>
      <c r="Q503">
        <f>-457.053566423827 -119.541529415169 -315.523850070804</f>
        <v>-892.1189459098</v>
      </c>
      <c r="R503" t="s">
        <v>4195</v>
      </c>
      <c r="S503" t="s">
        <v>4196</v>
      </c>
      <c r="T503" t="s">
        <v>4197</v>
      </c>
      <c r="U503" t="s">
        <v>4198</v>
      </c>
      <c r="V503">
        <f>-553.361587117116 -104.413036521469 -96.3614792708627</f>
        <v>-754.13610290944757</v>
      </c>
      <c r="W503" t="s">
        <v>4199</v>
      </c>
      <c r="X503" t="s">
        <v>4200</v>
      </c>
      <c r="Y503" t="s">
        <v>4201</v>
      </c>
    </row>
    <row r="504" spans="1:25" x14ac:dyDescent="0.3">
      <c r="A504">
        <v>25150</v>
      </c>
      <c r="B504" t="s">
        <v>4202</v>
      </c>
      <c r="C504">
        <f>-571.875302971876 -9.46236401554984 -100.545358375176</f>
        <v>-681.88302536260176</v>
      </c>
      <c r="D504">
        <f>-593.905093552675 -20.1092668414256 -213.759878246948</f>
        <v>-827.77423864104856</v>
      </c>
      <c r="E504">
        <f>-601.406592893956 -26.8440400245083 -311.867197484386</f>
        <v>-940.11783040285036</v>
      </c>
      <c r="F504">
        <f>-604.159666264239 -32.2729016059996 -400.755816762869</f>
        <v>-1037.1883846331075</v>
      </c>
      <c r="G504">
        <f>-602.509796867644 -37.1409753115158 -489.704212065928</f>
        <v>-1129.354984245088</v>
      </c>
      <c r="H504">
        <f>-595.573439807933 -43.4836521335931 -613.931714127452</f>
        <v>-1252.9888060689782</v>
      </c>
      <c r="I504">
        <f>-568.750235832108 -47.7589039573163 -692.463768183052</f>
        <v>-1308.9729079724764</v>
      </c>
      <c r="J504">
        <f>-599.292271270464 -13.029563177299 -560.715011983031</f>
        <v>-1173.036846430794</v>
      </c>
      <c r="K504" t="s">
        <v>4203</v>
      </c>
      <c r="L504" t="s">
        <v>4204</v>
      </c>
      <c r="M504" t="s">
        <v>4205</v>
      </c>
      <c r="N504">
        <f>-597.959319678066 -68.3555742530118 -557.815761392107</f>
        <v>-1224.1306553231848</v>
      </c>
      <c r="O504">
        <f>-604.323493716201 -201.225757651396 -523.150645884111</f>
        <v>-1328.6998972517081</v>
      </c>
      <c r="P504">
        <f>-646.465941216923 -244.870930356187 -235.209151401164</f>
        <v>-1126.5460229742741</v>
      </c>
      <c r="Q504">
        <f>-456.562898926105 -119.657077326292 -314.639532006259</f>
        <v>-890.85950825865598</v>
      </c>
      <c r="R504" t="s">
        <v>4206</v>
      </c>
      <c r="S504" t="s">
        <v>4207</v>
      </c>
      <c r="T504" t="s">
        <v>4208</v>
      </c>
      <c r="U504" t="s">
        <v>4209</v>
      </c>
      <c r="V504">
        <f>-552.914432367103 -104.241254631133 -96.3892393168686</f>
        <v>-753.54492631510459</v>
      </c>
      <c r="W504" t="s">
        <v>4210</v>
      </c>
      <c r="X504" t="s">
        <v>4211</v>
      </c>
      <c r="Y504" t="s">
        <v>4212</v>
      </c>
    </row>
    <row r="505" spans="1:25" x14ac:dyDescent="0.3">
      <c r="A505">
        <v>25200</v>
      </c>
      <c r="B505" t="s">
        <v>4213</v>
      </c>
      <c r="C505">
        <f>-571.015230449878 -8.54380652502255 -100.645180655959</f>
        <v>-680.2042176308596</v>
      </c>
      <c r="D505">
        <f>-593.284390212819 -19.1223354372814 -213.819466804973</f>
        <v>-826.22619245507337</v>
      </c>
      <c r="E505">
        <f>-601.05072427957 -26.0488717791686 -311.892690807372</f>
        <v>-938.99228686611059</v>
      </c>
      <c r="F505">
        <f>-604.072933434662 -31.747971439105 -400.755656394856</f>
        <v>-1036.576561268623</v>
      </c>
      <c r="G505">
        <f>-602.724673236823 -36.9830761726851 -489.688218122156</f>
        <v>-1129.3959675316642</v>
      </c>
      <c r="H505">
        <f>-596.246081743216 -43.9398344139272 -613.907581514022</f>
        <v>-1254.0934976711651</v>
      </c>
      <c r="I505">
        <f>-568.950976706199 -48.7345351681083 -692.246610221093</f>
        <v>-1309.9321220954002</v>
      </c>
      <c r="J505">
        <f>-599.641586589412 -13.2198548320418 -560.822296657963</f>
        <v>-1173.6837380794168</v>
      </c>
      <c r="K505" t="s">
        <v>4214</v>
      </c>
      <c r="L505" t="s">
        <v>4215</v>
      </c>
      <c r="M505" t="s">
        <v>4216</v>
      </c>
      <c r="N505">
        <f>-598.552476363309 -68.537304265544 -557.667439987977</f>
        <v>-1224.75722061683</v>
      </c>
      <c r="O505">
        <f>-605.246694142368 -201.237292725628 -522.424116392748</f>
        <v>-1328.9081032607442</v>
      </c>
      <c r="P505">
        <f>-646.428816676612 -243.916389471466 -234.198998838852</f>
        <v>-1124.54420498693</v>
      </c>
      <c r="Q505">
        <f>-456.128498028381 -119.061678186213 -313.242658845704</f>
        <v>-888.43283506029798</v>
      </c>
      <c r="R505" t="s">
        <v>4217</v>
      </c>
      <c r="S505" t="s">
        <v>4218</v>
      </c>
      <c r="T505" t="s">
        <v>4219</v>
      </c>
      <c r="U505" t="s">
        <v>4220</v>
      </c>
      <c r="V505">
        <f>-552.471525963108 -103.010950488161 -96.4953518585708</f>
        <v>-751.97782830983977</v>
      </c>
      <c r="W505" t="s">
        <v>4221</v>
      </c>
      <c r="X505" t="s">
        <v>4222</v>
      </c>
      <c r="Y505" t="s">
        <v>4223</v>
      </c>
    </row>
    <row r="506" spans="1:25" x14ac:dyDescent="0.3">
      <c r="A506">
        <v>25250</v>
      </c>
      <c r="B506" t="s">
        <v>4224</v>
      </c>
      <c r="C506">
        <f>-570.794692320148 -7.97058298197703 -100.724061238985</f>
        <v>-679.48933654110999</v>
      </c>
      <c r="D506">
        <f>-593.219698867755 -18.5087659213743 -213.871283134745</f>
        <v>-825.59974792387436</v>
      </c>
      <c r="E506">
        <f>-601.121924535189 -25.519365709373 -311.927687718427</f>
        <v>-938.56897796298904</v>
      </c>
      <c r="F506">
        <f>-604.270385707048 -31.3404403693894 -400.778254640987</f>
        <v>-1036.3890807174243</v>
      </c>
      <c r="G506">
        <f>-603.053067845696 -36.7447925104611 -489.702842302654</f>
        <v>-1129.5007026588112</v>
      </c>
      <c r="H506">
        <f>-596.763445890299 -43.987489460523 -613.915464380372</f>
        <v>-1254.6663997311939</v>
      </c>
      <c r="I506">
        <f>-569.239925712659 -49.0274465375612 -692.159231028261</f>
        <v>-1310.4266032784813</v>
      </c>
      <c r="J506">
        <f>-599.995287795649 -13.143424141582 -560.89170978058</f>
        <v>-1174.0304217178109</v>
      </c>
      <c r="K506" t="s">
        <v>4225</v>
      </c>
      <c r="L506" t="s">
        <v>4226</v>
      </c>
      <c r="M506" t="s">
        <v>4227</v>
      </c>
      <c r="N506">
        <f>-599.067101797792 -68.4571395717151 -557.619525413878</f>
        <v>-1225.1437667833852</v>
      </c>
      <c r="O506">
        <f>-606.03418497559 -201.066133335734 -522.077119998817</f>
        <v>-1329.177438310141</v>
      </c>
      <c r="P506">
        <f>-646.750996742417 -243.051384431097 -233.683967491456</f>
        <v>-1123.4863486649701</v>
      </c>
      <c r="Q506">
        <f>-456.111884602293 -118.753168194543 -312.788681626536</f>
        <v>-887.65373442337204</v>
      </c>
      <c r="R506" t="s">
        <v>4228</v>
      </c>
      <c r="S506" t="s">
        <v>4229</v>
      </c>
      <c r="T506" t="s">
        <v>4230</v>
      </c>
      <c r="U506" t="s">
        <v>4231</v>
      </c>
      <c r="V506">
        <f>-552.410759253073 -102.422955808244 -96.5541652172763</f>
        <v>-751.38788027859323</v>
      </c>
      <c r="W506" t="s">
        <v>4232</v>
      </c>
      <c r="X506" t="s">
        <v>4233</v>
      </c>
      <c r="Y506" t="s">
        <v>4234</v>
      </c>
    </row>
    <row r="507" spans="1:25" x14ac:dyDescent="0.3">
      <c r="A507">
        <v>25300</v>
      </c>
      <c r="B507" t="s">
        <v>4235</v>
      </c>
      <c r="C507">
        <f>-570.418150380047 -7.08600640336385 -100.853259050064</f>
        <v>-678.35741583347487</v>
      </c>
      <c r="D507">
        <f>-593.067452384448 -17.5193037885697 -213.965391791466</f>
        <v>-824.55214796448365</v>
      </c>
      <c r="E507">
        <f>-601.16437758557 -24.6429601955426 -311.997815752391</f>
        <v>-937.8051535335037</v>
      </c>
      <c r="F507">
        <f>-604.493844972234 -30.6436708724457 -400.829975144432</f>
        <v>-1035.9674909891116</v>
      </c>
      <c r="G507">
        <f>-603.465235221161 -36.3070326399559 -489.740668431042</f>
        <v>-1129.5129362921589</v>
      </c>
      <c r="H507">
        <f>-597.449468139842 -43.9944920861537 -613.940194576031</f>
        <v>-1255.3841548020268</v>
      </c>
      <c r="I507">
        <f>-569.494783384747 -49.431985203272 -692.004217995572</f>
        <v>-1310.9309865835912</v>
      </c>
      <c r="J507">
        <f>-600.384994307744 -12.9578905058702 -561.011767239231</f>
        <v>-1174.3546520528453</v>
      </c>
      <c r="K507" t="s">
        <v>4236</v>
      </c>
      <c r="L507" t="s">
        <v>4237</v>
      </c>
      <c r="M507" t="s">
        <v>4238</v>
      </c>
      <c r="N507">
        <f>-599.808331137514 -68.2654065066267 -557.560429490814</f>
        <v>-1225.6341671349546</v>
      </c>
      <c r="O507">
        <f>-607.422543744751 -200.713051464063 -521.521744499036</f>
        <v>-1329.65733970785</v>
      </c>
      <c r="P507">
        <f>-647.388982736808 -241.577856049712 -232.86290508033</f>
        <v>-1121.8297438668499</v>
      </c>
      <c r="Q507">
        <f>-456.402626523225 -118.108417383494 -312.426863427998</f>
        <v>-886.93790733471701</v>
      </c>
      <c r="R507" t="s">
        <v>4239</v>
      </c>
      <c r="S507" t="s">
        <v>4240</v>
      </c>
      <c r="T507" t="s">
        <v>4241</v>
      </c>
      <c r="U507" t="s">
        <v>4242</v>
      </c>
      <c r="V507">
        <f>-552.343028871905 -101.597225732137 -96.6757176072782</f>
        <v>-750.61597221132013</v>
      </c>
      <c r="W507" t="s">
        <v>4243</v>
      </c>
      <c r="X507" t="s">
        <v>4244</v>
      </c>
      <c r="Y507" t="s">
        <v>4245</v>
      </c>
    </row>
    <row r="508" spans="1:25" x14ac:dyDescent="0.3">
      <c r="A508">
        <v>25350</v>
      </c>
      <c r="B508" t="s">
        <v>4246</v>
      </c>
      <c r="C508">
        <f>-570.270470262373 -6.80651590668367 -100.905439940589</f>
        <v>-677.98242610964564</v>
      </c>
      <c r="D508">
        <f>-593.017506985327 -17.2040128077051 -214.001347267608</f>
        <v>-824.22286706064017</v>
      </c>
      <c r="E508">
        <f>-601.206331821118 -24.3544967396847 -312.024162593882</f>
        <v>-937.58499115468476</v>
      </c>
      <c r="F508">
        <f>-604.623679877609 -30.4006932177274 -400.849941547784</f>
        <v>-1035.8743146431204</v>
      </c>
      <c r="G508">
        <f>-603.688114906556 -36.1316868972519 -489.757198748776</f>
        <v>-1129.577000552584</v>
      </c>
      <c r="H508">
        <f>-597.808370239033 -43.936904776275 -613.95593933507</f>
        <v>-1255.701214350378</v>
      </c>
      <c r="I508">
        <f>-569.677352686722 -49.5123176180166 -691.947005016401</f>
        <v>-1311.1366753211396</v>
      </c>
      <c r="J508">
        <f>-600.605377432302 -12.849062603502 -561.049975365929</f>
        <v>-1174.504415401733</v>
      </c>
      <c r="K508" t="s">
        <v>4247</v>
      </c>
      <c r="L508" t="s">
        <v>4248</v>
      </c>
      <c r="M508" t="s">
        <v>4249</v>
      </c>
      <c r="N508">
        <f>-600.186243327217 -68.1552309602712 -557.554556814123</f>
        <v>-1225.8960311016112</v>
      </c>
      <c r="O508">
        <f>-608.158281848202 -200.530424291886 -521.355831825526</f>
        <v>-1330.0445379656139</v>
      </c>
      <c r="P508">
        <f>-647.718107365566 -240.901139331158 -232.571268944179</f>
        <v>-1121.190515640903</v>
      </c>
      <c r="Q508">
        <f>-456.579847323334 -117.836970731903 -312.397729665106</f>
        <v>-886.81454772034294</v>
      </c>
      <c r="R508" t="s">
        <v>4250</v>
      </c>
      <c r="S508" t="s">
        <v>4251</v>
      </c>
      <c r="T508" t="s">
        <v>4252</v>
      </c>
      <c r="U508" t="s">
        <v>4253</v>
      </c>
      <c r="V508">
        <f>-552.40664653134 -101.433037651353 -96.7166008127326</f>
        <v>-750.55628499542559</v>
      </c>
      <c r="W508" t="s">
        <v>4254</v>
      </c>
      <c r="X508" t="s">
        <v>4255</v>
      </c>
      <c r="Y508" t="s">
        <v>4256</v>
      </c>
    </row>
    <row r="509" spans="1:25" x14ac:dyDescent="0.3">
      <c r="A509">
        <v>25400</v>
      </c>
      <c r="B509" t="s">
        <v>4257</v>
      </c>
      <c r="C509">
        <f>-570.082970413904 -6.15501365515843 -100.998578058218</f>
        <v>-677.23656212728042</v>
      </c>
      <c r="D509">
        <f>-592.949337154211 -16.4519854460136 -214.079635263727</f>
        <v>-823.48095786395163</v>
      </c>
      <c r="E509">
        <f>-601.269704854538 -23.6514362704897 -312.087739541657</f>
        <v>-937.00888066668472</v>
      </c>
      <c r="F509">
        <f>-604.820984783215 -29.793447777233 -400.901734462388</f>
        <v>-1035.516167022836</v>
      </c>
      <c r="G509">
        <f>-604.0358113512 -35.6736878851548 -489.800826262421</f>
        <v>-1129.5103254987757</v>
      </c>
      <c r="H509">
        <f>-598.384313723029 -43.7428675173271 -613.993211398862</f>
        <v>-1256.1203926392182</v>
      </c>
      <c r="I509">
        <f>-569.930246874961 -49.5557404149631 -691.849504329164</f>
        <v>-1311.3354916190881</v>
      </c>
      <c r="J509">
        <f>-600.943141844893 -12.5415528120059 -561.142080966846</f>
        <v>-1174.6267756237448</v>
      </c>
      <c r="K509" t="s">
        <v>4258</v>
      </c>
      <c r="L509" t="s">
        <v>4259</v>
      </c>
      <c r="M509" t="s">
        <v>4260</v>
      </c>
      <c r="N509">
        <f>-600.799363403024 -67.8424273005724 -557.542357461093</f>
        <v>-1226.1841481646893</v>
      </c>
      <c r="O509">
        <f>-609.312025501855 -200.103761598441 -521.04845952745</f>
        <v>-1330.464246627746</v>
      </c>
      <c r="P509">
        <f>-648.138236319733 -239.697884760517 -232.057040458936</f>
        <v>-1119.8931615391859</v>
      </c>
      <c r="Q509">
        <f>-456.7820245042 -117.291474002081 -312.370870777914</f>
        <v>-886.44436928419498</v>
      </c>
      <c r="R509" t="s">
        <v>4261</v>
      </c>
      <c r="S509" t="s">
        <v>4262</v>
      </c>
      <c r="T509" t="s">
        <v>4263</v>
      </c>
      <c r="U509" t="s">
        <v>4264</v>
      </c>
      <c r="V509">
        <f>-552.619055058122 -100.617028066374 -96.7964822358886</f>
        <v>-750.03256536038452</v>
      </c>
      <c r="W509" t="s">
        <v>4265</v>
      </c>
      <c r="X509" t="s">
        <v>4266</v>
      </c>
      <c r="Y509" t="s">
        <v>4267</v>
      </c>
    </row>
    <row r="510" spans="1:25" x14ac:dyDescent="0.3">
      <c r="A510">
        <v>25450</v>
      </c>
      <c r="B510" t="s">
        <v>4268</v>
      </c>
      <c r="C510">
        <f>-570.145290890375 -5.65891483392852 -101.03765149958</f>
        <v>-676.84185722388349</v>
      </c>
      <c r="D510">
        <f>-593.079070644201 -15.9181468039199 -214.108538486688</f>
        <v>-823.10575593480883</v>
      </c>
      <c r="E510">
        <f>-601.465422740531 -23.1337279062307 -312.109789171135</f>
        <v>-936.70893981789663</v>
      </c>
      <c r="F510">
        <f>-605.080417000921 -29.3088413889809 -400.918794764317</f>
        <v>-1035.3080531542189</v>
      </c>
      <c r="G510">
        <f>-604.363459671789 -35.2416745938649 -489.815074279138</f>
        <v>-1129.4202085447919</v>
      </c>
      <c r="H510">
        <f>-598.813153699719 -43.4049666551171 -614.005902376712</f>
        <v>-1256.2240227315481</v>
      </c>
      <c r="I510">
        <f>-570.229226653217 -49.2932197635621 -691.808933776256</f>
        <v>-1311.3313801930351</v>
      </c>
      <c r="J510">
        <f>-601.281617631691 -12.163439945389 -561.174061621016</f>
        <v>-1174.6191191980961</v>
      </c>
      <c r="K510" t="s">
        <v>4269</v>
      </c>
      <c r="L510" t="s">
        <v>4270</v>
      </c>
      <c r="M510" t="s">
        <v>4271</v>
      </c>
      <c r="N510">
        <f>-601.229569694719 -67.4620329145603 -557.536977796396</f>
        <v>-1226.2285804056751</v>
      </c>
      <c r="O510">
        <f>-609.942022529486 -199.680448963503 -520.93695785789</f>
        <v>-1330.5594293508789</v>
      </c>
      <c r="P510">
        <f>-648.362025045488 -238.920016098226 -231.842785978228</f>
        <v>-1119.124827121942</v>
      </c>
      <c r="Q510">
        <f>-456.840476237675 -116.824526738877 -312.235687231452</f>
        <v>-885.90069020800388</v>
      </c>
      <c r="R510" t="s">
        <v>4272</v>
      </c>
      <c r="S510" t="s">
        <v>4273</v>
      </c>
      <c r="T510" t="s">
        <v>4274</v>
      </c>
      <c r="U510" t="s">
        <v>4275</v>
      </c>
      <c r="V510">
        <f>-552.786758099768 -100.079725472766 -96.8335512205084</f>
        <v>-749.70003479304239</v>
      </c>
      <c r="W510" t="s">
        <v>4276</v>
      </c>
      <c r="X510" t="s">
        <v>4277</v>
      </c>
      <c r="Y510" t="s">
        <v>4278</v>
      </c>
    </row>
    <row r="511" spans="1:25" x14ac:dyDescent="0.3">
      <c r="A511">
        <v>25500</v>
      </c>
      <c r="B511" t="s">
        <v>4279</v>
      </c>
      <c r="C511">
        <f>-570.342468577194 -4.87461508407523 -101.086318095209</f>
        <v>-676.30340175647825</v>
      </c>
      <c r="D511">
        <f>-593.402749887463 -15.0718509167777 -214.137070723379</f>
        <v>-822.61167152761971</v>
      </c>
      <c r="E511">
        <f>-601.880319220116 -22.2987659902697 -312.129603574337</f>
        <v>-936.30868878472268</v>
      </c>
      <c r="F511">
        <f>-605.572320908021 -28.5087000918174 -400.933113390381</f>
        <v>-1035.0141343902194</v>
      </c>
      <c r="G511">
        <f>-604.927559696152 -34.5009455529084 -489.825786353059</f>
        <v>-1129.2542916021193</v>
      </c>
      <c r="H511">
        <f>-599.473631372964 -42.7730346076739 -614.013767512063</f>
        <v>-1256.2604334927009</v>
      </c>
      <c r="I511">
        <f>-570.68952621265 -48.7194704713511 -691.738556986763</f>
        <v>-1311.147553670764</v>
      </c>
      <c r="J511">
        <f>-601.85098248768 -11.4849839178701 -561.205428659082</f>
        <v>-1174.5413950646321</v>
      </c>
      <c r="K511" t="s">
        <v>4280</v>
      </c>
      <c r="L511" t="s">
        <v>4281</v>
      </c>
      <c r="M511" t="s">
        <v>4282</v>
      </c>
      <c r="N511">
        <f>-601.896285785463 -66.7807867671829 -557.524202746835</f>
        <v>-1226.201275299481</v>
      </c>
      <c r="O511">
        <f>-610.815991739545 -198.959929788403 -520.817222336757</f>
        <v>-1330.5931438647049</v>
      </c>
      <c r="P511">
        <f>-648.763364776343 -238.063080005197 -231.642218265989</f>
        <v>-1118.4686630475289</v>
      </c>
      <c r="Q511">
        <f>-457.070805264828 -116.027339676572 -311.717933460034</f>
        <v>-884.81607840143397</v>
      </c>
      <c r="R511" t="s">
        <v>4283</v>
      </c>
      <c r="S511" t="s">
        <v>4284</v>
      </c>
      <c r="T511" t="s">
        <v>4285</v>
      </c>
      <c r="U511" t="s">
        <v>4286</v>
      </c>
      <c r="V511">
        <f>-553.105309416477 -99.5034110764443 -96.9085151469761</f>
        <v>-749.51723563989742</v>
      </c>
      <c r="W511" t="s">
        <v>4287</v>
      </c>
      <c r="X511" t="s">
        <v>4288</v>
      </c>
      <c r="Y511" t="s">
        <v>4289</v>
      </c>
    </row>
    <row r="512" spans="1:25" x14ac:dyDescent="0.3">
      <c r="A512">
        <v>25550</v>
      </c>
      <c r="B512" t="s">
        <v>4290</v>
      </c>
      <c r="C512">
        <f>-570.362738369482 -4.53108499948917 -101.119593098609</f>
        <v>-676.01341646758021</v>
      </c>
      <c r="D512">
        <f>-593.447600469319 -14.7078421743902 -214.167115485035</f>
        <v>-822.32255812874416</v>
      </c>
      <c r="E512">
        <f>-601.924419659123 -21.9196521445369 -312.161020746019</f>
        <v>-936.00509254967892</v>
      </c>
      <c r="F512">
        <f>-605.607036449005 -28.1165693290143 -400.965664989974</f>
        <v>-1034.6892707679933</v>
      </c>
      <c r="G512">
        <f>-604.94422633182 -34.0964138325537 -489.859149179735</f>
        <v>-1128.8997893441087</v>
      </c>
      <c r="H512">
        <f>-599.455888018146 -42.3513282402712 -614.046674900455</f>
        <v>-1255.8538911588721</v>
      </c>
      <c r="I512">
        <f>-570.58898891982 -48.2787548611198 -691.74219908876</f>
        <v>-1310.6099428696998</v>
      </c>
      <c r="J512">
        <f>-601.843797876504 -11.0705778705019 -561.234489990578</f>
        <v>-1174.1488657375839</v>
      </c>
      <c r="K512" t="s">
        <v>4291</v>
      </c>
      <c r="L512" t="s">
        <v>4292</v>
      </c>
      <c r="M512" t="s">
        <v>4293</v>
      </c>
      <c r="N512">
        <f>-601.89836181506 -66.3667776040461 -557.56123911857</f>
        <v>-1225.8263785376762</v>
      </c>
      <c r="O512">
        <f>-610.842967168 -198.542054249994 -520.858125932551</f>
        <v>-1330.2431473505451</v>
      </c>
      <c r="P512">
        <f>-648.551410996451 -237.766985353927 -231.668459990496</f>
        <v>-1117.9868563408741</v>
      </c>
      <c r="Q512">
        <f>-456.916015282051 -115.358970925071 -311.311535780945</f>
        <v>-883.58652198806703</v>
      </c>
      <c r="R512" t="s">
        <v>4294</v>
      </c>
      <c r="S512" t="s">
        <v>4295</v>
      </c>
      <c r="T512" t="s">
        <v>4296</v>
      </c>
      <c r="U512" t="s">
        <v>4297</v>
      </c>
      <c r="V512">
        <f>-553.168944287184 -99.1697701020953 -96.9421105317135</f>
        <v>-749.28082492099281</v>
      </c>
      <c r="W512" t="s">
        <v>4298</v>
      </c>
      <c r="X512" t="s">
        <v>4299</v>
      </c>
      <c r="Y512" t="s">
        <v>4300</v>
      </c>
    </row>
    <row r="513" spans="1:25" x14ac:dyDescent="0.3">
      <c r="A513">
        <v>25600</v>
      </c>
      <c r="B513" t="s">
        <v>4301</v>
      </c>
      <c r="C513">
        <f>-570.351441117311 -4.25484052483512 -101.15019037232</f>
        <v>-675.75647201446611</v>
      </c>
      <c r="D513">
        <f>-593.439915088625 -14.4086880789703 -214.199001093508</f>
        <v>-822.04760426110329</v>
      </c>
      <c r="E513">
        <f>-601.895101111662 -21.602263322985 -312.196062319423</f>
        <v>-935.69342675407006</v>
      </c>
      <c r="F513">
        <f>-605.548189898088 -27.7831940284646 -401.003228240692</f>
        <v>-1034.3346121672446</v>
      </c>
      <c r="G513">
        <f>-604.845865470904 -33.747263734338 -489.897256444449</f>
        <v>-1128.490385649691</v>
      </c>
      <c r="H513">
        <f>-599.292120421888 -41.9810934162756 -614.083306022796</f>
        <v>-1255.3565198609595</v>
      </c>
      <c r="I513">
        <f>-570.354330097777 -47.8842773110775 -691.754408383978</f>
        <v>-1309.9930157928325</v>
      </c>
      <c r="J513">
        <f>-601.705238070891 -10.7093540186208 -561.266965783525</f>
        <v>-1173.681557873037</v>
      </c>
      <c r="K513" t="s">
        <v>4302</v>
      </c>
      <c r="L513" t="s">
        <v>4303</v>
      </c>
      <c r="M513" t="s">
        <v>4304</v>
      </c>
      <c r="N513">
        <f>-601.766811744029 -66.0062231403574 -557.603350306642</f>
        <v>-1225.3763851910285</v>
      </c>
      <c r="O513">
        <f>-610.703705648133 -198.184070374078 -520.911806671827</f>
        <v>-1329.799582694038</v>
      </c>
      <c r="P513">
        <f>-648.161053778413 -237.456818257497 -231.696025323084</f>
        <v>-1117.3138973589942</v>
      </c>
      <c r="Q513">
        <f>-456.474575456637 -114.720287167182 -310.708310066763</f>
        <v>-881.9031726905821</v>
      </c>
      <c r="R513" t="s">
        <v>4305</v>
      </c>
      <c r="S513" t="s">
        <v>4306</v>
      </c>
      <c r="T513" t="s">
        <v>4307</v>
      </c>
      <c r="U513" t="s">
        <v>4308</v>
      </c>
      <c r="V513">
        <f>-553.201811765111 -98.9156666305073 -96.970746250666</f>
        <v>-749.08822464628429</v>
      </c>
      <c r="W513" t="s">
        <v>4309</v>
      </c>
      <c r="X513" t="s">
        <v>4310</v>
      </c>
      <c r="Y513" t="s">
        <v>4311</v>
      </c>
    </row>
    <row r="514" spans="1:25" x14ac:dyDescent="0.3">
      <c r="A514">
        <v>25650</v>
      </c>
      <c r="B514" t="s">
        <v>4312</v>
      </c>
      <c r="C514">
        <f>-570.341953747422 -3.95435343356394 -101.202575741677</f>
        <v>-675.49888292266303</v>
      </c>
      <c r="D514">
        <f>-593.390484849263 -14.0613818483573 -214.26382179814</f>
        <v>-821.71568849576033</v>
      </c>
      <c r="E514">
        <f>-601.772927318934 -21.2435594187223 -312.267857265944</f>
        <v>-935.28434400360015</v>
      </c>
      <c r="F514">
        <f>-605.345619953032 -27.4248009060625 -401.078191384721</f>
        <v>-1033.8486122438155</v>
      </c>
      <c r="G514">
        <f>-604.54853593663 -33.4003163921502 -489.970852785006</f>
        <v>-1127.9197051137862</v>
      </c>
      <c r="H514">
        <f>-598.848088914165 -41.6610439269766 -614.148420655259</f>
        <v>-1254.6575534964006</v>
      </c>
      <c r="I514">
        <f>-569.813292683478 -47.5485704507153 -691.784441265774</f>
        <v>-1309.1463043999674</v>
      </c>
      <c r="J514">
        <f>-601.315846028219 -10.377939929572 -561.341444916865</f>
        <v>-1173.035230874656</v>
      </c>
      <c r="K514" t="s">
        <v>4313</v>
      </c>
      <c r="L514" t="s">
        <v>4314</v>
      </c>
      <c r="M514" t="s">
        <v>4315</v>
      </c>
      <c r="N514">
        <f>-601.397349418041 -65.6739672823312 -557.666646016034</f>
        <v>-1224.7379627164062</v>
      </c>
      <c r="O514">
        <f>-610.353919061241 -197.839598561769 -520.942457254548</f>
        <v>-1329.1359748775581</v>
      </c>
      <c r="P514">
        <f>-646.876026606866 -237.603349643221 -231.674060363856</f>
        <v>-1116.1534366139431</v>
      </c>
      <c r="Q514">
        <f>-455.176715806748 -113.837868999211 -309.032776767875</f>
        <v>-878.047361573834</v>
      </c>
      <c r="R514" t="s">
        <v>4316</v>
      </c>
      <c r="S514" t="s">
        <v>4317</v>
      </c>
      <c r="T514" t="s">
        <v>4318</v>
      </c>
      <c r="U514" t="s">
        <v>4319</v>
      </c>
      <c r="V514">
        <f>-553.267460324637 -98.8308583012167 -97.0267260187936</f>
        <v>-749.12504464464735</v>
      </c>
      <c r="W514" t="s">
        <v>4320</v>
      </c>
      <c r="X514" t="s">
        <v>4321</v>
      </c>
      <c r="Y514" t="s">
        <v>4322</v>
      </c>
    </row>
    <row r="515" spans="1:25" x14ac:dyDescent="0.3">
      <c r="A515">
        <v>25700</v>
      </c>
      <c r="B515" t="s">
        <v>4323</v>
      </c>
      <c r="C515">
        <f>-570.69507905795 -3.72786343426174 -101.227471799166</f>
        <v>-675.65041429137773</v>
      </c>
      <c r="D515">
        <f>-593.7202250642 -13.7641555872065 -214.299753407637</f>
        <v>-821.78413405904348</v>
      </c>
      <c r="E515">
        <f>-602.010282716182 -20.878532323427 -312.316736154499</f>
        <v>-935.20555119410801</v>
      </c>
      <c r="F515">
        <f>-605.469935331679 -26.9954056921631 -401.135890430908</f>
        <v>-1033.6012314547502</v>
      </c>
      <c r="G515">
        <f>-604.530862524761 -32.9037775990664 -490.031609140911</f>
        <v>-1127.4662492647385</v>
      </c>
      <c r="H515">
        <f>-598.601509877528 -41.0682092848099 -614.204864596349</f>
        <v>-1253.8745837586869</v>
      </c>
      <c r="I515">
        <f>-569.457032801085 -46.9488073176653 -691.800290744303</f>
        <v>-1308.2061308630532</v>
      </c>
      <c r="J515">
        <f>-601.151682110035 -9.82596296826546 -561.377517186766</f>
        <v>-1172.3551622650666</v>
      </c>
      <c r="K515" t="s">
        <v>4324</v>
      </c>
      <c r="L515" t="s">
        <v>4325</v>
      </c>
      <c r="M515" t="s">
        <v>4326</v>
      </c>
      <c r="N515">
        <f>-601.269542806094 -65.1248604336363 -557.747317921489</f>
        <v>-1224.1417211612193</v>
      </c>
      <c r="O515">
        <f>-610.305558852558 -197.290147396798 -521.002156518525</f>
        <v>-1328.597862767881</v>
      </c>
      <c r="P515">
        <f>-645.361573222376 -237.258278771007 -231.580477352049</f>
        <v>-1114.200329345432</v>
      </c>
      <c r="Q515">
        <f>-453.015661781382 -112.612381637739 -305.858986079571</f>
        <v>-871.48702949869198</v>
      </c>
      <c r="R515" t="s">
        <v>4327</v>
      </c>
      <c r="S515" t="s">
        <v>4328</v>
      </c>
      <c r="T515" t="s">
        <v>4329</v>
      </c>
      <c r="U515" t="s">
        <v>4330</v>
      </c>
      <c r="V515">
        <f>-553.840264084034 -98.8167482343215 -97.07474365511</f>
        <v>-749.7317559734654</v>
      </c>
      <c r="W515" t="s">
        <v>4331</v>
      </c>
      <c r="X515" t="s">
        <v>4332</v>
      </c>
      <c r="Y515" t="s">
        <v>4333</v>
      </c>
    </row>
    <row r="516" spans="1:25" x14ac:dyDescent="0.3">
      <c r="A516">
        <v>25750</v>
      </c>
      <c r="B516" t="s">
        <v>4334</v>
      </c>
      <c r="C516">
        <f>-570.948737683359 -3.50118648464331 -101.248211710694</f>
        <v>-675.69813587869635</v>
      </c>
      <c r="D516">
        <f>-593.999025426526 -13.5077598135938 -214.318018864591</f>
        <v>-821.82480410471089</v>
      </c>
      <c r="E516">
        <f>-602.241495370244 -20.5556065895134 -312.343664558102</f>
        <v>-935.14076651785945</v>
      </c>
      <c r="F516">
        <f>-605.629683160959 -26.5958160364526 -401.17097514411</f>
        <v>-1033.3964743415215</v>
      </c>
      <c r="G516">
        <f>-604.589854573255 -32.4120891658451 -490.071607577188</f>
        <v>-1127.0735513162881</v>
      </c>
      <c r="H516">
        <f>-598.488564206126 -40.4313288800668 -614.245984919316</f>
        <v>-1253.1658780055086</v>
      </c>
      <c r="I516">
        <f>-569.280258567222 -46.2913256948568 -691.818974997952</f>
        <v>-1307.3905592600308</v>
      </c>
      <c r="J516">
        <f>-601.10726857894 -9.25086211416715 -561.385533354683</f>
        <v>-1171.7436640477902</v>
      </c>
      <c r="K516" t="s">
        <v>4335</v>
      </c>
      <c r="L516" t="s">
        <v>4336</v>
      </c>
      <c r="M516" t="s">
        <v>4337</v>
      </c>
      <c r="N516">
        <f>-601.239574437251 -64.553931535122 -557.820460956491</f>
        <v>-1223.6139669288641</v>
      </c>
      <c r="O516">
        <f>-610.33907901767 -196.721307324632 -521.114816070231</f>
        <v>-1328.1752024125331</v>
      </c>
      <c r="P516">
        <f>-644.526311746315 -237.017985165904 -231.634956360442</f>
        <v>-1113.1792532726608</v>
      </c>
      <c r="Q516">
        <f>-452.030815766232 -111.450010655804 -303.947083190958</f>
        <v>-867.42790961299397</v>
      </c>
      <c r="R516" t="s">
        <v>4338</v>
      </c>
      <c r="S516" t="s">
        <v>4339</v>
      </c>
      <c r="T516" t="s">
        <v>4340</v>
      </c>
      <c r="U516" t="s">
        <v>4341</v>
      </c>
      <c r="V516">
        <f>-554.168936494784 -98.631555520536 -97.1060837822637</f>
        <v>-749.90657579758374</v>
      </c>
      <c r="W516" t="s">
        <v>4342</v>
      </c>
      <c r="X516" t="s">
        <v>4343</v>
      </c>
      <c r="Y516" t="s">
        <v>4344</v>
      </c>
    </row>
    <row r="517" spans="1:25" x14ac:dyDescent="0.3">
      <c r="A517">
        <v>25800</v>
      </c>
      <c r="B517" t="s">
        <v>4345</v>
      </c>
      <c r="C517">
        <f>-571.503797779279 -3.07862531449928 -101.276397438754</f>
        <v>-675.85882053253226</v>
      </c>
      <c r="D517">
        <f>-594.611739113134 -13.0587659940218 -214.336649174891</f>
        <v>-822.00715428204683</v>
      </c>
      <c r="E517">
        <f>-602.733445904961 -20.0304494076352 -312.378026259652</f>
        <v>-935.14192157224807</v>
      </c>
      <c r="F517">
        <f>-605.942513856971 -25.9805114917142 -401.2179505924</f>
        <v>-1033.1409759410851</v>
      </c>
      <c r="G517">
        <f>-604.653278189925 -31.6857200803843 -490.122556207049</f>
        <v>-1126.4615544773583</v>
      </c>
      <c r="H517">
        <f>-598.129391871688 -39.5284253687958 -614.286808397415</f>
        <v>-1251.9446256378988</v>
      </c>
      <c r="I517">
        <f>-568.794075696604 -45.3450725839305 -691.815078342162</f>
        <v>-1305.9542266226963</v>
      </c>
      <c r="J517">
        <f>-600.952013020282 -8.42311571175014 -561.392471767735</f>
        <v>-1170.767600499767</v>
      </c>
      <c r="K517" t="s">
        <v>4346</v>
      </c>
      <c r="L517" t="s">
        <v>4347</v>
      </c>
      <c r="M517" t="s">
        <v>4348</v>
      </c>
      <c r="N517">
        <f>-601.04841263424 -63.731318797611 -557.904036654888</f>
        <v>-1222.6837680867391</v>
      </c>
      <c r="O517">
        <f>-610.000594821475 -195.892440309692 -521.13441554192</f>
        <v>-1327.0274506730871</v>
      </c>
      <c r="P517">
        <f>-642.835998108266 -236.200078320066 -231.499436905853</f>
        <v>-1110.535513334185</v>
      </c>
      <c r="Q517">
        <f>-449.858442942523 -109.082080596281 -299.702191488541</f>
        <v>-858.64271502734505</v>
      </c>
      <c r="R517" t="s">
        <v>4349</v>
      </c>
      <c r="S517" t="s">
        <v>4350</v>
      </c>
      <c r="T517" t="s">
        <v>4351</v>
      </c>
      <c r="U517" t="s">
        <v>4352</v>
      </c>
      <c r="V517">
        <f>-554.83034236109 -98.3153589234867 -97.1548978770368</f>
        <v>-750.30059916161338</v>
      </c>
      <c r="W517" t="s">
        <v>4353</v>
      </c>
      <c r="X517" t="s">
        <v>4354</v>
      </c>
      <c r="Y517" t="s">
        <v>4355</v>
      </c>
    </row>
    <row r="518" spans="1:25" x14ac:dyDescent="0.3">
      <c r="A518">
        <v>25850</v>
      </c>
      <c r="B518" t="s">
        <v>4356</v>
      </c>
      <c r="C518">
        <f>-571.720087271916 -2.9646055822011 -101.276571557796</f>
        <v>-675.96126441191313</v>
      </c>
      <c r="D518">
        <f>-594.886198522894 -12.9185116814401 -214.327428270881</f>
        <v>-822.13213847521513</v>
      </c>
      <c r="E518">
        <f>-602.952502722646 -19.8797036778958 -312.373929726037</f>
        <v>-935.20613612657883</v>
      </c>
      <c r="F518">
        <f>-606.069477775964 -25.8247585037848 -401.217438613547</f>
        <v>-1033.1116748932957</v>
      </c>
      <c r="G518">
        <f>-604.646397043613 -31.5290014879356 -490.120146896597</f>
        <v>-1126.2955454281455</v>
      </c>
      <c r="H518">
        <f>-597.892210474256 -39.3744887032924 -614.271852001084</f>
        <v>-1251.5385511786324</v>
      </c>
      <c r="I518">
        <f>-568.495989620622 -45.1315631705975 -691.781467437612</f>
        <v>-1305.4090202288317</v>
      </c>
      <c r="J518">
        <f>-600.850774596806 -8.26826612426612 -561.385616494956</f>
        <v>-1170.5046572160281</v>
      </c>
      <c r="K518" t="s">
        <v>4357</v>
      </c>
      <c r="L518" t="s">
        <v>4358</v>
      </c>
      <c r="M518" t="s">
        <v>4359</v>
      </c>
      <c r="N518">
        <f>-600.877972194452 -63.5760368374965 -557.892034795459</f>
        <v>-1222.3460438274076</v>
      </c>
      <c r="O518">
        <f>-609.642770722821 -195.700754863606 -520.977367935203</f>
        <v>-1326.3208935216298</v>
      </c>
      <c r="P518">
        <f>-642.294974778398 -235.73256219728 -231.283559667365</f>
        <v>-1109.3110966430431</v>
      </c>
      <c r="Q518">
        <f>-449.119312988161 -107.882172842326 -297.527871310552</f>
        <v>-854.52935714103899</v>
      </c>
      <c r="R518" t="s">
        <v>4360</v>
      </c>
      <c r="S518" t="s">
        <v>4361</v>
      </c>
      <c r="T518" t="s">
        <v>4362</v>
      </c>
      <c r="U518" t="s">
        <v>4363</v>
      </c>
      <c r="V518">
        <f>-555.083056102356 -98.2381619271848 -97.1675620573532</f>
        <v>-750.48878008689394</v>
      </c>
      <c r="W518" t="s">
        <v>4364</v>
      </c>
      <c r="X518" t="s">
        <v>4365</v>
      </c>
      <c r="Y518" t="s">
        <v>4366</v>
      </c>
    </row>
    <row r="519" spans="1:25" x14ac:dyDescent="0.3">
      <c r="A519">
        <v>25900</v>
      </c>
      <c r="B519" t="s">
        <v>4367</v>
      </c>
      <c r="C519">
        <f>-572.124231792018 -2.59591553358587 -101.27132810268</f>
        <v>-675.99147542828382</v>
      </c>
      <c r="D519">
        <f>-595.344301416131 -12.5940547627138 -214.307123613378</f>
        <v>-822.2454797922228</v>
      </c>
      <c r="E519">
        <f>-603.285385864812 -19.6261511865637 -312.358957609082</f>
        <v>-935.27049466045764</v>
      </c>
      <c r="F519">
        <f>-606.220347614614 -25.6500242651534 -401.203359111635</f>
        <v>-1033.0737309914025</v>
      </c>
      <c r="G519">
        <f>-604.547399810494 -31.4467060973102 -490.095680733522</f>
        <v>-1126.0897866413261</v>
      </c>
      <c r="H519">
        <f>-597.373660479778 -39.4362805228479 -614.214665528955</f>
        <v>-1251.024606531581</v>
      </c>
      <c r="I519">
        <f>-567.859792618039 -45.0749288809934 -691.688152937187</f>
        <v>-1304.6228744362195</v>
      </c>
      <c r="J519">
        <f>-600.596298360439 -8.26899845446314 -561.379706727594</f>
        <v>-1170.2450035424963</v>
      </c>
      <c r="K519" t="s">
        <v>4368</v>
      </c>
      <c r="L519" t="s">
        <v>4369</v>
      </c>
      <c r="M519" t="s">
        <v>4370</v>
      </c>
      <c r="N519">
        <f>-600.464454236334 -63.5719071349179 -557.812261098672</f>
        <v>-1221.8486224699238</v>
      </c>
      <c r="O519">
        <f>-608.820537665336 -195.62820557233 -520.550179263823</f>
        <v>-1324.998922501489</v>
      </c>
      <c r="P519">
        <f>-641.527340756271 -234.778461348487 -230.741951057712</f>
        <v>-1107.0477531624699</v>
      </c>
      <c r="Q519">
        <f>-448.260230694624 -105.641827653263 -294.164629240197</f>
        <v>-848.06668758808394</v>
      </c>
      <c r="R519" t="s">
        <v>4371</v>
      </c>
      <c r="S519" t="s">
        <v>4372</v>
      </c>
      <c r="T519" t="s">
        <v>4373</v>
      </c>
      <c r="U519" t="s">
        <v>4374</v>
      </c>
      <c r="V519">
        <f>-555.419901681995 -97.8728975694953 -97.1659305581572</f>
        <v>-750.45872980964759</v>
      </c>
      <c r="W519" t="s">
        <v>4375</v>
      </c>
      <c r="X519" t="s">
        <v>4376</v>
      </c>
      <c r="Y519" t="s">
        <v>4377</v>
      </c>
    </row>
    <row r="520" spans="1:25" x14ac:dyDescent="0.3">
      <c r="A520">
        <v>25950</v>
      </c>
      <c r="B520" t="s">
        <v>4378</v>
      </c>
      <c r="C520">
        <f>-572.189049896697 -2.36590276088032 -101.271135063109</f>
        <v>-675.82608772068636</v>
      </c>
      <c r="D520">
        <f>-595.440007036167 -12.4366767645881 -214.294181438437</f>
        <v>-822.17086523919215</v>
      </c>
      <c r="E520">
        <f>-603.34675117793 -19.5351287906983 -312.344007127872</f>
        <v>-935.22588709650017</v>
      </c>
      <c r="F520">
        <f>-606.226469022003 -25.6215519147079 -401.18587965702</f>
        <v>-1033.0339005937308</v>
      </c>
      <c r="G520">
        <f>-604.473624936066 -31.4832896289072 -490.072318388242</f>
        <v>-1126.0292329532153</v>
      </c>
      <c r="H520">
        <f>-597.163426901586 -39.566207409564 -614.177420396561</f>
        <v>-1250.907054707711</v>
      </c>
      <c r="I520">
        <f>-567.593002471096 -45.1737975259753 -691.6317718043</f>
        <v>-1304.3985718013714</v>
      </c>
      <c r="J520">
        <f>-600.497969101101 -8.35968268667284 -561.372620474699</f>
        <v>-1170.2302722624729</v>
      </c>
      <c r="K520" t="s">
        <v>4379</v>
      </c>
      <c r="L520" t="s">
        <v>4380</v>
      </c>
      <c r="M520" t="s">
        <v>4381</v>
      </c>
      <c r="N520">
        <f>-600.262450346356 -63.6591489632342 -557.757198900872</f>
        <v>-1221.6787982104622</v>
      </c>
      <c r="O520">
        <f>-608.367910104968 -195.681709866301 -520.314706383983</f>
        <v>-1324.3643263552522</v>
      </c>
      <c r="P520">
        <f>-641.223002756898 -234.190432283898 -230.437417883356</f>
        <v>-1105.8508529241519</v>
      </c>
      <c r="Q520">
        <f>-447.767942317191 -104.874193381763 -292.914003059478</f>
        <v>-845.55613875843198</v>
      </c>
      <c r="R520" t="s">
        <v>4382</v>
      </c>
      <c r="S520" t="s">
        <v>4383</v>
      </c>
      <c r="T520" t="s">
        <v>4384</v>
      </c>
      <c r="U520" t="s">
        <v>4385</v>
      </c>
      <c r="V520">
        <f>-555.368701184609 -97.5826203872618 -97.156967487828</f>
        <v>-750.10828905969879</v>
      </c>
      <c r="W520" t="s">
        <v>4386</v>
      </c>
      <c r="X520" t="s">
        <v>4387</v>
      </c>
      <c r="Y520" t="s">
        <v>4388</v>
      </c>
    </row>
    <row r="521" spans="1:25" x14ac:dyDescent="0.3">
      <c r="A521">
        <v>26000</v>
      </c>
      <c r="B521" t="s">
        <v>4389</v>
      </c>
      <c r="C521">
        <f>-572.225248937313 -2.24365420716663 -101.278047235082</f>
        <v>-675.74695037956167</v>
      </c>
      <c r="D521">
        <f>-595.491729627042 -12.4794025043632 -214.283022774472</f>
        <v>-822.25415490587716</v>
      </c>
      <c r="E521">
        <f>-603.347551373214 -19.772675563335 -312.322663118985</f>
        <v>-935.44289005553401</v>
      </c>
      <c r="F521">
        <f>-606.156040937056 -26.0587411634026 -401.1528650594</f>
        <v>-1033.3676471598587</v>
      </c>
      <c r="G521">
        <f>-604.308035797448 -32.1423892166349 -490.022549893667</f>
        <v>-1126.4729749077501</v>
      </c>
      <c r="H521">
        <f>-596.840039500691 -40.5582746327989 -614.095958173986</f>
        <v>-1251.494272307476</v>
      </c>
      <c r="I521">
        <f>-567.150514784135 -46.221487825849 -691.500697641799</f>
        <v>-1304.872700251783</v>
      </c>
      <c r="J521">
        <f>-600.338175097503 -9.21091791557683 -561.385403028505</f>
        <v>-1170.9344960415849</v>
      </c>
      <c r="K521" t="s">
        <v>4390</v>
      </c>
      <c r="L521" t="s">
        <v>4391</v>
      </c>
      <c r="M521" t="s">
        <v>4392</v>
      </c>
      <c r="N521">
        <f>-599.914453565924 -64.4986715245834 -557.609577651811</f>
        <v>-1222.0227027423184</v>
      </c>
      <c r="O521">
        <f>-607.489380214985 -196.431172792974 -519.727198862404</f>
        <v>-1323.6477518703628</v>
      </c>
      <c r="P521">
        <f>-640.280508090107 -234.572637384935 -229.794033567336</f>
        <v>-1104.647179042378</v>
      </c>
      <c r="Q521">
        <f>-447.525343124249 -103.734314033214 -291.256387459366</f>
        <v>-842.51604461682905</v>
      </c>
      <c r="R521" t="s">
        <v>4393</v>
      </c>
      <c r="S521" t="s">
        <v>4394</v>
      </c>
      <c r="T521" t="s">
        <v>4395</v>
      </c>
      <c r="U521" t="s">
        <v>4396</v>
      </c>
      <c r="V521">
        <f>-555.272595165268 -97.5891063731422 -97.0918069747797</f>
        <v>-749.95350851318983</v>
      </c>
      <c r="W521" t="s">
        <v>4397</v>
      </c>
      <c r="X521" t="s">
        <v>4398</v>
      </c>
      <c r="Y521" t="s">
        <v>4399</v>
      </c>
    </row>
    <row r="522" spans="1:25" x14ac:dyDescent="0.3">
      <c r="A522">
        <v>26050</v>
      </c>
      <c r="B522" t="s">
        <v>4400</v>
      </c>
      <c r="C522">
        <f>-572.139547276596 -2.31125280316428 -101.289593759482</f>
        <v>-675.7403938392423</v>
      </c>
      <c r="D522">
        <f>-595.394124625506 -12.6110668404947 -214.291283074748</f>
        <v>-822.2964745407487</v>
      </c>
      <c r="E522">
        <f>-603.229627731135 -20.0186059852233 -312.32383448813</f>
        <v>-935.57206820448823</v>
      </c>
      <c r="F522">
        <f>-606.016864683576 -26.4318865858604 -401.145808752975</f>
        <v>-1033.5945600224113</v>
      </c>
      <c r="G522">
        <f>-604.145647567631 -32.6654542371332 -490.004580846556</f>
        <v>-1126.8156826513202</v>
      </c>
      <c r="H522">
        <f>-596.643860494539 -41.3144754356831 -614.059916392853</f>
        <v>-1252.0182523230751</v>
      </c>
      <c r="I522">
        <f>-566.897534169266 -47.0645919255048 -691.43641748192</f>
        <v>-1305.3985435766908</v>
      </c>
      <c r="J522">
        <f>-600.199729438783 -9.86880049067622 -561.411689913539</f>
        <v>-1171.4802198429984</v>
      </c>
      <c r="K522" t="s">
        <v>4401</v>
      </c>
      <c r="L522" t="s">
        <v>4402</v>
      </c>
      <c r="M522" t="s">
        <v>4403</v>
      </c>
      <c r="N522">
        <f>-599.690360843532 -65.148247428564 -557.52689773787</f>
        <v>-1222.3655060099659</v>
      </c>
      <c r="O522">
        <f>-606.998627895556 -197.021019187024 -519.402990731878</f>
        <v>-1323.4226378144581</v>
      </c>
      <c r="P522">
        <f>-639.761530205863 -234.762559088212 -229.414352564062</f>
        <v>-1103.9384418581369</v>
      </c>
      <c r="Q522">
        <f>-447.195798920318 -103.64094912655 -290.86747269446</f>
        <v>-841.70422074132807</v>
      </c>
      <c r="R522" t="s">
        <v>4404</v>
      </c>
      <c r="S522" t="s">
        <v>4405</v>
      </c>
      <c r="T522" t="s">
        <v>4406</v>
      </c>
      <c r="U522" t="s">
        <v>4407</v>
      </c>
      <c r="V522">
        <f>-555.135929992309 -97.6649944653063 -97.0542267448058</f>
        <v>-749.8551512024211</v>
      </c>
      <c r="W522" t="s">
        <v>4408</v>
      </c>
      <c r="X522" t="s">
        <v>4409</v>
      </c>
      <c r="Y522" t="s">
        <v>4410</v>
      </c>
    </row>
    <row r="523" spans="1:25" x14ac:dyDescent="0.3">
      <c r="A523">
        <v>26100</v>
      </c>
      <c r="B523" t="s">
        <v>4411</v>
      </c>
      <c r="C523">
        <f>-572.135730190249 -2.8093904424104 -101.287890806904</f>
        <v>-676.23301143956337</v>
      </c>
      <c r="D523">
        <f>-595.301594455133 -13.1722228682058 -214.302076773093</f>
        <v>-822.77589409643178</v>
      </c>
      <c r="E523">
        <f>-603.071084829816 -20.8018280981623 -312.322838849533</f>
        <v>-936.1957517775113</v>
      </c>
      <c r="F523">
        <f>-605.806221661399 -27.4819926062739 -401.126678469207</f>
        <v>-1034.4148927368799</v>
      </c>
      <c r="G523">
        <f>-603.893006900483 -34.0466621726564 -489.960752324751</f>
        <v>-1127.9004213978903</v>
      </c>
      <c r="H523">
        <f>-596.345255670005 -43.2240892210282 -613.975348760587</f>
        <v>-1253.5446936516203</v>
      </c>
      <c r="I523">
        <f>-566.482322068181 -49.2237081185974 -691.287887645109</f>
        <v>-1306.9939178318873</v>
      </c>
      <c r="J523">
        <f>-599.977051206487 -11.5552264607391 -561.466271898324</f>
        <v>-1172.9985495655501</v>
      </c>
      <c r="K523" t="s">
        <v>4412</v>
      </c>
      <c r="L523" t="s">
        <v>4413</v>
      </c>
      <c r="M523" t="s">
        <v>4414</v>
      </c>
      <c r="N523">
        <f>-599.356262418906 -66.8159010922595 -557.339025352793</f>
        <v>-1223.5111888639585</v>
      </c>
      <c r="O523">
        <f>-606.418811535608 -198.541423222091 -518.64412835743</f>
        <v>-1323.604363115129</v>
      </c>
      <c r="P523">
        <f>-638.952422887991 -235.419982856533 -228.518769604092</f>
        <v>-1102.8911753486161</v>
      </c>
      <c r="Q523">
        <f>-446.671582458357 -104.229022916275 -290.711010076872</f>
        <v>-841.61161545150412</v>
      </c>
      <c r="R523" t="s">
        <v>4415</v>
      </c>
      <c r="S523" t="s">
        <v>4416</v>
      </c>
      <c r="T523" t="s">
        <v>4417</v>
      </c>
      <c r="U523" t="s">
        <v>4418</v>
      </c>
      <c r="V523">
        <f>-555.185922649684 -98.263991673834 -96.9770719072119</f>
        <v>-750.42698623072988</v>
      </c>
      <c r="W523" t="s">
        <v>4419</v>
      </c>
      <c r="X523" t="s">
        <v>4420</v>
      </c>
      <c r="Y523" t="s">
        <v>4421</v>
      </c>
    </row>
    <row r="524" spans="1:25" x14ac:dyDescent="0.3">
      <c r="A524">
        <v>26150</v>
      </c>
      <c r="B524" t="s">
        <v>4422</v>
      </c>
      <c r="C524">
        <f>-572.325178812525 -3.12532965774312 -101.289197417251</f>
        <v>-676.73970588751911</v>
      </c>
      <c r="D524">
        <f>-595.378327395432 -13.5065832237183 -214.324588516212</f>
        <v>-823.20949913536231</v>
      </c>
      <c r="E524">
        <f>-603.061507324866 -21.2493698749868 -312.343282043351</f>
        <v>-936.65415924320382</v>
      </c>
      <c r="F524">
        <f>-605.725220088442 -28.0692726958989 -401.138753025797</f>
        <v>-1034.933245810138</v>
      </c>
      <c r="G524">
        <f>-603.748521142342 -34.8103890082143 -489.958275243548</f>
        <v>-1128.5171853941042</v>
      </c>
      <c r="H524">
        <f>-596.121208610858 -44.2722048721491 -613.946594400219</f>
        <v>-1254.3400078832262</v>
      </c>
      <c r="I524">
        <f>-566.183345691189 -50.4162980713152 -691.218760050052</f>
        <v>-1307.818403812556</v>
      </c>
      <c r="J524">
        <f>-599.785092578212 -12.4829169549548 -561.512522646638</f>
        <v>-1173.7805321798048</v>
      </c>
      <c r="K524" t="s">
        <v>4423</v>
      </c>
      <c r="L524" t="s">
        <v>4424</v>
      </c>
      <c r="M524" t="s">
        <v>4425</v>
      </c>
      <c r="N524">
        <f>-599.17003335004 -67.7341945940123 -557.258359073274</f>
        <v>-1224.1625870173261</v>
      </c>
      <c r="O524">
        <f>-606.295951217236 -199.361995102044 -518.245473679178</f>
        <v>-1323.903419998458</v>
      </c>
      <c r="P524">
        <f>-638.698859701289 -235.509771519875 -228.013376554004</f>
        <v>-1102.2220077751681</v>
      </c>
      <c r="Q524">
        <f>-446.399060251688 -104.585596311545 -290.707551594525</f>
        <v>-841.69220815775793</v>
      </c>
      <c r="R524" t="s">
        <v>4426</v>
      </c>
      <c r="S524" t="s">
        <v>4427</v>
      </c>
      <c r="T524" t="s">
        <v>4428</v>
      </c>
      <c r="U524" t="s">
        <v>4429</v>
      </c>
      <c r="V524">
        <f>-555.523227140641 -98.7129218829457 -96.9239642569422</f>
        <v>-751.16011328052889</v>
      </c>
      <c r="W524" t="s">
        <v>4430</v>
      </c>
      <c r="X524" t="s">
        <v>4431</v>
      </c>
      <c r="Y524" t="s">
        <v>4432</v>
      </c>
    </row>
    <row r="525" spans="1:25" x14ac:dyDescent="0.3">
      <c r="A525">
        <v>26200</v>
      </c>
      <c r="B525" t="s">
        <v>4433</v>
      </c>
      <c r="C525">
        <f>-573.060782760959 -3.62236812464175 -101.284531970285</f>
        <v>-677.96768285588576</v>
      </c>
      <c r="D525">
        <f>-595.831012230766 -13.9639147593625 -214.380933664105</f>
        <v>-824.17586065423347</v>
      </c>
      <c r="E525">
        <f>-603.25891643265 -21.9096705755483 -312.40310350829</f>
        <v>-937.57169051648827</v>
      </c>
      <c r="F525">
        <f>-605.692925484648 -29.0042034069368 -401.183646489266</f>
        <v>-1035.8807753808508</v>
      </c>
      <c r="G525">
        <f>-603.490551677225 -36.1105734764622 -489.969270964284</f>
        <v>-1129.5703961179711</v>
      </c>
      <c r="H525">
        <f>-595.555159163472 -46.1767220350114 -613.890800989112</f>
        <v>-1255.6226821875953</v>
      </c>
      <c r="I525">
        <f>-565.436117038148 -52.6923671182158 -691.061993436469</f>
        <v>-1309.1904775928328</v>
      </c>
      <c r="J525">
        <f>-599.267115125056 -14.1311650283135 -561.616353465521</f>
        <v>-1175.0146336188905</v>
      </c>
      <c r="K525" t="s">
        <v>4434</v>
      </c>
      <c r="L525" t="s">
        <v>4435</v>
      </c>
      <c r="M525" t="s">
        <v>4436</v>
      </c>
      <c r="N525">
        <f>-598.827260818307 -69.3632114871052 -557.101667375774</f>
        <v>-1225.2921396811862</v>
      </c>
      <c r="O525">
        <f>-606.385524001858 -200.75811774591 -517.408952207739</f>
        <v>-1324.5525939555071</v>
      </c>
      <c r="P525">
        <f>-639.136280355972 -235.583500090782 -227.054275379189</f>
        <v>-1101.7740558259429</v>
      </c>
      <c r="Q525">
        <f>-446.443651438101 -105.586323229451 -290.466891219362</f>
        <v>-842.49686588691407</v>
      </c>
      <c r="R525" t="s">
        <v>4437</v>
      </c>
      <c r="S525" t="s">
        <v>4438</v>
      </c>
      <c r="T525" t="s">
        <v>4439</v>
      </c>
      <c r="U525" t="s">
        <v>4440</v>
      </c>
      <c r="V525">
        <f>-556.814532989924 -99.2884043756001 -96.8359592777821</f>
        <v>-752.93889664330618</v>
      </c>
      <c r="W525" t="s">
        <v>4441</v>
      </c>
      <c r="X525" t="s">
        <v>4442</v>
      </c>
      <c r="Y525" t="s">
        <v>4443</v>
      </c>
    </row>
    <row r="526" spans="1:25" x14ac:dyDescent="0.3">
      <c r="A526">
        <v>26250</v>
      </c>
      <c r="B526" t="s">
        <v>4444</v>
      </c>
      <c r="C526">
        <f>-573.451050786332 -3.63594116048148 -101.280399273358</f>
        <v>-678.36739122017138</v>
      </c>
      <c r="D526">
        <f>-596.062718714453 -13.9424809180512 -214.411847577484</f>
        <v>-824.41704720998814</v>
      </c>
      <c r="E526">
        <f>-603.333482535658 -21.9850125131527 -312.437878872839</f>
        <v>-937.75637392164981</v>
      </c>
      <c r="F526">
        <f>-605.620214606002 -29.2166263534762 -401.21118022105</f>
        <v>-1036.0480211805282</v>
      </c>
      <c r="G526">
        <f>-603.266867467013 -36.5109320426047 -489.977820988843</f>
        <v>-1129.7556204984608</v>
      </c>
      <c r="H526">
        <f>-595.118586793469 -46.8924010153164 -613.859383310068</f>
        <v>-1255.8703711188534</v>
      </c>
      <c r="I526">
        <f>-564.893435109783 -53.6328983716612 -690.969903029731</f>
        <v>-1309.4962365111751</v>
      </c>
      <c r="J526">
        <f>-598.839046333621 -14.7128110478268 -561.667939349797</f>
        <v>-1175.219796731245</v>
      </c>
      <c r="K526" t="s">
        <v>4445</v>
      </c>
      <c r="L526" t="s">
        <v>4446</v>
      </c>
      <c r="M526" t="s">
        <v>4447</v>
      </c>
      <c r="N526">
        <f>-598.569267402715 -69.9351669652388 -557.022555646619</f>
        <v>-1225.5269900145727</v>
      </c>
      <c r="O526">
        <f>-606.590190528703 -201.200257932361 -516.978279079329</f>
        <v>-1324.768727540393</v>
      </c>
      <c r="P526">
        <f>-639.812076592461 -235.387098526026 -226.601346320914</f>
        <v>-1101.8005214394011</v>
      </c>
      <c r="Q526">
        <f>-446.758040863632 -106.050586158073 -290.265087868287</f>
        <v>-843.07371488999206</v>
      </c>
      <c r="R526" t="s">
        <v>4448</v>
      </c>
      <c r="S526" t="s">
        <v>4449</v>
      </c>
      <c r="T526" t="s">
        <v>4450</v>
      </c>
      <c r="U526" t="s">
        <v>4451</v>
      </c>
      <c r="V526">
        <f>-557.434273846129 -99.2144245235615 -96.8075573259401</f>
        <v>-753.45625569563072</v>
      </c>
      <c r="W526" t="s">
        <v>4452</v>
      </c>
      <c r="X526" t="s">
        <v>4453</v>
      </c>
      <c r="Y526" t="s">
        <v>4454</v>
      </c>
    </row>
    <row r="527" spans="1:25" x14ac:dyDescent="0.3">
      <c r="A527">
        <v>26300</v>
      </c>
      <c r="B527" t="s">
        <v>4455</v>
      </c>
      <c r="C527">
        <f>-574.127329096862 -3.11635052266547 -101.333414623083</f>
        <v>-678.57709424261043</v>
      </c>
      <c r="D527">
        <f>-596.394101691237 -13.3136729663893 -214.543053773033</f>
        <v>-824.25082843065923</v>
      </c>
      <c r="E527">
        <f>-603.330743809779 -21.5251868241282 -312.579322864714</f>
        <v>-937.43525349862125</v>
      </c>
      <c r="F527">
        <f>-605.306265663084 -29.0116748750588 -401.339071634974</f>
        <v>-1035.6570121731168</v>
      </c>
      <c r="G527">
        <f>-602.636304220542 -36.6659804923227 -490.066323523745</f>
        <v>-1129.3686082366096</v>
      </c>
      <c r="H527">
        <f>-594.043865595675 -47.6611986189912 -613.864973122356</f>
        <v>-1255.5700373370223</v>
      </c>
      <c r="I527">
        <f>-563.563647779273 -54.8978631647603 -690.829951899013</f>
        <v>-1309.2914628430462</v>
      </c>
      <c r="J527">
        <f>-597.741199004686 -15.2218083457728 -561.832917269234</f>
        <v>-1174.7959246196929</v>
      </c>
      <c r="K527" t="s">
        <v>4456</v>
      </c>
      <c r="L527" t="s">
        <v>4457</v>
      </c>
      <c r="M527" t="s">
        <v>4458</v>
      </c>
      <c r="N527">
        <f>-597.908687463257 -70.4235613483247 -556.941712750324</f>
        <v>-1225.2739615619057</v>
      </c>
      <c r="O527">
        <f>-607.162182368804 -201.399578927407 -516.236589541356</f>
        <v>-1324.7983508375669</v>
      </c>
      <c r="P527">
        <f>-641.994891579975 -233.897280868026 -225.854380722682</f>
        <v>-1101.746553170683</v>
      </c>
      <c r="Q527">
        <f>-447.511358500978 -106.926743479176 -289.928539888913</f>
        <v>-844.36664186906705</v>
      </c>
      <c r="R527" t="s">
        <v>4459</v>
      </c>
      <c r="S527" t="s">
        <v>4460</v>
      </c>
      <c r="T527" t="s">
        <v>4461</v>
      </c>
      <c r="U527" t="s">
        <v>4462</v>
      </c>
      <c r="V527">
        <f>-558.726581108128 -98.5583404128847 -96.826068018813</f>
        <v>-754.11098953982571</v>
      </c>
      <c r="W527" t="s">
        <v>4463</v>
      </c>
      <c r="X527" t="s">
        <v>4464</v>
      </c>
      <c r="Y527" t="s">
        <v>4465</v>
      </c>
    </row>
    <row r="528" spans="1:25" x14ac:dyDescent="0.3">
      <c r="A528">
        <v>26350</v>
      </c>
      <c r="B528" t="s">
        <v>4466</v>
      </c>
      <c r="C528">
        <f>-574.423883540103 -2.80144537230626 -101.355237127498</f>
        <v>-678.58056603990724</v>
      </c>
      <c r="D528">
        <f>-596.546213592637 -12.9163364286665 -214.600587271834</f>
        <v>-824.0631372931374</v>
      </c>
      <c r="E528">
        <f>-603.330943008134 -21.2083902802617 -312.640687135689</f>
        <v>-937.18002042408466</v>
      </c>
      <c r="F528">
        <f>-605.161474174533 -28.8269204103481 -401.392382127658</f>
        <v>-1035.380776712539</v>
      </c>
      <c r="G528">
        <f>-602.340966481899 -36.6742014060151 -490.098068731106</f>
        <v>-1129.1132366190202</v>
      </c>
      <c r="H528">
        <f>-593.534300903103 -48.003504524137 -613.851452075806</f>
        <v>-1255.3892575030461</v>
      </c>
      <c r="I528">
        <f>-562.897891475539 -55.4826216214585 -690.731176048541</f>
        <v>-1309.1116891455385</v>
      </c>
      <c r="J528">
        <f>-597.198571996262 -15.4237676611069 -561.904739417986</f>
        <v>-1174.5270790753548</v>
      </c>
      <c r="K528" t="s">
        <v>4467</v>
      </c>
      <c r="L528" t="s">
        <v>4468</v>
      </c>
      <c r="M528" t="s">
        <v>4469</v>
      </c>
      <c r="N528">
        <f>-597.620832739099 -70.6122216143347 -556.88253166164</f>
        <v>-1225.1155860150736</v>
      </c>
      <c r="O528">
        <f>-607.5822153769 -201.438416579773 -515.86419544968</f>
        <v>-1324.884827406353</v>
      </c>
      <c r="P528">
        <f>-643.36313499738 -233.077172482219 -225.50244494583</f>
        <v>-1101.942752425429</v>
      </c>
      <c r="Q528">
        <f>-448.107390048179 -107.349215272031 -289.678573144443</f>
        <v>-845.13517846465299</v>
      </c>
      <c r="R528" t="s">
        <v>4470</v>
      </c>
      <c r="S528" t="s">
        <v>4471</v>
      </c>
      <c r="T528" t="s">
        <v>4472</v>
      </c>
      <c r="U528" t="s">
        <v>4473</v>
      </c>
      <c r="V528">
        <f>-559.40657596043 -98.2506905465341 -96.8346815905887</f>
        <v>-754.49194809755284</v>
      </c>
      <c r="W528" t="s">
        <v>4474</v>
      </c>
      <c r="X528" t="s">
        <v>4475</v>
      </c>
      <c r="Y528" t="s">
        <v>4476</v>
      </c>
    </row>
    <row r="529" spans="1:25" x14ac:dyDescent="0.3">
      <c r="A529">
        <v>26400</v>
      </c>
      <c r="B529" t="s">
        <v>4477</v>
      </c>
      <c r="C529">
        <f>-574.720502306459 -2.41773681040377 -101.40103508891</f>
        <v>-678.53927420577281</v>
      </c>
      <c r="D529">
        <f>-596.675199309498 -12.3828541955131 -214.692309038811</f>
        <v>-823.75036254382212</v>
      </c>
      <c r="E529">
        <f>-603.244791582148 -20.8424646400906 -312.732903553882</f>
        <v>-936.82015977612059</v>
      </c>
      <c r="F529">
        <f>-604.858863732107 -28.7271786399174 -401.465381952581</f>
        <v>-1035.0514243246055</v>
      </c>
      <c r="G529">
        <f>-601.804259023361 -36.95872581206 -490.128448288034</f>
        <v>-1128.891433123455</v>
      </c>
      <c r="H529">
        <f>-592.655933318474 -48.9490493659159 -613.794794291461</f>
        <v>-1255.399776975851</v>
      </c>
      <c r="I529">
        <f>-561.68721517927 -56.8776664548022 -690.496161270014</f>
        <v>-1309.0610429040862</v>
      </c>
      <c r="J529">
        <f>-596.21910120122 -16.0935040538488 -562.015105950266</f>
        <v>-1174.3277112053349</v>
      </c>
      <c r="K529" t="s">
        <v>4478</v>
      </c>
      <c r="L529" t="s">
        <v>4479</v>
      </c>
      <c r="M529" t="s">
        <v>4480</v>
      </c>
      <c r="N529">
        <f>-597.144199620151 -71.2518698468525 -556.735609796324</f>
        <v>-1225.1316792633274</v>
      </c>
      <c r="O529">
        <f>-608.472145318508 -201.776530578639 -515.127434926908</f>
        <v>-1325.3761108240551</v>
      </c>
      <c r="P529">
        <f>-645.884215066743 -231.957256987886 -224.816124231888</f>
        <v>-1102.657596286517</v>
      </c>
      <c r="Q529">
        <f>-449.21595938711 -108.545340542809 -289.174328007235</f>
        <v>-846.93562793715398</v>
      </c>
      <c r="R529" t="s">
        <v>4481</v>
      </c>
      <c r="S529" t="s">
        <v>4482</v>
      </c>
      <c r="T529" t="s">
        <v>4483</v>
      </c>
      <c r="U529" t="s">
        <v>4484</v>
      </c>
      <c r="V529">
        <f>-560.475951618821 -97.7526728635037 -96.8549851458736</f>
        <v>-755.08360962819825</v>
      </c>
      <c r="W529" t="s">
        <v>4485</v>
      </c>
      <c r="X529" t="s">
        <v>4486</v>
      </c>
      <c r="Y529" t="s">
        <v>4487</v>
      </c>
    </row>
    <row r="530" spans="1:25" x14ac:dyDescent="0.3">
      <c r="A530">
        <v>26450</v>
      </c>
      <c r="B530" t="s">
        <v>4488</v>
      </c>
      <c r="C530">
        <f>-574.753655521273 -2.1085811904079 -101.432654213574</f>
        <v>-678.29489092525489</v>
      </c>
      <c r="D530">
        <f>-596.660243864482 -11.996014553888 -214.740029206512</f>
        <v>-823.39628762488201</v>
      </c>
      <c r="E530">
        <f>-603.162803230167 -20.518906819811 -312.779466270119</f>
        <v>-936.46117632009702</v>
      </c>
      <c r="F530">
        <f>-604.708962757056 -28.5101197099648 -401.50377605601</f>
        <v>-1034.7228585230309</v>
      </c>
      <c r="G530">
        <f>-601.580337689584 -36.8986005385723 -490.14959201766</f>
        <v>-1128.6285302458164</v>
      </c>
      <c r="H530">
        <f>-592.324110985952 -49.1604593455627 -613.781190292336</f>
        <v>-1255.2657606238506</v>
      </c>
      <c r="I530">
        <f>-561.190300778822 -57.2793584346309 -690.395710359141</f>
        <v>-1308.8653695725939</v>
      </c>
      <c r="J530">
        <f>-595.826768080357 -16.1925982112452 -562.068914978558</f>
        <v>-1174.0882812701602</v>
      </c>
      <c r="K530" t="s">
        <v>4489</v>
      </c>
      <c r="L530" t="s">
        <v>4490</v>
      </c>
      <c r="M530" t="s">
        <v>4491</v>
      </c>
      <c r="N530">
        <f>-596.967995380901 -71.3366462766776 -556.685082251569</f>
        <v>-1224.9897239091476</v>
      </c>
      <c r="O530">
        <f>-608.866334975821 -201.747541794174 -514.84385955719</f>
        <v>-1325.4577363271851</v>
      </c>
      <c r="P530">
        <f>-646.963045041083 -231.308751386319 -224.55771596667</f>
        <v>-1102.829512394072</v>
      </c>
      <c r="Q530">
        <f>-449.830480983473 -108.588024746797 -288.817525432488</f>
        <v>-847.23603116275808</v>
      </c>
      <c r="R530" t="s">
        <v>4492</v>
      </c>
      <c r="S530" t="s">
        <v>4493</v>
      </c>
      <c r="T530" t="s">
        <v>4494</v>
      </c>
      <c r="U530" t="s">
        <v>4495</v>
      </c>
      <c r="V530">
        <f>-560.847975998838 -97.2911644732355 -96.8648593398862</f>
        <v>-755.00399981195972</v>
      </c>
      <c r="W530" t="s">
        <v>4496</v>
      </c>
      <c r="X530" t="s">
        <v>4497</v>
      </c>
      <c r="Y530" t="s">
        <v>4498</v>
      </c>
    </row>
    <row r="531" spans="1:25" x14ac:dyDescent="0.3">
      <c r="A531">
        <v>26500</v>
      </c>
      <c r="B531" t="s">
        <v>4499</v>
      </c>
      <c r="C531">
        <f>-574.596780318808 -1.40194370078302 -101.503098145081</f>
        <v>-677.50182216467203</v>
      </c>
      <c r="D531">
        <f>-596.444843247116 -11.1576935446035 -214.833143661567</f>
        <v>-822.43568045328641</v>
      </c>
      <c r="E531">
        <f>-602.88088987219 -19.7603451830742 -312.870025395151</f>
        <v>-935.51126045041519</v>
      </c>
      <c r="F531">
        <f>-604.364543896446 -27.895696762896 -401.582248592825</f>
        <v>-1033.8424892521671</v>
      </c>
      <c r="G531">
        <f>-601.173566731634 -36.5023700647714 -490.20500120271</f>
        <v>-1127.8809379991153</v>
      </c>
      <c r="H531">
        <f>-591.832545055791 -49.1458290637781 -613.791759656164</f>
        <v>-1254.770133775733</v>
      </c>
      <c r="I531">
        <f>-560.39702046145 -57.5542357293175 -690.251896795623</f>
        <v>-1308.2031529863905</v>
      </c>
      <c r="J531">
        <f>-595.181938984767 -16.0214713259606 -562.169299729721</f>
        <v>-1173.3727100404487</v>
      </c>
      <c r="K531" t="s">
        <v>4500</v>
      </c>
      <c r="L531" t="s">
        <v>4501</v>
      </c>
      <c r="M531" t="s">
        <v>4502</v>
      </c>
      <c r="N531">
        <f>-596.704216006164 -71.1425942589933 -556.64539906613</f>
        <v>-1224.4922093312873</v>
      </c>
      <c r="O531">
        <f>-609.574749577057 -201.36473874203 -514.518110718008</f>
        <v>-1325.457599037095</v>
      </c>
      <c r="P531">
        <f>-648.748621833826 -229.782563315959 -224.261216750722</f>
        <v>-1102.792401900507</v>
      </c>
      <c r="Q531">
        <f>-450.910596510806 -108.146709862456 -288.414972105385</f>
        <v>-847.47227847864701</v>
      </c>
      <c r="R531" t="s">
        <v>4503</v>
      </c>
      <c r="S531" t="s">
        <v>4504</v>
      </c>
      <c r="T531" t="s">
        <v>4505</v>
      </c>
      <c r="U531" t="s">
        <v>4506</v>
      </c>
      <c r="V531">
        <f>-561.267052316992 -96.4425922752046 -96.8782010730207</f>
        <v>-754.58784566521729</v>
      </c>
      <c r="W531" t="s">
        <v>4507</v>
      </c>
      <c r="X531" t="s">
        <v>4508</v>
      </c>
      <c r="Y531" t="s">
        <v>4509</v>
      </c>
    </row>
    <row r="532" spans="1:25" x14ac:dyDescent="0.3">
      <c r="A532">
        <v>26550</v>
      </c>
      <c r="B532" t="s">
        <v>4510</v>
      </c>
      <c r="C532">
        <f>-574.421064046809 -1.14441068510268 -101.515525056498</f>
        <v>-677.0809997884096</v>
      </c>
      <c r="D532">
        <f>-596.245444950012 -10.8539312375749 -214.854124423254</f>
        <v>-821.95350061084093</v>
      </c>
      <c r="E532">
        <f>-602.684458286702 -19.4805222250302 -312.888729725179</f>
        <v>-935.05371023691123</v>
      </c>
      <c r="F532">
        <f>-604.181429455314 -27.6601967071961 -401.596717583463</f>
        <v>-1033.438343745973</v>
      </c>
      <c r="G532">
        <f>-601.015351948847 -36.3339181726867 -490.213664452633</f>
        <v>-1127.5629345741668</v>
      </c>
      <c r="H532">
        <f>-591.721410975724 -49.0945306516528 -613.792008017554</f>
        <v>-1254.6079496449308</v>
      </c>
      <c r="I532">
        <f>-560.163550474648 -57.588054721966 -690.192273944508</f>
        <v>-1307.9438791411221</v>
      </c>
      <c r="J532">
        <f>-594.969827011372 -15.9230579717807 -562.193531311889</f>
        <v>-1173.0864162950418</v>
      </c>
      <c r="K532" t="s">
        <v>4511</v>
      </c>
      <c r="L532" t="s">
        <v>4512</v>
      </c>
      <c r="M532" t="s">
        <v>4513</v>
      </c>
      <c r="N532">
        <f>-596.652682804133 -71.0353901143383 -556.629290419011</f>
        <v>-1224.3173633374822</v>
      </c>
      <c r="O532">
        <f>-609.941624022601 -201.187119588444 -514.413104175134</f>
        <v>-1325.541847786179</v>
      </c>
      <c r="P532">
        <f>-649.383744739222 -229.4611602609 -224.178448690412</f>
        <v>-1103.0233536905341</v>
      </c>
      <c r="Q532">
        <f>-451.524596770038 -107.77429372954 -288.169853805721</f>
        <v>-847.46874430529897</v>
      </c>
      <c r="R532" t="s">
        <v>4514</v>
      </c>
      <c r="S532" t="s">
        <v>4515</v>
      </c>
      <c r="T532" t="s">
        <v>4516</v>
      </c>
      <c r="U532" t="s">
        <v>4517</v>
      </c>
      <c r="V532">
        <f>-561.354394823559 -96.0894904263334 -96.8671524669509</f>
        <v>-754.31103771684332</v>
      </c>
      <c r="W532" t="s">
        <v>4518</v>
      </c>
      <c r="X532" t="s">
        <v>4519</v>
      </c>
      <c r="Y532" t="s">
        <v>4520</v>
      </c>
    </row>
    <row r="533" spans="1:25" x14ac:dyDescent="0.3">
      <c r="A533">
        <v>26600</v>
      </c>
      <c r="B533" t="s">
        <v>4521</v>
      </c>
      <c r="C533">
        <f>-574.03715991237 -0.610421602031238 -101.537027133724</f>
        <v>-676.18460864812528</v>
      </c>
      <c r="D533">
        <f>-595.94624637763 -10.2456171286447 -214.86574516314</f>
        <v>-821.05760866941466</v>
      </c>
      <c r="E533">
        <f>-602.493402516555 -18.8670437599385 -312.893521050614</f>
        <v>-934.25396732710749</v>
      </c>
      <c r="F533">
        <f>-604.10386236917 -27.0617294207666 -401.598032145004</f>
        <v>-1032.7636239349406</v>
      </c>
      <c r="G533">
        <f>-601.066932716045 -35.7714761523548 -490.216062413144</f>
        <v>-1127.0544712815438</v>
      </c>
      <c r="H533">
        <f>-591.97037058195 -48.6034088014153 -613.801773721126</f>
        <v>-1254.3755531044912</v>
      </c>
      <c r="I533">
        <f>-560.207850012429 -57.1814996207613 -690.107548872833</f>
        <v>-1307.4968985060234</v>
      </c>
      <c r="J533">
        <f>-595.014156237775 -15.405126639291 -562.207925076796</f>
        <v>-1172.6272079538619</v>
      </c>
      <c r="K533" t="s">
        <v>4522</v>
      </c>
      <c r="L533" t="s">
        <v>4523</v>
      </c>
      <c r="M533" t="s">
        <v>4524</v>
      </c>
      <c r="N533">
        <f>-596.932495371654 -70.5083284640079 -556.627736927978</f>
        <v>-1224.0685607636401</v>
      </c>
      <c r="O533">
        <f>-610.82527513848 -200.576702671489 -514.372570425101</f>
        <v>-1325.7745482350701</v>
      </c>
      <c r="P533">
        <f>-650.444559209368 -228.748289333977 -224.152186172333</f>
        <v>-1103.3450347156779</v>
      </c>
      <c r="Q533">
        <f>-452.676166338585 -106.758807245239 -287.847486304305</f>
        <v>-847.28245988812898</v>
      </c>
      <c r="R533" t="s">
        <v>4525</v>
      </c>
      <c r="S533" t="s">
        <v>4526</v>
      </c>
      <c r="T533" t="s">
        <v>4527</v>
      </c>
      <c r="U533" t="s">
        <v>4528</v>
      </c>
      <c r="V533">
        <f>-561.49029510285 -95.5014127391221 -96.8394337041776</f>
        <v>-753.83114154614975</v>
      </c>
      <c r="W533" t="s">
        <v>4529</v>
      </c>
      <c r="X533" t="s">
        <v>4530</v>
      </c>
      <c r="Y533" t="s">
        <v>4531</v>
      </c>
    </row>
    <row r="534" spans="1:25" x14ac:dyDescent="0.3">
      <c r="A534">
        <v>26650</v>
      </c>
      <c r="B534" t="s">
        <v>4532</v>
      </c>
      <c r="C534">
        <f>-573.884788446193 -0.471846867086697 -101.537853600862</f>
        <v>-675.89448891414179</v>
      </c>
      <c r="D534">
        <f>-595.860760747224 -10.0862610616132 -214.855272751689</f>
        <v>-820.80229456052621</v>
      </c>
      <c r="E534">
        <f>-602.475421505949 -18.6940647294955 -312.879800615379</f>
        <v>-934.04928685082359</v>
      </c>
      <c r="F534">
        <f>-604.150677466321 -26.8776949061328 -401.584150179252</f>
        <v>-1032.6125225517058</v>
      </c>
      <c r="G534">
        <f>-601.182459679876 -35.5775632604677 -490.20551878954</f>
        <v>-1126.9655417298839</v>
      </c>
      <c r="H534">
        <f>-592.186083573455 -48.397213995235 -613.799758569194</f>
        <v>-1254.3830561378841</v>
      </c>
      <c r="I534">
        <f>-560.321376219938 -56.9864329064676 -690.061670791873</f>
        <v>-1307.3694799182786</v>
      </c>
      <c r="J534">
        <f>-595.156817185418 -15.2050630058941 -562.197805289282</f>
        <v>-1172.559685480594</v>
      </c>
      <c r="K534" t="s">
        <v>4533</v>
      </c>
      <c r="L534" t="s">
        <v>4534</v>
      </c>
      <c r="M534" t="s">
        <v>4535</v>
      </c>
      <c r="N534">
        <f>-597.13311393197 -70.3068561096079 -556.626256108589</f>
        <v>-1224.066226150167</v>
      </c>
      <c r="O534">
        <f>-611.2033668942 -200.366009297101 -514.402500792305</f>
        <v>-1325.9718769836059</v>
      </c>
      <c r="P534">
        <f>-650.785005428592 -228.672309111582 -224.190039996499</f>
        <v>-1103.647354536673</v>
      </c>
      <c r="Q534">
        <f>-453.201518855171 -106.411962273172 -287.939862065933</f>
        <v>-847.55334319427607</v>
      </c>
      <c r="R534" t="s">
        <v>4536</v>
      </c>
      <c r="S534" t="s">
        <v>4537</v>
      </c>
      <c r="T534" t="s">
        <v>4538</v>
      </c>
      <c r="U534" t="s">
        <v>4539</v>
      </c>
      <c r="V534">
        <f>-561.410354551304 -95.4414004600433 -96.8332455683259</f>
        <v>-753.6850005796731</v>
      </c>
      <c r="W534" t="s">
        <v>4540</v>
      </c>
      <c r="X534" t="s">
        <v>4541</v>
      </c>
      <c r="Y534" t="s">
        <v>4542</v>
      </c>
    </row>
    <row r="535" spans="1:25" x14ac:dyDescent="0.3">
      <c r="A535">
        <v>26700</v>
      </c>
      <c r="B535" t="s">
        <v>4543</v>
      </c>
      <c r="C535">
        <f>-573.463310119698 -0.314173873988466 -101.525946045164</f>
        <v>-675.30343003885048</v>
      </c>
      <c r="D535">
        <f>-595.481960672002 -9.90473483337905 -214.837141341762</f>
        <v>-820.22383684714305</v>
      </c>
      <c r="E535">
        <f>-602.183258338589 -18.5166678961064 -312.855364379304</f>
        <v>-933.55529061399932</v>
      </c>
      <c r="F535">
        <f>-603.957608903003 -26.7136954009216 -401.55653517946</f>
        <v>-1032.2278394833845</v>
      </c>
      <c r="G535">
        <f>-601.109642698109 -35.4367508209639 -490.179489274154</f>
        <v>-1126.7258827932269</v>
      </c>
      <c r="H535">
        <f>-592.303285188392 -48.2993047763202 -613.783025151701</f>
        <v>-1254.3856151164132</v>
      </c>
      <c r="I535">
        <f>-560.230640408317 -56.9000720980443 -689.956497816321</f>
        <v>-1307.0872103226823</v>
      </c>
      <c r="J535">
        <f>-595.167228740524 -15.0899168423994 -562.186079441227</f>
        <v>-1172.4432250241503</v>
      </c>
      <c r="K535" t="s">
        <v>4544</v>
      </c>
      <c r="L535" t="s">
        <v>4545</v>
      </c>
      <c r="M535" t="s">
        <v>4546</v>
      </c>
      <c r="N535">
        <f>-597.189732616262 -70.1882825771002 -556.596504882054</f>
        <v>-1223.974520075416</v>
      </c>
      <c r="O535">
        <f>-611.263661378632 -200.264535081556 -514.440136416514</f>
        <v>-1325.9683328767019</v>
      </c>
      <c r="P535">
        <f>-650.489289779546 -228.71143093372 -224.193064564227</f>
        <v>-1103.393785277493</v>
      </c>
      <c r="Q535">
        <f>-454.028857095467 -104.959127333186 -288.532400561476</f>
        <v>-847.52038499012906</v>
      </c>
      <c r="R535" t="s">
        <v>4547</v>
      </c>
      <c r="S535" t="s">
        <v>4548</v>
      </c>
      <c r="T535" t="s">
        <v>4549</v>
      </c>
      <c r="U535" t="s">
        <v>4550</v>
      </c>
      <c r="V535">
        <f>-560.949953580186 -95.2588626347563 -96.8193341840936</f>
        <v>-753.02815039903589</v>
      </c>
      <c r="W535" t="s">
        <v>4551</v>
      </c>
      <c r="X535" t="s">
        <v>4552</v>
      </c>
      <c r="Y535" t="s">
        <v>4553</v>
      </c>
    </row>
    <row r="536" spans="1:25" x14ac:dyDescent="0.3">
      <c r="A536">
        <v>26750</v>
      </c>
      <c r="B536" t="s">
        <v>4554</v>
      </c>
      <c r="C536">
        <f>-573.124082402124 -0.215749092599481 -101.514360953706</f>
        <v>-674.85419244842956</v>
      </c>
      <c r="D536">
        <f>-595.149860633037 -9.83298406233439 -214.821906944012</f>
        <v>-819.80475163938331</v>
      </c>
      <c r="E536">
        <f>-601.903053433456 -18.4656952313958 -312.834754868507</f>
        <v>-933.2035035333588</v>
      </c>
      <c r="F536">
        <f>-603.742748854448 -26.6809893217328 -401.532952067376</f>
        <v>-1031.9566902435567</v>
      </c>
      <c r="G536">
        <f>-600.978675836737 -35.4223968859394 -490.156803050326</f>
        <v>-1126.5578757730025</v>
      </c>
      <c r="H536">
        <f>-592.308426919583 -48.3102542866461 -613.767305540288</f>
        <v>-1254.3859867465171</v>
      </c>
      <c r="I536">
        <f>-560.135814618712 -56.8881725899282 -689.901210439168</f>
        <v>-1306.9251976478081</v>
      </c>
      <c r="J536">
        <f>-595.116795356246 -15.0903515131549 -562.17402462649</f>
        <v>-1172.3811714958911</v>
      </c>
      <c r="K536" t="s">
        <v>4555</v>
      </c>
      <c r="L536" t="s">
        <v>4556</v>
      </c>
      <c r="M536" t="s">
        <v>4557</v>
      </c>
      <c r="N536">
        <f>-597.130517813082 -70.1876209510699 -556.570732841611</f>
        <v>-1223.8888716057627</v>
      </c>
      <c r="O536">
        <f>-611.092703193078 -200.292086416542 -514.442505182707</f>
        <v>-1325.8272947923269</v>
      </c>
      <c r="P536">
        <f>-649.778464044947 -229.227756549884 -224.171331568062</f>
        <v>-1103.1775521628929</v>
      </c>
      <c r="Q536">
        <f>-454.72881366079 -103.553150894684 -289.074486459226</f>
        <v>-847.35645101470004</v>
      </c>
      <c r="R536" t="s">
        <v>4558</v>
      </c>
      <c r="S536" t="s">
        <v>4559</v>
      </c>
      <c r="T536" t="s">
        <v>4560</v>
      </c>
      <c r="U536" t="s">
        <v>4561</v>
      </c>
      <c r="V536">
        <f>-560.621609371549 -95.1561407475037 -96.8160874693893</f>
        <v>-752.59383758844206</v>
      </c>
      <c r="W536" t="s">
        <v>4562</v>
      </c>
      <c r="X536" t="s">
        <v>4563</v>
      </c>
      <c r="Y536" t="s">
        <v>4564</v>
      </c>
    </row>
    <row r="537" spans="1:25" x14ac:dyDescent="0.3">
      <c r="A537">
        <v>26800</v>
      </c>
      <c r="B537" t="s">
        <v>4565</v>
      </c>
      <c r="C537" t="s">
        <v>4566</v>
      </c>
      <c r="D537">
        <f>-594.776488587461 -9.54063636856699 -214.810323240029</f>
        <v>-819.127448196057</v>
      </c>
      <c r="E537">
        <f>-601.588678418292 -18.1965843326914 -312.817121328108</f>
        <v>-932.60238407909139</v>
      </c>
      <c r="F537">
        <f>-603.497072255779 -26.4393511780584 -401.511269914124</f>
        <v>-1031.4476933479614</v>
      </c>
      <c r="G537">
        <f>-600.817221099586 -35.2137613027269 -490.134426840055</f>
        <v>-1126.165409242368</v>
      </c>
      <c r="H537">
        <f>-592.281094544642 -48.1543991266772 -613.748606587088</f>
        <v>-1254.1841002584072</v>
      </c>
      <c r="I537">
        <f>-559.832743407056 -56.6064324654085 -689.779636238013</f>
        <v>-1306.2188121104775</v>
      </c>
      <c r="J537">
        <f>-595.066482349008 -14.9116628343377 -562.169148568354</f>
        <v>-1172.1472937516996</v>
      </c>
      <c r="K537" t="s">
        <v>4567</v>
      </c>
      <c r="L537" t="s">
        <v>4568</v>
      </c>
      <c r="M537" t="s">
        <v>4569</v>
      </c>
      <c r="N537">
        <f>-597.008453593013 -70.0084171298095 -556.535387611606</f>
        <v>-1223.5522583344284</v>
      </c>
      <c r="O537">
        <f>-610.578892058306 -200.146431830813 -514.392538789598</f>
        <v>-1325.1178626787168</v>
      </c>
      <c r="P537">
        <f>-648.10069043316 -229.768145384467 -224.037647475166</f>
        <v>-1101.9064832927932</v>
      </c>
      <c r="Q537">
        <f>-455.586861084548 -100.737010678419 -289.918304007823</f>
        <v>-846.24217577079003</v>
      </c>
      <c r="R537" t="s">
        <v>4570</v>
      </c>
      <c r="S537" t="s">
        <v>4571</v>
      </c>
      <c r="T537" t="s">
        <v>4572</v>
      </c>
      <c r="U537" t="s">
        <v>4573</v>
      </c>
      <c r="V537">
        <f>-560.206895150849 -94.7965318704705 -96.8490097702971</f>
        <v>-751.8524367916167</v>
      </c>
      <c r="W537" t="s">
        <v>4574</v>
      </c>
      <c r="X537" t="s">
        <v>4575</v>
      </c>
      <c r="Y537" t="s">
        <v>4576</v>
      </c>
    </row>
    <row r="538" spans="1:25" x14ac:dyDescent="0.3">
      <c r="A538">
        <v>26850</v>
      </c>
      <c r="B538" t="s">
        <v>4577</v>
      </c>
      <c r="C538" t="s">
        <v>4578</v>
      </c>
      <c r="D538">
        <f>-594.871176767117 -9.1616266217145 -214.807714383377</f>
        <v>-818.84051777220861</v>
      </c>
      <c r="E538">
        <f>-601.751004039797 -17.8253539271054 -312.809026792831</f>
        <v>-932.38538475973337</v>
      </c>
      <c r="F538">
        <f>-603.705436717188 -26.0634809154453 -401.502657386048</f>
        <v>-1031.2715750186812</v>
      </c>
      <c r="G538">
        <f>-601.055526620168 -34.8224342895853 -490.128322140654</f>
        <v>-1126.0062830504073</v>
      </c>
      <c r="H538">
        <f>-592.544967069969 -47.7314399395984 -613.747756695307</f>
        <v>-1254.0241637048744</v>
      </c>
      <c r="I538">
        <f>-559.932882703177 -56.080331137576 -689.719825881066</f>
        <v>-1305.7330397218188</v>
      </c>
      <c r="J538">
        <f>-595.349760177278 -14.5007898173394 -562.161094317986</f>
        <v>-1172.0116443126035</v>
      </c>
      <c r="K538" t="s">
        <v>4579</v>
      </c>
      <c r="L538" t="s">
        <v>4580</v>
      </c>
      <c r="M538" t="s">
        <v>4581</v>
      </c>
      <c r="N538">
        <f>-597.23023718531 -69.6006710637982 -556.53673665608</f>
        <v>-1223.3676449051882</v>
      </c>
      <c r="O538">
        <f>-610.523348672152 -199.762455264229 -514.383571256121</f>
        <v>-1324.6693751925018</v>
      </c>
      <c r="P538">
        <f>-647.025531435744 -230.232258921429 -223.986667668359</f>
        <v>-1101.2444580255319</v>
      </c>
      <c r="Q538">
        <f>-456.296402064253 -98.7660722670735 -290.243413305012</f>
        <v>-845.30588763633841</v>
      </c>
      <c r="R538" t="s">
        <v>4582</v>
      </c>
      <c r="S538" t="s">
        <v>4583</v>
      </c>
      <c r="T538" t="s">
        <v>4584</v>
      </c>
      <c r="U538" t="s">
        <v>4585</v>
      </c>
      <c r="V538">
        <f>-559.996362952781 -94.2178967839143 -96.8975551732996</f>
        <v>-751.11181490999491</v>
      </c>
      <c r="W538" t="s">
        <v>4586</v>
      </c>
      <c r="X538" t="s">
        <v>4587</v>
      </c>
      <c r="Y538" t="s">
        <v>4588</v>
      </c>
    </row>
    <row r="539" spans="1:25" x14ac:dyDescent="0.3">
      <c r="A539">
        <v>26900</v>
      </c>
      <c r="B539" t="s">
        <v>4589</v>
      </c>
      <c r="C539" t="s">
        <v>4590</v>
      </c>
      <c r="D539">
        <f>-595.604536386306 -8.20188159263421 -214.726345082884</f>
        <v>-818.5327630618242</v>
      </c>
      <c r="E539">
        <f>-602.700809743011 -16.8559725341931 -312.712998704856</f>
        <v>-932.26978098206007</v>
      </c>
      <c r="F539">
        <f>-604.811629232941 -25.0277728333851 -401.40925953735</f>
        <v>-1031.2486616036761</v>
      </c>
      <c r="G539">
        <f>-602.277423275021 -33.6675161286396 -490.049919396507</f>
        <v>-1125.9948588001675</v>
      </c>
      <c r="H539">
        <f>-593.884700650505 -46.3608132145423 -613.699703655825</f>
        <v>-1253.9452175208723</v>
      </c>
      <c r="I539">
        <f>-560.93605771452 -54.4472932011129 -689.554928888557</f>
        <v>-1304.9382798041897</v>
      </c>
      <c r="J539">
        <f>-596.761093741301 -13.2173704502943 -562.061004183838</f>
        <v>-1172.0394683754334</v>
      </c>
      <c r="K539" t="s">
        <v>4591</v>
      </c>
      <c r="L539" t="s">
        <v>4592</v>
      </c>
      <c r="M539" t="s">
        <v>4593</v>
      </c>
      <c r="N539">
        <f>-598.394624906675 -68.3329281256738 -556.513925080553</f>
        <v>-1223.2414781129019</v>
      </c>
      <c r="O539">
        <f>-610.771648379259 -198.670889799968 -514.618169765154</f>
        <v>-1324.060707944381</v>
      </c>
      <c r="P539">
        <f>-645.106216298155 -229.978651983425 -224.046117932172</f>
        <v>-1099.1309862137521</v>
      </c>
      <c r="Q539">
        <f>-457.225215118509 -95.0991905122348 -291.56737138604</f>
        <v>-843.89177701678386</v>
      </c>
      <c r="R539" t="s">
        <v>4594</v>
      </c>
      <c r="S539" t="s">
        <v>4595</v>
      </c>
      <c r="T539" t="s">
        <v>4596</v>
      </c>
      <c r="U539" t="s">
        <v>4597</v>
      </c>
      <c r="V539">
        <f>-559.273288345957 -92.7898424658765 -96.9396003384504</f>
        <v>-749.00273115028392</v>
      </c>
      <c r="W539" t="s">
        <v>4598</v>
      </c>
      <c r="X539" t="s">
        <v>4599</v>
      </c>
      <c r="Y539" t="s">
        <v>4600</v>
      </c>
    </row>
    <row r="540" spans="1:25" x14ac:dyDescent="0.3">
      <c r="A540">
        <v>26950</v>
      </c>
      <c r="B540" t="s">
        <v>4601</v>
      </c>
      <c r="C540" t="s">
        <v>4602</v>
      </c>
      <c r="D540">
        <f>-595.802044515625 -8.04860453332185 -214.690318758613</f>
        <v>-818.54096780755981</v>
      </c>
      <c r="E540">
        <f>-602.989923288345 -16.6752127775476 -312.672854018436</f>
        <v>-932.33799008432857</v>
      </c>
      <c r="F540">
        <f>-605.180870966846 -24.7837154556494 -401.372869635466</f>
        <v>-1031.3374560579614</v>
      </c>
      <c r="G540">
        <f>-602.722834463053 -33.3233523680658 -490.025407697471</f>
        <v>-1126.0715945285897</v>
      </c>
      <c r="H540">
        <f>-594.431664202003 -45.8407114709371 -613.69988600696</f>
        <v>-1253.9722616799002</v>
      </c>
      <c r="I540">
        <f>-561.328145242288 -53.7381834172618 -689.507711950598</f>
        <v>-1304.5740406101477</v>
      </c>
      <c r="J540">
        <f>-597.347549919704 -12.7690339508047 -562.017490471931</f>
        <v>-1172.1340743424396</v>
      </c>
      <c r="K540" t="s">
        <v>4603</v>
      </c>
      <c r="L540" t="s">
        <v>4604</v>
      </c>
      <c r="M540" t="s">
        <v>4605</v>
      </c>
      <c r="N540">
        <f>-598.812863738445 -67.895843684433 -556.536249923617</f>
        <v>-1223.2449573464951</v>
      </c>
      <c r="O540">
        <f>-610.627286627379 -198.387231912337 -514.933025930689</f>
        <v>-1323.9475444704051</v>
      </c>
      <c r="P540">
        <f>-644.275668981171 -229.829107650076 -224.295172854404</f>
        <v>-1098.399949485651</v>
      </c>
      <c r="Q540">
        <f>-457.02693807668 -94.4248761107697 -292.518971444494</f>
        <v>-843.97078563194373</v>
      </c>
      <c r="R540" t="s">
        <v>4606</v>
      </c>
      <c r="S540" t="s">
        <v>4607</v>
      </c>
      <c r="T540" t="s">
        <v>4608</v>
      </c>
      <c r="U540" t="s">
        <v>4609</v>
      </c>
      <c r="V540">
        <f>-558.731465452501 -92.6922594071093 -96.9808307204856</f>
        <v>-748.40455558009592</v>
      </c>
      <c r="W540" t="s">
        <v>4610</v>
      </c>
      <c r="X540" t="s">
        <v>4611</v>
      </c>
      <c r="Y540" t="s">
        <v>4612</v>
      </c>
    </row>
    <row r="541" spans="1:25" x14ac:dyDescent="0.3">
      <c r="A541">
        <v>27000</v>
      </c>
      <c r="B541" t="s">
        <v>4613</v>
      </c>
      <c r="C541" t="s">
        <v>4614</v>
      </c>
      <c r="D541">
        <f>-595.894469412123 -8.24855596248972 -214.715929947832</f>
        <v>-818.85895532244479</v>
      </c>
      <c r="E541">
        <f>-603.114793554285 -16.8427051929859 -312.698856969102</f>
        <v>-932.6563557163729</v>
      </c>
      <c r="F541">
        <f>-605.342524917832 -24.8786970738142 -401.404611211371</f>
        <v>-1031.6258332030172</v>
      </c>
      <c r="G541">
        <f>-602.927601930269 -33.3032698789302 -490.069325872127</f>
        <v>-1126.3001976813262</v>
      </c>
      <c r="H541">
        <f>-594.701477676509 -45.6175558555706 -613.768603565725</f>
        <v>-1254.0876370978044</v>
      </c>
      <c r="I541">
        <f>-561.481189256687 -53.2812743030347 -689.549317452536</f>
        <v>-1304.3117810122576</v>
      </c>
      <c r="J541">
        <f>-597.666537766824 -12.6293663291819 -562.035656246162</f>
        <v>-1172.3315603421679</v>
      </c>
      <c r="K541" t="s">
        <v>4615</v>
      </c>
      <c r="L541" t="s">
        <v>4616</v>
      </c>
      <c r="M541" t="s">
        <v>4617</v>
      </c>
      <c r="N541">
        <f>-598.976283504182 -67.7680062617301 -556.633726794557</f>
        <v>-1223.378016560469</v>
      </c>
      <c r="O541">
        <f>-610.260081211492 -198.407137005642 -515.331219171093</f>
        <v>-1323.9984373882271</v>
      </c>
      <c r="P541">
        <f>-643.429820450474 -230.046262135491 -224.659702206823</f>
        <v>-1098.1357847927879</v>
      </c>
      <c r="Q541">
        <f>-456.401207132887 -94.6919601844616 -293.582385904988</f>
        <v>-844.67555322233659</v>
      </c>
      <c r="R541" t="s">
        <v>4618</v>
      </c>
      <c r="S541" t="s">
        <v>4619</v>
      </c>
      <c r="T541" t="s">
        <v>4620</v>
      </c>
      <c r="U541" t="s">
        <v>4621</v>
      </c>
      <c r="V541">
        <f>-558.446039365108 -93.0918623208954 -96.9994983817928</f>
        <v>-748.53740006779628</v>
      </c>
      <c r="W541" t="s">
        <v>4622</v>
      </c>
      <c r="X541" t="s">
        <v>4623</v>
      </c>
      <c r="Y541" t="s">
        <v>4624</v>
      </c>
    </row>
    <row r="542" spans="1:25" x14ac:dyDescent="0.3">
      <c r="A542">
        <v>27050</v>
      </c>
      <c r="B542" t="s">
        <v>4625</v>
      </c>
      <c r="C542" t="s">
        <v>4626</v>
      </c>
      <c r="D542">
        <f>-595.805225224891 -8.56959156263133 -214.776089369011</f>
        <v>-819.15090615653344</v>
      </c>
      <c r="E542">
        <f>-603.037603330526 -16.9824062197067 -312.773896095129</f>
        <v>-932.79390564536175</v>
      </c>
      <c r="F542">
        <f>-605.299805616137 -24.7666360194075 -401.501208543469</f>
        <v>-1031.5676501790135</v>
      </c>
      <c r="G542">
        <f>-602.939636166724 -32.8487567869215 -490.199249844707</f>
        <v>-1125.9876427983525</v>
      </c>
      <c r="H542">
        <f>-594.809104910854 -44.5893775528991 -613.960629983502</f>
        <v>-1253.359112447255</v>
      </c>
      <c r="I542">
        <f>-561.528866074757 -51.6914129750139 -689.769613086781</f>
        <v>-1302.989892136552</v>
      </c>
      <c r="J542">
        <f>-597.894752704014 -11.8389868779921 -562.08375328571</f>
        <v>-1171.8174928677161</v>
      </c>
      <c r="K542" t="s">
        <v>4627</v>
      </c>
      <c r="L542" t="s">
        <v>4628</v>
      </c>
      <c r="M542" t="s">
        <v>4629</v>
      </c>
      <c r="N542">
        <f>-598.879405347164 -67.0068565544109 -556.914961720768</f>
        <v>-1222.8012236223431</v>
      </c>
      <c r="O542">
        <f>-609.261453353239 -197.957838387408 -516.345367759866</f>
        <v>-1323.5646595005128</v>
      </c>
      <c r="P542">
        <f>-643.105628080424 -229.566997985416 -225.748272074666</f>
        <v>-1098.4208981405061</v>
      </c>
      <c r="Q542">
        <f>-454.856800171624 -97.0862566492913 -296.896830255106</f>
        <v>-848.83988707602134</v>
      </c>
      <c r="R542" t="s">
        <v>4630</v>
      </c>
      <c r="S542" t="s">
        <v>4631</v>
      </c>
      <c r="T542" t="s">
        <v>4632</v>
      </c>
      <c r="U542" t="s">
        <v>4633</v>
      </c>
      <c r="V542">
        <f>-558.294620563542 -93.403612322707 -97.0528323426025</f>
        <v>-748.75106522885153</v>
      </c>
      <c r="W542" t="s">
        <v>4634</v>
      </c>
      <c r="X542" t="s">
        <v>4635</v>
      </c>
      <c r="Y542" t="s">
        <v>4636</v>
      </c>
    </row>
    <row r="543" spans="1:25" x14ac:dyDescent="0.3">
      <c r="A543">
        <v>27100</v>
      </c>
      <c r="B543" t="s">
        <v>4637</v>
      </c>
      <c r="C543" t="s">
        <v>4638</v>
      </c>
      <c r="D543">
        <f>-595.77331330328 -8.01591590060229 -214.739282627419</f>
        <v>-818.52851183130133</v>
      </c>
      <c r="E543">
        <f>-602.966711046804 -16.1395899117181 -312.764448064865</f>
        <v>-931.87074902338713</v>
      </c>
      <c r="F543">
        <f>-605.194619339471 -23.5794312194034 -401.522136910393</f>
        <v>-1030.2961874692674</v>
      </c>
      <c r="G543">
        <f>-602.798519501442 -31.2297686182378 -490.257510355525</f>
        <v>-1124.285798475205</v>
      </c>
      <c r="H543">
        <f>-594.612412901896 -42.2719565659249 -614.07954649609</f>
        <v>-1250.9639159639109</v>
      </c>
      <c r="I543">
        <f>-561.289328000235 -48.837748550123 -689.918023734128</f>
        <v>-1300.0451002844861</v>
      </c>
      <c r="J543">
        <f>-597.90796370864 -9.81323561265913 -562.032556168552</f>
        <v>-1169.7537554898511</v>
      </c>
      <c r="K543" t="s">
        <v>4639</v>
      </c>
      <c r="L543" t="s">
        <v>4640</v>
      </c>
      <c r="M543" t="s">
        <v>4641</v>
      </c>
      <c r="N543">
        <f>-598.521596177238 -65.0123957997764 -557.15050616218</f>
        <v>-1220.6844981391946</v>
      </c>
      <c r="O543">
        <f>-608.4434700411 -196.262516609874 -517.467194267821</f>
        <v>-1322.173180918795</v>
      </c>
      <c r="P543">
        <f>-644.341657391024 -226.809410412202 -227.003009576322</f>
        <v>-1098.154077379548</v>
      </c>
      <c r="Q543">
        <f>-452.502706128337 -100.357645448322 -299.519401272187</f>
        <v>-852.37975284884601</v>
      </c>
      <c r="R543" t="s">
        <v>4642</v>
      </c>
      <c r="S543" t="s">
        <v>4643</v>
      </c>
      <c r="T543" t="s">
        <v>4644</v>
      </c>
      <c r="U543" t="s">
        <v>4645</v>
      </c>
      <c r="V543">
        <f>-558.15442433766 -92.8278794056678 -97.1375195207844</f>
        <v>-748.11982326411214</v>
      </c>
      <c r="W543" t="s">
        <v>4646</v>
      </c>
      <c r="X543" t="s">
        <v>4647</v>
      </c>
      <c r="Y543" t="s">
        <v>4648</v>
      </c>
    </row>
    <row r="544" spans="1:25" x14ac:dyDescent="0.3">
      <c r="A544">
        <v>27150</v>
      </c>
      <c r="B544" t="s">
        <v>4649</v>
      </c>
      <c r="C544" t="s">
        <v>4650</v>
      </c>
      <c r="D544">
        <f>-595.738241097236 -7.77217324281924 -214.692332179969</f>
        <v>-818.20274652002422</v>
      </c>
      <c r="E544">
        <f>-602.85411888166 -15.7143400231892 -312.737955095338</f>
        <v>-931.30641400018726</v>
      </c>
      <c r="F544">
        <f>-604.971668178413 -22.9307014742503 -401.516685185508</f>
        <v>-1029.4190548381712</v>
      </c>
      <c r="G544">
        <f>-602.422949084459 -30.297091386014 -490.271898542434</f>
        <v>-1122.9919390129071</v>
      </c>
      <c r="H544">
        <f>-593.977664912132 -40.878825748473 -614.116553120095</f>
        <v>-1248.9730437807</v>
      </c>
      <c r="I544">
        <f>-560.585786766071 -47.1963629527079 -689.946022705915</f>
        <v>-1297.7281724246939</v>
      </c>
      <c r="J544">
        <f>-597.465865333469 -8.61351504908862 -561.962197356502</f>
        <v>-1168.0415777390594</v>
      </c>
      <c r="K544" t="s">
        <v>4651</v>
      </c>
      <c r="L544" t="s">
        <v>4652</v>
      </c>
      <c r="M544" t="s">
        <v>4653</v>
      </c>
      <c r="N544">
        <f>-597.92223406639 -63.8312242800105 -557.275303595215</f>
        <v>-1219.0287619416154</v>
      </c>
      <c r="O544">
        <f>-607.896382283342 -195.214161339361 -518.084077903371</f>
        <v>-1321.1946215260741</v>
      </c>
      <c r="P544">
        <f>-644.445203435718 -225.460574708534 -227.669738582876</f>
        <v>-1097.5755167271282</v>
      </c>
      <c r="Q544">
        <f>-450.284221971082 -102.664781558409 -300.289080105612</f>
        <v>-853.23808363510295</v>
      </c>
      <c r="R544" t="s">
        <v>4654</v>
      </c>
      <c r="S544" t="s">
        <v>4655</v>
      </c>
      <c r="T544" t="s">
        <v>4656</v>
      </c>
      <c r="U544" t="s">
        <v>4657</v>
      </c>
      <c r="V544">
        <f>-558.019008701973 -92.7513734517381 -97.1454018601784</f>
        <v>-747.91578401388949</v>
      </c>
      <c r="W544" t="s">
        <v>4658</v>
      </c>
      <c r="X544" t="s">
        <v>4659</v>
      </c>
      <c r="Y544" t="s">
        <v>4660</v>
      </c>
    </row>
    <row r="545" spans="1:25" x14ac:dyDescent="0.3">
      <c r="A545">
        <v>27200</v>
      </c>
      <c r="B545" t="s">
        <v>4661</v>
      </c>
      <c r="C545" t="s">
        <v>4662</v>
      </c>
      <c r="D545">
        <f>-595.859963091643 -7.69661710914215 -214.608917295243</f>
        <v>-818.16549749602814</v>
      </c>
      <c r="E545">
        <f>-602.834359564893 -15.2708006297053 -312.693758701695</f>
        <v>-930.79891889629334</v>
      </c>
      <c r="F545">
        <f>-604.734451419807 -22.0253720274554 -401.513841941501</f>
        <v>-1028.2736653887634</v>
      </c>
      <c r="G545">
        <f>-601.874824610171 -28.8000788426741 -490.306703771957</f>
        <v>-1120.9816072248022</v>
      </c>
      <c r="H545">
        <f>-592.893585471323 -38.4194734907512 -614.192234788227</f>
        <v>-1245.5052937503012</v>
      </c>
      <c r="I545">
        <f>-559.440155096164 -44.3277851353432 -690.027491840197</f>
        <v>-1293.795432071704</v>
      </c>
      <c r="J545">
        <f>-596.761161344543 -6.56013766862748 -561.815312311713</f>
        <v>-1165.1366113248835</v>
      </c>
      <c r="K545" t="s">
        <v>4663</v>
      </c>
      <c r="L545" t="s">
        <v>4664</v>
      </c>
      <c r="M545" t="s">
        <v>4665</v>
      </c>
      <c r="N545">
        <f>-596.93037686201 -61.8125927967837 -557.537380923806</f>
        <v>-1216.2803505825998</v>
      </c>
      <c r="O545">
        <f>-606.722885272654 -193.519259819261 -519.374708565478</f>
        <v>-1319.6168536573932</v>
      </c>
      <c r="P545">
        <f>-645.273578631515 -222.65498680124 -229.105569975673</f>
        <v>-1097.034135408428</v>
      </c>
      <c r="Q545">
        <f>-446.668888391316 -106.601328420287 -300.789339948153</f>
        <v>-854.05955675975588</v>
      </c>
      <c r="R545" t="s">
        <v>4666</v>
      </c>
      <c r="S545" t="s">
        <v>4667</v>
      </c>
      <c r="T545" t="s">
        <v>4668</v>
      </c>
      <c r="U545" t="s">
        <v>4669</v>
      </c>
      <c r="V545">
        <f>-557.964271741601 -92.7884477075356 -97.1246001040288</f>
        <v>-747.87731955316542</v>
      </c>
      <c r="W545" t="s">
        <v>4670</v>
      </c>
      <c r="X545" t="s">
        <v>4671</v>
      </c>
      <c r="Y545" t="s">
        <v>4672</v>
      </c>
    </row>
    <row r="546" spans="1:25" x14ac:dyDescent="0.3">
      <c r="A546">
        <v>27250</v>
      </c>
      <c r="B546" t="s">
        <v>4673</v>
      </c>
      <c r="C546" t="s">
        <v>4674</v>
      </c>
      <c r="D546">
        <f>-595.839107321175 -7.61932928866054 -214.574634103816</f>
        <v>-818.03307071365157</v>
      </c>
      <c r="E546">
        <f>-602.767978921009 -15.0027046051684 -312.677331521623</f>
        <v>-930.44801504780048</v>
      </c>
      <c r="F546">
        <f>-604.609799950465 -21.5178317083728 -401.516536918766</f>
        <v>-1027.6441685776038</v>
      </c>
      <c r="G546">
        <f>-601.672566512652 -27.9854819495974 -490.329747481952</f>
        <v>-1119.9877959442015</v>
      </c>
      <c r="H546">
        <f>-592.560905593257 -37.1048888604976 -614.243526591496</f>
        <v>-1243.9093210452506</v>
      </c>
      <c r="I546">
        <f>-559.13637526359 -42.8208303307579 -690.106295310655</f>
        <v>-1292.0635009050029</v>
      </c>
      <c r="J546">
        <f>-596.562753716931 -5.45753422514463 -561.748362693113</f>
        <v>-1163.7686506351886</v>
      </c>
      <c r="K546" t="s">
        <v>4675</v>
      </c>
      <c r="L546" t="s">
        <v>4676</v>
      </c>
      <c r="M546" t="s">
        <v>4677</v>
      </c>
      <c r="N546">
        <f>-596.578192850615 -60.7261921569736 -557.682017426924</f>
        <v>-1214.9864024345125</v>
      </c>
      <c r="O546">
        <f>-606.195995449968 -192.596859354494 -520.065396636284</f>
        <v>-1318.858251440746</v>
      </c>
      <c r="P546">
        <f>-646.09511593342 -221.427563192113 -229.948044823439</f>
        <v>-1097.4707239489719</v>
      </c>
      <c r="Q546">
        <f>-445.971073602995 -107.341823840291 -300.557270758784</f>
        <v>-853.87016820206986</v>
      </c>
      <c r="R546" t="s">
        <v>4678</v>
      </c>
      <c r="S546" t="s">
        <v>4679</v>
      </c>
      <c r="T546" t="s">
        <v>4680</v>
      </c>
      <c r="U546" t="s">
        <v>4681</v>
      </c>
      <c r="V546">
        <f>-557.795737329957 -92.6700334571754 -97.1431543601101</f>
        <v>-747.60892514724253</v>
      </c>
      <c r="W546" t="s">
        <v>4682</v>
      </c>
      <c r="X546" t="s">
        <v>4683</v>
      </c>
      <c r="Y546" t="s">
        <v>4684</v>
      </c>
    </row>
    <row r="547" spans="1:25" x14ac:dyDescent="0.3">
      <c r="A547">
        <v>27300</v>
      </c>
      <c r="B547" t="s">
        <v>4685</v>
      </c>
      <c r="C547" t="s">
        <v>4686</v>
      </c>
      <c r="D547">
        <f>-595.6158551098 -7.32088360737725 -214.555143539283</f>
        <v>-817.49188225646026</v>
      </c>
      <c r="E547">
        <f>-602.425447348432 -14.4700216031013 -312.683488493096</f>
        <v>-929.57895744462928</v>
      </c>
      <c r="F547">
        <f>-604.163967041969 -20.6851804369237 -401.546211041789</f>
        <v>-1026.3953585206818</v>
      </c>
      <c r="G547">
        <f>-601.12560802407 -26.7639260163155 -490.383567689903</f>
        <v>-1118.2731017302885</v>
      </c>
      <c r="H547">
        <f>-591.872300302563 -35.2475596652362 -614.33198993259</f>
        <v>-1241.4518499003891</v>
      </c>
      <c r="I547">
        <f>-558.540641094101 -40.6568419810556 -690.25813541207</f>
        <v>-1289.4556184872267</v>
      </c>
      <c r="J547">
        <f>-596.003289819914 -3.87042889937243 -561.684964057673</f>
        <v>-1161.5586827769594</v>
      </c>
      <c r="K547" t="s">
        <v>4687</v>
      </c>
      <c r="L547" t="s">
        <v>4688</v>
      </c>
      <c r="M547" t="s">
        <v>4689</v>
      </c>
      <c r="N547">
        <f>-595.885060336752 -59.1583049050325 -557.891863260791</f>
        <v>-1212.9352285025755</v>
      </c>
      <c r="O547">
        <f>-605.37027203671 -191.282224821617 -521.110023100201</f>
        <v>-1317.7625199585282</v>
      </c>
      <c r="P547">
        <f>-648.412237025487 -221.738815537349 -231.608625982119</f>
        <v>-1101.759678544955</v>
      </c>
      <c r="Q547">
        <f>-447.749950513264 -107.9206824409 -301.113757395269</f>
        <v>-856.78439034943301</v>
      </c>
      <c r="R547" t="s">
        <v>4690</v>
      </c>
      <c r="S547" t="s">
        <v>4691</v>
      </c>
      <c r="T547" t="s">
        <v>4692</v>
      </c>
      <c r="U547" t="s">
        <v>4693</v>
      </c>
      <c r="V547">
        <f>-557.60762668094 -92.4731143940708 -97.1895395434946</f>
        <v>-747.27028061850535</v>
      </c>
      <c r="W547" t="s">
        <v>4694</v>
      </c>
      <c r="X547" t="s">
        <v>4695</v>
      </c>
      <c r="Y547" t="s">
        <v>4696</v>
      </c>
    </row>
    <row r="548" spans="1:25" x14ac:dyDescent="0.3">
      <c r="A548">
        <v>27350</v>
      </c>
      <c r="B548" t="s">
        <v>4697</v>
      </c>
      <c r="C548" t="s">
        <v>4698</v>
      </c>
      <c r="D548">
        <f>-595.276662498944 -6.9542493683532 -214.599404903438</f>
        <v>-816.83031677073518</v>
      </c>
      <c r="E548">
        <f>-602.00227810639 -14.0133694438596 -312.740090433407</f>
        <v>-928.75573798365656</v>
      </c>
      <c r="F548">
        <f>-603.676263116677 -20.1343453298573 -401.610666088819</f>
        <v>-1025.4212745353534</v>
      </c>
      <c r="G548">
        <f>-600.584567595726 -26.1066662019257 -490.453339776653</f>
        <v>-1117.1445735743046</v>
      </c>
      <c r="H548">
        <f>-591.26806269239 -34.4286812569471 -614.408037933234</f>
        <v>-1240.1047818825712</v>
      </c>
      <c r="I548">
        <f>-557.965523264521 -39.7039653928907 -690.356352615539</f>
        <v>-1288.0258412729509</v>
      </c>
      <c r="J548">
        <f>-595.388291728477 -3.11982809248366 -561.71927928569</f>
        <v>-1160.2273991066509</v>
      </c>
      <c r="K548" t="s">
        <v>4699</v>
      </c>
      <c r="L548" t="s">
        <v>4700</v>
      </c>
      <c r="M548" t="s">
        <v>4701</v>
      </c>
      <c r="N548">
        <f>-595.347422549871 -58.413272957968 -558.0039789447</f>
        <v>-1211.7646744525391</v>
      </c>
      <c r="O548">
        <f>-605.064817362024 -190.562406047241 -521.439689727661</f>
        <v>-1317.0669131369259</v>
      </c>
      <c r="P548">
        <f>-648.992392500678 -221.82570711733 -232.157551795353</f>
        <v>-1102.975651413361</v>
      </c>
      <c r="Q548">
        <f>-448.870603103243 -106.75901273493 -301.163315428539</f>
        <v>-856.792931266712</v>
      </c>
      <c r="R548" t="s">
        <v>4702</v>
      </c>
      <c r="S548" t="s">
        <v>4703</v>
      </c>
      <c r="T548" t="s">
        <v>4704</v>
      </c>
      <c r="U548" t="s">
        <v>4705</v>
      </c>
      <c r="V548">
        <f>-557.502102211456 -92.1081208350013 -97.2190592187937</f>
        <v>-746.82928226525098</v>
      </c>
      <c r="W548" t="s">
        <v>4706</v>
      </c>
      <c r="X548" t="s">
        <v>4707</v>
      </c>
      <c r="Y548" t="s">
        <v>4708</v>
      </c>
    </row>
    <row r="549" spans="1:25" x14ac:dyDescent="0.3">
      <c r="A549">
        <v>27400</v>
      </c>
      <c r="B549" t="s">
        <v>4709</v>
      </c>
      <c r="C549" t="s">
        <v>4710</v>
      </c>
      <c r="D549">
        <f>-594.554558000567 -6.40982816416295 -214.661141968173</f>
        <v>-815.6255281329029</v>
      </c>
      <c r="E549">
        <f>-601.078690088414 -13.3612842190516 -312.823103358306</f>
        <v>-927.26307766577156</v>
      </c>
      <c r="F549">
        <f>-602.58623220483 -19.4245524929931 -401.700537167793</f>
        <v>-1023.7113218656161</v>
      </c>
      <c r="G549">
        <f>-599.344896829884 -25.3788969525513 -490.538981813176</f>
        <v>-1115.2627755956112</v>
      </c>
      <c r="H549">
        <f>-589.838846263723 -33.7154761178499 -614.478321557988</f>
        <v>-1238.0326439395608</v>
      </c>
      <c r="I549">
        <f>-556.530029496101 -38.9605640900443 -690.425882204872</f>
        <v>-1285.9164757910171</v>
      </c>
      <c r="J549">
        <f>-593.867965527238 -2.40010544334518 -561.786552198338</f>
        <v>-1158.0546231689211</v>
      </c>
      <c r="K549" t="s">
        <v>4711</v>
      </c>
      <c r="L549" t="s">
        <v>4712</v>
      </c>
      <c r="M549" t="s">
        <v>4713</v>
      </c>
      <c r="N549">
        <f>-594.17605301708 -57.6940199232431 -558.090936264283</f>
        <v>-1209.9610092046059</v>
      </c>
      <c r="O549">
        <f>-604.745285283446 -189.733994103205 -521.37235595787</f>
        <v>-1315.8516353445211</v>
      </c>
      <c r="P549">
        <f>-649.369219838063 -220.658178866758 -232.160423976516</f>
        <v>-1102.1878226813371</v>
      </c>
      <c r="Q549">
        <f>-450.650428513887 -103.538101075361 -301.763412872844</f>
        <v>-855.95194246209201</v>
      </c>
      <c r="R549" t="s">
        <v>4714</v>
      </c>
      <c r="S549" t="s">
        <v>4715</v>
      </c>
      <c r="T549" t="s">
        <v>4716</v>
      </c>
      <c r="U549" t="s">
        <v>4717</v>
      </c>
      <c r="V549">
        <f>-557.754619056012 -92.1120416046772 -97.221930421334</f>
        <v>-747.08859108202319</v>
      </c>
      <c r="W549" t="s">
        <v>4718</v>
      </c>
      <c r="X549" t="s">
        <v>4719</v>
      </c>
      <c r="Y549" t="s">
        <v>4720</v>
      </c>
    </row>
    <row r="550" spans="1:25" x14ac:dyDescent="0.3">
      <c r="A550">
        <v>27450</v>
      </c>
      <c r="B550" t="s">
        <v>4721</v>
      </c>
      <c r="C550" t="s">
        <v>4722</v>
      </c>
      <c r="D550">
        <f>-594.242525824583 -6.11039405464476 -214.678011000679</f>
        <v>-815.0309308799068</v>
      </c>
      <c r="E550">
        <f>-600.601545039313 -13.0458820570166 -312.851996355019</f>
        <v>-926.49942345134855</v>
      </c>
      <c r="F550">
        <f>-601.940483513339 -19.1424216172115 -401.729744303106</f>
        <v>-1022.8126494336566</v>
      </c>
      <c r="G550">
        <f>-598.512751208254 -25.1789686105076 -490.555834374223</f>
        <v>-1114.2475541929846</v>
      </c>
      <c r="H550">
        <f>-588.729603139628 -33.6807892034756 -614.462335619888</f>
        <v>-1236.8727279629916</v>
      </c>
      <c r="I550">
        <f>-555.342927831273 -39.0482445604248 -690.3672327172</f>
        <v>-1284.7584051088977</v>
      </c>
      <c r="J550">
        <f>-592.763424665056 -2.29542474937693 -561.812552617767</f>
        <v>-1156.8714020322</v>
      </c>
      <c r="K550" t="s">
        <v>4723</v>
      </c>
      <c r="L550" t="s">
        <v>4724</v>
      </c>
      <c r="M550" t="s">
        <v>4725</v>
      </c>
      <c r="N550">
        <f>-593.305823888358 -57.5836486405958 -558.061726243248</f>
        <v>-1208.9511987722017</v>
      </c>
      <c r="O550">
        <f>-604.446955200711 -189.513823675088 -521.094920415179</f>
        <v>-1315.0556992909781</v>
      </c>
      <c r="P550">
        <f>-649.23200906492 -219.615582967047 -231.821072521851</f>
        <v>-1100.668664553818</v>
      </c>
      <c r="Q550">
        <f>-450.800037869668 -102.230995570983 -301.795959176267</f>
        <v>-854.82699261691801</v>
      </c>
      <c r="R550" t="s">
        <v>4726</v>
      </c>
      <c r="S550" t="s">
        <v>4727</v>
      </c>
      <c r="T550" t="s">
        <v>4728</v>
      </c>
      <c r="U550" t="s">
        <v>4729</v>
      </c>
      <c r="V550">
        <f>-558.08039690409 -91.9772610075488 -97.2373571004446</f>
        <v>-747.29501501208335</v>
      </c>
      <c r="W550" t="s">
        <v>4730</v>
      </c>
      <c r="X550" t="s">
        <v>4731</v>
      </c>
      <c r="Y550" t="s">
        <v>4732</v>
      </c>
    </row>
    <row r="551" spans="1:25" x14ac:dyDescent="0.3">
      <c r="A551">
        <v>27500</v>
      </c>
      <c r="B551" t="s">
        <v>4733</v>
      </c>
      <c r="C551" t="s">
        <v>4734</v>
      </c>
      <c r="D551">
        <f>-594.112445490634 -4.4691300828656 -214.72983189364</f>
        <v>-813.31140746713959</v>
      </c>
      <c r="E551">
        <f>-600.139217036222 -11.4293324801552 -312.923131791233</f>
        <v>-924.49168130761018</v>
      </c>
      <c r="F551">
        <f>-601.103885945877 -17.6446314921502 -401.797618538135</f>
        <v>-1020.5461359761622</v>
      </c>
      <c r="G551">
        <f>-597.232282192663 -23.8992419079059 -490.590276495151</f>
        <v>-1111.7218005957197</v>
      </c>
      <c r="H551">
        <f>-586.759223340604 -32.8098058648532 -614.411573324533</f>
        <v>-1233.9806025299902</v>
      </c>
      <c r="I551">
        <f>-553.17721925982 -38.5153469474258 -690.205567956466</f>
        <v>-1281.8981341637118</v>
      </c>
      <c r="J551">
        <f>-590.892135664137 -1.25237960839331 -561.872491295551</f>
        <v>-1154.0170065680813</v>
      </c>
      <c r="K551" t="s">
        <v>4735</v>
      </c>
      <c r="L551" t="s">
        <v>4736</v>
      </c>
      <c r="M551" t="s">
        <v>4737</v>
      </c>
      <c r="N551">
        <f>-591.843867419698 -56.5249739295411 -557.975421184583</f>
        <v>-1206.3442625338221</v>
      </c>
      <c r="O551">
        <f>-603.989894084393 -188.231767751988 -520.435126711129</f>
        <v>-1312.6567885475099</v>
      </c>
      <c r="P551">
        <f>-649.654500607751 -216.504115324341 -231.114114464466</f>
        <v>-1097.272730396558</v>
      </c>
      <c r="Q551">
        <f>-451.413172037666 -99.2373477481817 -301.82318006557</f>
        <v>-852.47369985141768</v>
      </c>
      <c r="R551" t="s">
        <v>4738</v>
      </c>
      <c r="S551" t="s">
        <v>4739</v>
      </c>
      <c r="T551" t="s">
        <v>4740</v>
      </c>
      <c r="U551" t="s">
        <v>4741</v>
      </c>
      <c r="V551">
        <f>-558.940138146422 -90.3044660361509 -97.2555441863068</f>
        <v>-746.50014836887965</v>
      </c>
      <c r="W551" t="s">
        <v>4742</v>
      </c>
      <c r="X551" t="s">
        <v>4743</v>
      </c>
      <c r="Y551" t="s">
        <v>4744</v>
      </c>
    </row>
    <row r="552" spans="1:25" x14ac:dyDescent="0.3">
      <c r="A552">
        <v>27550</v>
      </c>
      <c r="B552" t="s">
        <v>4745</v>
      </c>
      <c r="C552" t="s">
        <v>4746</v>
      </c>
      <c r="D552">
        <f>-593.964104006271 -3.51486964057062 -214.762465075396</f>
        <v>-812.2414387222376</v>
      </c>
      <c r="E552">
        <f>-599.800761555701 -10.4841614596526 -312.966462475119</f>
        <v>-923.25138549047256</v>
      </c>
      <c r="F552">
        <f>-600.556838305623 -16.7456638860365 -401.839656971286</f>
        <v>-1019.1421591629455</v>
      </c>
      <c r="G552">
        <f>-596.441535431744 -23.0854068134104 -490.615415506004</f>
        <v>-1110.1423577511584</v>
      </c>
      <c r="H552">
        <f>-585.593016662689 -32.1559373831731 -614.392900074845</f>
        <v>-1232.1418541207072</v>
      </c>
      <c r="I552">
        <f>-551.870344027573 -38.0150420058151 -690.112431052597</f>
        <v>-1279.9978170859849</v>
      </c>
      <c r="J552">
        <f>-589.817288122464 -0.531500229154062 -561.901256259734</f>
        <v>-1152.2500446113522</v>
      </c>
      <c r="K552" t="s">
        <v>4747</v>
      </c>
      <c r="L552" t="s">
        <v>4748</v>
      </c>
      <c r="M552" t="s">
        <v>4749</v>
      </c>
      <c r="N552">
        <f>-590.916650643658 -55.7975018158188 -557.947628057889</f>
        <v>-1204.661780517366</v>
      </c>
      <c r="O552">
        <f>-603.493844771536 -187.396714216803 -520.237646672528</f>
        <v>-1311.128205660867</v>
      </c>
      <c r="P552">
        <f>-649.765531178941 -214.905207336712 -230.939482603252</f>
        <v>-1095.610221118905</v>
      </c>
      <c r="Q552">
        <f>-451.398073623457 -98.1009762498477 -302.05915694761</f>
        <v>-851.55820682091462</v>
      </c>
      <c r="R552" t="s">
        <v>4750</v>
      </c>
      <c r="S552" t="s">
        <v>4751</v>
      </c>
      <c r="T552" t="s">
        <v>4752</v>
      </c>
      <c r="U552" t="s">
        <v>4753</v>
      </c>
      <c r="V552">
        <f>-559.065804609859 -89.4316589848283 -97.2836398106001</f>
        <v>-745.78110340528747</v>
      </c>
      <c r="W552" t="s">
        <v>4754</v>
      </c>
      <c r="X552" t="s">
        <v>4755</v>
      </c>
      <c r="Y552" t="s">
        <v>4756</v>
      </c>
    </row>
    <row r="553" spans="1:25" x14ac:dyDescent="0.3">
      <c r="A553">
        <v>27600</v>
      </c>
      <c r="B553" t="s">
        <v>4757</v>
      </c>
      <c r="C553" t="s">
        <v>4758</v>
      </c>
      <c r="D553">
        <f>-593.323993685395 -2.29048842151747 -214.810689986192</f>
        <v>-810.42517209310438</v>
      </c>
      <c r="E553">
        <f>-598.807387155464 -9.34145920059632 -313.029313685674</f>
        <v>-921.17816004173437</v>
      </c>
      <c r="F553">
        <f>-599.177304101592 -15.7500316846172 -401.894572809022</f>
        <v>-1016.8219085952312</v>
      </c>
      <c r="G553">
        <f>-594.61186381028 -22.3129941032871 -490.631982879608</f>
        <v>-1107.5568407931751</v>
      </c>
      <c r="H553">
        <f>-583.071168284706 -31.7769621172411 -614.317384992623</f>
        <v>-1229.1655153945701</v>
      </c>
      <c r="I553">
        <f>-549.039617252928 -37.8266690085504 -689.883731694184</f>
        <v>-1276.7500179556623</v>
      </c>
      <c r="J553" t="s">
        <v>4759</v>
      </c>
      <c r="K553" t="s">
        <v>4760</v>
      </c>
      <c r="L553" t="s">
        <v>4761</v>
      </c>
      <c r="M553" t="s">
        <v>4762</v>
      </c>
      <c r="N553">
        <f>-588.829184682752 -55.2371179088184 -557.839126191272</f>
        <v>-1201.9054287828426</v>
      </c>
      <c r="O553">
        <f>-602.202274476316 -186.656909790226 -519.828607420257</f>
        <v>-1308.6877916867988</v>
      </c>
      <c r="P553">
        <f>-649.460472096125 -213.825611385889 -230.657848980875</f>
        <v>-1093.9439324628891</v>
      </c>
      <c r="Q553">
        <f>-451.051159576317 -97.5191273721859 -302.47328619809</f>
        <v>-851.04357314659296</v>
      </c>
      <c r="R553" t="s">
        <v>4763</v>
      </c>
      <c r="S553" t="s">
        <v>4764</v>
      </c>
      <c r="T553" t="s">
        <v>4765</v>
      </c>
      <c r="U553" t="s">
        <v>4766</v>
      </c>
      <c r="V553">
        <f>-559.054161451813 -88.4040439062171 -97.2864683980439</f>
        <v>-744.74467375607401</v>
      </c>
      <c r="W553" t="s">
        <v>4767</v>
      </c>
      <c r="X553" t="s">
        <v>4768</v>
      </c>
      <c r="Y553" t="s">
        <v>4769</v>
      </c>
    </row>
    <row r="554" spans="1:25" x14ac:dyDescent="0.3">
      <c r="A554">
        <v>27650</v>
      </c>
      <c r="B554" t="s">
        <v>4770</v>
      </c>
      <c r="C554" t="s">
        <v>4771</v>
      </c>
      <c r="D554">
        <f>-592.972832592405 -1.69530474892167 -214.806700520211</f>
        <v>-809.47483786153771</v>
      </c>
      <c r="E554">
        <f>-598.31041821282 -8.81096436188068 -313.028473366832</f>
        <v>-920.14985594153268</v>
      </c>
      <c r="F554">
        <f>-598.513883798657 -15.3012813427229 -401.888389562953</f>
        <v>-1015.7035547043329</v>
      </c>
      <c r="G554">
        <f>-593.748885307711 -21.9711619719237 -490.607314705667</f>
        <v>-1106.3273619853016</v>
      </c>
      <c r="H554">
        <f>-581.895583385635 -31.6118714726197 -614.249475498735</f>
        <v>-1227.7569303569896</v>
      </c>
      <c r="I554">
        <f>-547.757428447474 -37.6793751334508 -689.766330486029</f>
        <v>-1275.2031340669537</v>
      </c>
      <c r="J554" t="s">
        <v>4772</v>
      </c>
      <c r="K554" t="s">
        <v>4773</v>
      </c>
      <c r="L554" t="s">
        <v>4774</v>
      </c>
      <c r="M554" t="s">
        <v>4775</v>
      </c>
      <c r="N554">
        <f>-587.832669143506 -54.9905295312431 -557.756074986303</f>
        <v>-1200.579273661052</v>
      </c>
      <c r="O554">
        <f>-601.491838668358 -186.346215775457 -519.56912574666</f>
        <v>-1307.4071801904752</v>
      </c>
      <c r="P554">
        <f>-649.195219429865 -213.430405203011 -230.463559299355</f>
        <v>-1093.089183932231</v>
      </c>
      <c r="Q554">
        <f>-450.664849227903 -97.3659492569757 -302.335720726925</f>
        <v>-850.36651921180373</v>
      </c>
      <c r="R554" t="s">
        <v>4776</v>
      </c>
      <c r="S554" t="s">
        <v>4777</v>
      </c>
      <c r="T554" t="s">
        <v>4778</v>
      </c>
      <c r="U554" t="s">
        <v>4779</v>
      </c>
      <c r="V554">
        <f>-558.859109454432 -87.7020887672247 -97.2553776602406</f>
        <v>-743.81657588189728</v>
      </c>
      <c r="W554" t="s">
        <v>4780</v>
      </c>
      <c r="X554" t="s">
        <v>4781</v>
      </c>
      <c r="Y554" t="s">
        <v>4782</v>
      </c>
    </row>
    <row r="555" spans="1:25" x14ac:dyDescent="0.3">
      <c r="A555">
        <v>27700</v>
      </c>
      <c r="B555" t="s">
        <v>4783</v>
      </c>
      <c r="C555" t="s">
        <v>4784</v>
      </c>
      <c r="D555">
        <f>-592.238161804892 -0.371647998268827 -214.82729768657</f>
        <v>-807.43710748973081</v>
      </c>
      <c r="E555">
        <f>-597.344253377196 -7.58398600780583 -313.054432832747</f>
        <v>-917.98267221774881</v>
      </c>
      <c r="F555">
        <f>-597.288416785639 -14.2153132286917 -401.904083768103</f>
        <v>-1013.4078137824338</v>
      </c>
      <c r="G555">
        <f>-592.216365261306 -21.0803524838655 -490.591219874321</f>
        <v>-1103.8879376194925</v>
      </c>
      <c r="H555">
        <f>-579.886546121698 -31.0511484151839 -614.160478389323</f>
        <v>-1225.0981729262048</v>
      </c>
      <c r="I555">
        <f>-545.705458362226 -37.0644903959965 -689.662195131603</f>
        <v>-1272.4321438898255</v>
      </c>
      <c r="J555" t="s">
        <v>4785</v>
      </c>
      <c r="K555" t="s">
        <v>4786</v>
      </c>
      <c r="L555" t="s">
        <v>4787</v>
      </c>
      <c r="M555" t="s">
        <v>4788</v>
      </c>
      <c r="N555">
        <f>-586.047084003668 -54.2788904624208 -557.628743373977</f>
        <v>-1197.9547178400658</v>
      </c>
      <c r="O555">
        <f>-599.846463628933 -185.511451202219 -519.097060279034</f>
        <v>-1304.4549751101858</v>
      </c>
      <c r="P555">
        <f>-648.368375243135 -212.240140363407 -230.094729488376</f>
        <v>-1090.703245094918</v>
      </c>
      <c r="Q555">
        <f>-449.80062078681 -96.5331919010262 -302.438541992151</f>
        <v>-848.77235467998707</v>
      </c>
      <c r="R555" t="s">
        <v>4789</v>
      </c>
      <c r="S555" t="s">
        <v>4790</v>
      </c>
      <c r="T555" t="s">
        <v>4791</v>
      </c>
      <c r="U555" t="s">
        <v>4792</v>
      </c>
      <c r="V555">
        <f>-558.212873243585 -86.4954764983363 -97.2674004942301</f>
        <v>-741.97575023615138</v>
      </c>
      <c r="W555" t="s">
        <v>4793</v>
      </c>
      <c r="X555" t="s">
        <v>4794</v>
      </c>
      <c r="Y555" t="s">
        <v>4795</v>
      </c>
    </row>
    <row r="556" spans="1:25" x14ac:dyDescent="0.3">
      <c r="A556">
        <v>27750</v>
      </c>
      <c r="B556" t="s">
        <v>4796</v>
      </c>
      <c r="C556" t="s">
        <v>4797</v>
      </c>
      <c r="D556" t="s">
        <v>4798</v>
      </c>
      <c r="E556">
        <f>-596.734819933735 -7.20996535738277 -313.074961943858</f>
        <v>-917.01974723497574</v>
      </c>
      <c r="F556">
        <f>-596.578901819411 -13.9104797403106 -401.919334457256</f>
        <v>-1012.4087160169777</v>
      </c>
      <c r="G556">
        <f>-591.390945826379 -20.863245746629 -490.592861942233</f>
        <v>-1102.847053515241</v>
      </c>
      <c r="H556">
        <f>-578.883301979654 -30.9760246273042 -614.132612150358</f>
        <v>-1223.9919387573163</v>
      </c>
      <c r="I556">
        <f>-544.705077272288 -36.9259294894418 -689.640786918062</f>
        <v>-1271.2717936797917</v>
      </c>
      <c r="J556" t="s">
        <v>4799</v>
      </c>
      <c r="K556" t="s">
        <v>4800</v>
      </c>
      <c r="L556" t="s">
        <v>4801</v>
      </c>
      <c r="M556" t="s">
        <v>4802</v>
      </c>
      <c r="N556">
        <f>-585.107234477669 -54.1390476115134 -557.581426006603</f>
        <v>-1196.8277080957855</v>
      </c>
      <c r="O556">
        <f>-598.854295196949 -185.328824110418 -518.902821420821</f>
        <v>-1303.085940728188</v>
      </c>
      <c r="P556">
        <f>-647.626900054834 -211.995172967891 -229.936871324758</f>
        <v>-1089.558944347483</v>
      </c>
      <c r="Q556">
        <f>-449.24315646805 -95.8205629065073 -302.035443670562</f>
        <v>-847.09916304511933</v>
      </c>
      <c r="R556" t="s">
        <v>4803</v>
      </c>
      <c r="S556" t="s">
        <v>4804</v>
      </c>
      <c r="T556" t="s">
        <v>4805</v>
      </c>
      <c r="U556" t="s">
        <v>4806</v>
      </c>
      <c r="V556">
        <f>-557.714159793198 -86.0428939218546 -97.2682623761798</f>
        <v>-741.0253160912323</v>
      </c>
      <c r="W556" t="s">
        <v>4807</v>
      </c>
      <c r="X556" t="s">
        <v>4808</v>
      </c>
      <c r="Y556" t="s">
        <v>4809</v>
      </c>
    </row>
    <row r="557" spans="1:25" x14ac:dyDescent="0.3">
      <c r="A557">
        <v>27800</v>
      </c>
      <c r="B557" t="s">
        <v>4810</v>
      </c>
      <c r="C557" t="s">
        <v>4811</v>
      </c>
      <c r="D557" t="s">
        <v>4812</v>
      </c>
      <c r="E557">
        <f>-595.265193551218 -7.15877653664847 -313.070138820932</f>
        <v>-915.49410890879847</v>
      </c>
      <c r="F557">
        <f>-594.94126716825 -13.9803453276986 -401.904842095216</f>
        <v>-1010.8264545911645</v>
      </c>
      <c r="G557">
        <f>-589.564683902568 -21.0902089064923 -490.554612274907</f>
        <v>-1101.2095050839673</v>
      </c>
      <c r="H557">
        <f>-576.773554813092 -31.4597011361075 -614.044241511059</f>
        <v>-1222.2774974602585</v>
      </c>
      <c r="I557">
        <f>-542.66114585339 -37.2609179710839 -689.593699555166</f>
        <v>-1269.51576337964</v>
      </c>
      <c r="J557" t="s">
        <v>4813</v>
      </c>
      <c r="K557" t="s">
        <v>4814</v>
      </c>
      <c r="L557" t="s">
        <v>4815</v>
      </c>
      <c r="M557" t="s">
        <v>4816</v>
      </c>
      <c r="N557">
        <f>-583.084465984382 -54.5060195618848 -557.454866792159</f>
        <v>-1195.0453523384258</v>
      </c>
      <c r="O557">
        <f>-596.61871433076 -185.643134620953 -518.511298184265</f>
        <v>-1300.773147135978</v>
      </c>
      <c r="P557">
        <f>-645.615157277327 -212.531020947203 -229.603716571064</f>
        <v>-1087.7498947955939</v>
      </c>
      <c r="Q557">
        <f>-447.948648789573 -94.5534145561098 -300.738050277038</f>
        <v>-843.24011362272086</v>
      </c>
      <c r="R557" t="s">
        <v>4817</v>
      </c>
      <c r="S557" t="s">
        <v>4818</v>
      </c>
      <c r="T557" t="s">
        <v>4819</v>
      </c>
      <c r="U557" t="s">
        <v>4820</v>
      </c>
      <c r="V557">
        <f>-556.41736533185 -85.9835070371873 -97.2356686921955</f>
        <v>-739.63654106123283</v>
      </c>
      <c r="W557" t="s">
        <v>4821</v>
      </c>
      <c r="X557" t="s">
        <v>4822</v>
      </c>
      <c r="Y557" t="s">
        <v>4823</v>
      </c>
    </row>
    <row r="558" spans="1:25" x14ac:dyDescent="0.3">
      <c r="A558">
        <v>27850</v>
      </c>
      <c r="B558" t="s">
        <v>4824</v>
      </c>
      <c r="C558" t="s">
        <v>4825</v>
      </c>
      <c r="D558" t="s">
        <v>4826</v>
      </c>
      <c r="E558">
        <f>-594.556660904214 -7.15259466722682 -313.06413578827</f>
        <v>-914.77339135971079</v>
      </c>
      <c r="F558">
        <f>-594.171390596293 -14.0230466932983 -401.894779796242</f>
        <v>-1010.0892170858333</v>
      </c>
      <c r="G558">
        <f>-588.73072600506 -21.1938417744602 -490.535771533513</f>
        <v>-1100.4603393130333</v>
      </c>
      <c r="H558">
        <f>-575.8475973396 -31.6605683434275 -614.007548040861</f>
        <v>-1221.5157137238884</v>
      </c>
      <c r="I558">
        <f>-541.835553869079 -37.3583103207422 -689.61002918778</f>
        <v>-1268.8038933776013</v>
      </c>
      <c r="J558" t="s">
        <v>4827</v>
      </c>
      <c r="K558" t="s">
        <v>4828</v>
      </c>
      <c r="L558" t="s">
        <v>4829</v>
      </c>
      <c r="M558" t="s">
        <v>4830</v>
      </c>
      <c r="N558">
        <f>-582.175962684616 -54.6625886566901 -557.402150388072</f>
        <v>-1194.2407017293781</v>
      </c>
      <c r="O558">
        <f>-595.583356328713 -185.775909215733 -518.323575666109</f>
        <v>-1299.6828412105551</v>
      </c>
      <c r="P558">
        <f>-644.603190976752 -212.563233698357 -229.410667299303</f>
        <v>-1086.577091974412</v>
      </c>
      <c r="Q558">
        <f>-447.165692700061 -94.1184516738117 -300.40435202237</f>
        <v>-841.68849639624273</v>
      </c>
      <c r="R558" t="s">
        <v>4831</v>
      </c>
      <c r="S558" t="s">
        <v>4832</v>
      </c>
      <c r="T558" t="s">
        <v>4833</v>
      </c>
      <c r="U558" t="s">
        <v>4834</v>
      </c>
      <c r="V558">
        <f>-555.830068107112 -85.9429446940826 -97.2257799718698</f>
        <v>-738.99879277306434</v>
      </c>
      <c r="W558" t="s">
        <v>4835</v>
      </c>
      <c r="X558" t="s">
        <v>4836</v>
      </c>
      <c r="Y558" t="s">
        <v>4837</v>
      </c>
    </row>
    <row r="559" spans="1:25" x14ac:dyDescent="0.3">
      <c r="A559">
        <v>27900</v>
      </c>
      <c r="B559" t="s">
        <v>4838</v>
      </c>
      <c r="C559" t="s">
        <v>4839</v>
      </c>
      <c r="D559" t="s">
        <v>4840</v>
      </c>
      <c r="E559">
        <f>-593.468980834738 -6.78475302675338 -313.145576939725</f>
        <v>-913.39931080121642</v>
      </c>
      <c r="F559">
        <f>-592.942540873503 -13.720040173904 -401.970529591278</f>
        <v>-1008.633110638685</v>
      </c>
      <c r="G559">
        <f>-587.3540041226 -20.971523990695 -490.595658297572</f>
        <v>-1098.921186410867</v>
      </c>
      <c r="H559">
        <f>-574.257629592338 -31.5674846648703 -614.034099457542</f>
        <v>-1219.8592137147502</v>
      </c>
      <c r="I559">
        <f>-540.438296851784 -36.997346599419 -689.742561783808</f>
        <v>-1267.1782052350109</v>
      </c>
      <c r="J559" t="s">
        <v>4841</v>
      </c>
      <c r="K559" t="s">
        <v>4842</v>
      </c>
      <c r="L559" t="s">
        <v>4843</v>
      </c>
      <c r="M559" t="s">
        <v>4844</v>
      </c>
      <c r="N559">
        <f>-580.637032601938 -54.5108491548037 -557.410511891078</f>
        <v>-1192.5583936478197</v>
      </c>
      <c r="O559">
        <f>-593.813917024809 -185.581261223926 -518.088857311707</f>
        <v>-1297.484035560442</v>
      </c>
      <c r="P559">
        <f>-642.987158026331 -211.890710062181 -229.158062676038</f>
        <v>-1084.0359307645501</v>
      </c>
      <c r="Q559">
        <f>-446.033178769571 -92.6579546832465 -300.176080822617</f>
        <v>-838.86721427543455</v>
      </c>
      <c r="R559" t="s">
        <v>4845</v>
      </c>
      <c r="S559" t="s">
        <v>4846</v>
      </c>
      <c r="T559" t="s">
        <v>4847</v>
      </c>
      <c r="U559" t="s">
        <v>4848</v>
      </c>
      <c r="V559">
        <f>-554.913868761425 -85.6231974438281 -97.2511215173051</f>
        <v>-737.78818772255818</v>
      </c>
      <c r="W559" t="s">
        <v>4849</v>
      </c>
      <c r="X559" t="s">
        <v>4850</v>
      </c>
      <c r="Y559" t="s">
        <v>4851</v>
      </c>
    </row>
    <row r="560" spans="1:25" x14ac:dyDescent="0.3">
      <c r="A560">
        <v>27950</v>
      </c>
      <c r="B560" t="s">
        <v>4852</v>
      </c>
      <c r="C560" t="s">
        <v>4853</v>
      </c>
      <c r="D560" t="s">
        <v>4854</v>
      </c>
      <c r="E560">
        <f>-593.032606949293 -6.58361477940139 -313.184917595667</f>
        <v>-912.80113932436143</v>
      </c>
      <c r="F560">
        <f>-592.431150229086 -13.5387816576915 -402.007974232432</f>
        <v>-1007.9779061192096</v>
      </c>
      <c r="G560">
        <f>-586.759508807977 -20.8157108128698 -490.625611152386</f>
        <v>-1098.2008307732328</v>
      </c>
      <c r="H560">
        <f>-573.538782589928 -31.4521728293187 -614.047371031451</f>
        <v>-1219.0383264506977</v>
      </c>
      <c r="I560">
        <f>-539.81149642717 -36.7605254872021 -689.805555425637</f>
        <v>-1266.3775773400091</v>
      </c>
      <c r="J560" t="s">
        <v>4855</v>
      </c>
      <c r="K560" t="s">
        <v>4856</v>
      </c>
      <c r="L560" t="s">
        <v>4857</v>
      </c>
      <c r="M560" t="s">
        <v>4858</v>
      </c>
      <c r="N560">
        <f>-579.961049260733 -54.3771692188661 -557.42126793434</f>
        <v>-1191.7594864139392</v>
      </c>
      <c r="O560">
        <f>-593.107054598004 -185.419451718106 -518.022816566455</f>
        <v>-1296.5493228825649</v>
      </c>
      <c r="P560">
        <f>-642.20335238072 -211.607333007978 -229.067866046956</f>
        <v>-1082.8785514356541</v>
      </c>
      <c r="Q560">
        <f>-445.322893515164 -92.384504196446 -300.305931313274</f>
        <v>-838.01332902488411</v>
      </c>
      <c r="R560" t="s">
        <v>4859</v>
      </c>
      <c r="S560" t="s">
        <v>4860</v>
      </c>
      <c r="T560" t="s">
        <v>4861</v>
      </c>
      <c r="U560" t="s">
        <v>4862</v>
      </c>
      <c r="V560">
        <f>-554.580513980513 -85.4600941599219 -97.2782975904818</f>
        <v>-737.31890573091675</v>
      </c>
      <c r="W560" t="s">
        <v>4863</v>
      </c>
      <c r="X560" t="s">
        <v>4864</v>
      </c>
      <c r="Y560" t="s">
        <v>4865</v>
      </c>
    </row>
    <row r="561" spans="1:25" x14ac:dyDescent="0.3">
      <c r="A561">
        <v>28000</v>
      </c>
      <c r="B561" t="s">
        <v>4866</v>
      </c>
      <c r="C561" t="s">
        <v>4867</v>
      </c>
      <c r="D561" t="s">
        <v>4868</v>
      </c>
      <c r="E561">
        <f>-592.154344481758 -6.19051638981523 -313.242796749908</f>
        <v>-911.58765762148118</v>
      </c>
      <c r="F561">
        <f>-591.414720496578 -13.2026064050583 -402.060128087192</f>
        <v>-1006.6774549888282</v>
      </c>
      <c r="G561">
        <f>-585.591870433812 -20.5563856576728 -490.661867908434</f>
        <v>-1096.8101239999187</v>
      </c>
      <c r="H561">
        <f>-572.147429586275 -31.321231713513 -614.048113192361</f>
        <v>-1217.5167744921491</v>
      </c>
      <c r="I561">
        <f>-538.683024650223 -36.5312598030162 -689.929635118632</f>
        <v>-1265.1439195718713</v>
      </c>
      <c r="J561" t="s">
        <v>4869</v>
      </c>
      <c r="K561" t="s">
        <v>4870</v>
      </c>
      <c r="L561" t="s">
        <v>4871</v>
      </c>
      <c r="M561" t="s">
        <v>4872</v>
      </c>
      <c r="N561">
        <f>-578.682922368704 -54.1871723527315 -557.411064875379</f>
        <v>-1190.2811595968146</v>
      </c>
      <c r="O561">
        <f>-591.929144676734 -185.175479889152 -517.86869918162</f>
        <v>-1294.9733237475061</v>
      </c>
      <c r="P561">
        <f>-641.143871601288 -211.70267683591 -228.964861212991</f>
        <v>-1081.811409650189</v>
      </c>
      <c r="Q561">
        <f>-444.377918160547 -92.2714294390933 -300.170291333549</f>
        <v>-836.81963893318925</v>
      </c>
      <c r="R561" t="s">
        <v>4873</v>
      </c>
      <c r="S561" t="s">
        <v>4874</v>
      </c>
      <c r="T561" t="s">
        <v>4875</v>
      </c>
      <c r="U561" t="s">
        <v>4876</v>
      </c>
      <c r="V561">
        <f>-554.002240242991 -84.905534389572 -97.3098426755187</f>
        <v>-736.21761730808169</v>
      </c>
      <c r="W561" t="s">
        <v>4877</v>
      </c>
      <c r="X561" t="s">
        <v>4878</v>
      </c>
      <c r="Y561" t="s">
        <v>4879</v>
      </c>
    </row>
    <row r="562" spans="1:25" x14ac:dyDescent="0.3">
      <c r="A562">
        <v>28050</v>
      </c>
      <c r="B562" t="s">
        <v>4880</v>
      </c>
      <c r="C562" t="s">
        <v>4881</v>
      </c>
      <c r="D562" t="s">
        <v>4882</v>
      </c>
      <c r="E562">
        <f>-591.750332524268 -5.95979597485461 -313.270976823848</f>
        <v>-910.98110532297051</v>
      </c>
      <c r="F562">
        <f>-590.943246280111 -12.9912485994198 -402.086282978626</f>
        <v>-1006.0207778581569</v>
      </c>
      <c r="G562">
        <f>-585.045658443957 -20.375522365707 -490.680481935374</f>
        <v>-1096.1016627450381</v>
      </c>
      <c r="H562">
        <f>-571.489498220466 -31.195421072001 -614.049615848035</f>
        <v>-1216.734535140502</v>
      </c>
      <c r="I562">
        <f>-538.153964612218 -36.4075878051272 -689.987917423359</f>
        <v>-1264.5494698407042</v>
      </c>
      <c r="J562" t="s">
        <v>4883</v>
      </c>
      <c r="K562" t="s">
        <v>4884</v>
      </c>
      <c r="L562" t="s">
        <v>4885</v>
      </c>
      <c r="M562" t="s">
        <v>4886</v>
      </c>
      <c r="N562">
        <f>-578.091074503166 -54.0358768894739 -557.410147463482</f>
        <v>-1189.5370988561219</v>
      </c>
      <c r="O562">
        <f>-591.461374181798 -185.009718340457 -517.840096202978</f>
        <v>-1294.311188725233</v>
      </c>
      <c r="P562">
        <f>-640.845735071668 -211.593605209093 -228.970366289793</f>
        <v>-1081.4097065705539</v>
      </c>
      <c r="Q562">
        <f>-443.942657574442 -92.4064773886028 -300.205662381717</f>
        <v>-836.55479734476171</v>
      </c>
      <c r="R562" t="s">
        <v>4887</v>
      </c>
      <c r="S562" t="s">
        <v>4888</v>
      </c>
      <c r="T562" t="s">
        <v>4889</v>
      </c>
      <c r="U562" t="s">
        <v>4890</v>
      </c>
      <c r="V562">
        <f>-553.7355280302 -84.6591475290588 -97.3281094563006</f>
        <v>-735.72278501555945</v>
      </c>
      <c r="W562" t="s">
        <v>4891</v>
      </c>
      <c r="X562" t="s">
        <v>4892</v>
      </c>
      <c r="Y562" t="s">
        <v>4893</v>
      </c>
    </row>
    <row r="563" spans="1:25" x14ac:dyDescent="0.3">
      <c r="A563">
        <v>28100</v>
      </c>
      <c r="B563" t="s">
        <v>4894</v>
      </c>
      <c r="C563" t="s">
        <v>4895</v>
      </c>
      <c r="D563" t="s">
        <v>4896</v>
      </c>
      <c r="E563">
        <f>-591.104920612629 -5.80208184120124 -313.300189432997</f>
        <v>-910.20719188682733</v>
      </c>
      <c r="F563">
        <f>-590.205184646781 -12.8516108154424 -402.113037925356</f>
        <v>-1005.1698333875795</v>
      </c>
      <c r="G563">
        <f>-584.208005219648 -20.2750684652337 -490.697297815956</f>
        <v>-1095.1803715008377</v>
      </c>
      <c r="H563">
        <f>-570.506556581529 -31.1718881408744 -614.043606068611</f>
        <v>-1215.7220507910145</v>
      </c>
      <c r="I563">
        <f>-537.435095004965 -36.4727506776464 -690.091107855981</f>
        <v>-1263.9989535385926</v>
      </c>
      <c r="J563" t="s">
        <v>4897</v>
      </c>
      <c r="K563" t="s">
        <v>4898</v>
      </c>
      <c r="L563" t="s">
        <v>4899</v>
      </c>
      <c r="M563" t="s">
        <v>4900</v>
      </c>
      <c r="N563">
        <f>-577.220951147891 -53.9764285674366 -557.402905024824</f>
        <v>-1188.6002847401517</v>
      </c>
      <c r="O563">
        <f>-590.858463562882 -184.890930161824 -517.737239233481</f>
        <v>-1293.4866329581869</v>
      </c>
      <c r="P563">
        <f>-640.730111960784 -211.297525227554 -228.934961210938</f>
        <v>-1080.962598399276</v>
      </c>
      <c r="Q563">
        <f>-443.27976814468 -92.8607872324199 -299.906783626726</f>
        <v>-836.04733900382587</v>
      </c>
      <c r="R563" t="s">
        <v>4901</v>
      </c>
      <c r="S563" t="s">
        <v>4902</v>
      </c>
      <c r="T563" t="s">
        <v>4903</v>
      </c>
      <c r="U563" t="s">
        <v>4904</v>
      </c>
      <c r="V563">
        <f>-553.424035991189 -84.6759813450496 -97.3420649729167</f>
        <v>-735.44208230915535</v>
      </c>
      <c r="W563" t="s">
        <v>4905</v>
      </c>
      <c r="X563" t="s">
        <v>4906</v>
      </c>
      <c r="Y563" t="s">
        <v>4907</v>
      </c>
    </row>
    <row r="564" spans="1:25" x14ac:dyDescent="0.3">
      <c r="A564">
        <v>28150</v>
      </c>
      <c r="B564" t="s">
        <v>4908</v>
      </c>
      <c r="C564" t="s">
        <v>4909</v>
      </c>
      <c r="D564" t="s">
        <v>4910</v>
      </c>
      <c r="E564">
        <f>-590.853930853954 -5.72148557670994 -313.303962844089</f>
        <v>-909.87937927475298</v>
      </c>
      <c r="F564">
        <f>-589.938738804462 -12.7761143360112 -402.116371645215</f>
        <v>-1004.8312247856882</v>
      </c>
      <c r="G564">
        <f>-583.926671771566 -20.2145043551971 -490.698343590408</f>
        <v>-1094.839519717171</v>
      </c>
      <c r="H564">
        <f>-570.205516093242 -31.1425018531181 -614.039814271273</f>
        <v>-1215.3878322176331</v>
      </c>
      <c r="I564">
        <f>-537.303194330314 -36.5170067370079 -690.155360440528</f>
        <v>-1263.97556150785</v>
      </c>
      <c r="J564" t="s">
        <v>4911</v>
      </c>
      <c r="K564" t="s">
        <v>4912</v>
      </c>
      <c r="L564" t="s">
        <v>4913</v>
      </c>
      <c r="M564" t="s">
        <v>4914</v>
      </c>
      <c r="N564">
        <f>-576.96453941225 -53.9322258420932 -557.398282033624</f>
        <v>-1188.2950472879672</v>
      </c>
      <c r="O564">
        <f>-590.803878447836 -184.813637593988 -517.700102766633</f>
        <v>-1293.3176188084572</v>
      </c>
      <c r="P564">
        <f>-640.909916722075 -210.98562898429 -228.916987839176</f>
        <v>-1080.8125335455409</v>
      </c>
      <c r="Q564">
        <f>-442.928620073334 -93.4368417940125 -299.885441862594</f>
        <v>-836.25090372994055</v>
      </c>
      <c r="R564" t="s">
        <v>4915</v>
      </c>
      <c r="S564" t="s">
        <v>4916</v>
      </c>
      <c r="T564" t="s">
        <v>4917</v>
      </c>
      <c r="U564" t="s">
        <v>4918</v>
      </c>
      <c r="V564">
        <f>-553.267717061577 -84.6507118234938 -97.3515040105588</f>
        <v>-735.26993289562949</v>
      </c>
      <c r="W564" t="s">
        <v>4919</v>
      </c>
      <c r="X564" t="s">
        <v>4920</v>
      </c>
      <c r="Y564" t="s">
        <v>4921</v>
      </c>
    </row>
    <row r="565" spans="1:25" x14ac:dyDescent="0.3">
      <c r="A565">
        <v>28200</v>
      </c>
      <c r="B565" t="s">
        <v>4922</v>
      </c>
      <c r="C565" t="s">
        <v>4923</v>
      </c>
      <c r="D565" t="s">
        <v>4924</v>
      </c>
      <c r="E565">
        <f>-590.399911218341 -5.85191018222599 -313.299660282378</f>
        <v>-909.551481682945</v>
      </c>
      <c r="F565">
        <f>-589.438765242161 -12.9062369732731 -402.111727300813</f>
        <v>-1004.4567295162472</v>
      </c>
      <c r="G565">
        <f>-583.37712535387 -20.3659065952816 -490.688436361003</f>
        <v>-1094.4314683101547</v>
      </c>
      <c r="H565">
        <f>-569.583363172491 -31.3471109291665 -614.01709436356</f>
        <v>-1214.9475684652175</v>
      </c>
      <c r="I565">
        <f>-536.996472663529 -36.8934226830463 -690.255977832132</f>
        <v>-1264.1458731787072</v>
      </c>
      <c r="J565" t="s">
        <v>4925</v>
      </c>
      <c r="K565" t="s">
        <v>4926</v>
      </c>
      <c r="L565" t="s">
        <v>4927</v>
      </c>
      <c r="M565" t="s">
        <v>4928</v>
      </c>
      <c r="N565">
        <f>-576.47161790413 -54.1106178355644 -557.380727882526</f>
        <v>-1187.9629636222203</v>
      </c>
      <c r="O565">
        <f>-590.809061080629 -184.932179239918 -517.652187324108</f>
        <v>-1293.393427644655</v>
      </c>
      <c r="P565">
        <f>-641.214842580475 -210.80511657696 -228.894245223353</f>
        <v>-1080.9142043807881</v>
      </c>
      <c r="Q565">
        <f>-442.205778319433 -94.7421900445408 -299.432872084406</f>
        <v>-836.38084044837979</v>
      </c>
      <c r="R565" t="s">
        <v>4929</v>
      </c>
      <c r="S565" t="s">
        <v>4930</v>
      </c>
      <c r="T565" t="s">
        <v>4931</v>
      </c>
      <c r="U565" t="s">
        <v>4932</v>
      </c>
      <c r="V565">
        <f>-553.182077871455 -84.8482771307529 -97.3410596793962</f>
        <v>-735.37141468160405</v>
      </c>
      <c r="W565" t="s">
        <v>4933</v>
      </c>
      <c r="X565" t="s">
        <v>4934</v>
      </c>
      <c r="Y565" t="s">
        <v>4935</v>
      </c>
    </row>
    <row r="566" spans="1:25" x14ac:dyDescent="0.3">
      <c r="A566">
        <v>28250</v>
      </c>
      <c r="B566" t="s">
        <v>4936</v>
      </c>
      <c r="C566" t="s">
        <v>4937</v>
      </c>
      <c r="D566" t="s">
        <v>4938</v>
      </c>
      <c r="E566">
        <f>-590.138570537177 -5.79101569364047 -313.286086873132</f>
        <v>-909.21567310394948</v>
      </c>
      <c r="F566">
        <f>-589.140425111717 -12.8338507431556 -402.098505471243</f>
        <v>-1004.0727813261157</v>
      </c>
      <c r="G566">
        <f>-583.033841003844 -20.28937180502 -490.672609928848</f>
        <v>-1093.9958227377119</v>
      </c>
      <c r="H566">
        <f>-569.169416091889 -31.2724176951442 -613.993184526297</f>
        <v>-1214.4350183133301</v>
      </c>
      <c r="I566">
        <f>-536.764973784566 -36.9225093505186 -690.302088334608</f>
        <v>-1263.9895714696927</v>
      </c>
      <c r="J566" t="s">
        <v>4939</v>
      </c>
      <c r="K566" t="s">
        <v>4940</v>
      </c>
      <c r="L566" t="s">
        <v>4941</v>
      </c>
      <c r="M566" t="s">
        <v>4942</v>
      </c>
      <c r="N566">
        <f>-576.135476876987 -54.0341186562277 -557.365506243729</f>
        <v>-1187.5351017769437</v>
      </c>
      <c r="O566">
        <f>-590.701644559159 -184.831634851342 -517.629560480581</f>
        <v>-1293.1628398910821</v>
      </c>
      <c r="P566">
        <f>-641.203370428327 -210.755301981719 -228.89305200633</f>
        <v>-1080.8517244163761</v>
      </c>
      <c r="Q566">
        <f>-441.896475278996 -95.1342762330055 -299.316203392124</f>
        <v>-836.34695490412537</v>
      </c>
      <c r="R566" t="s">
        <v>4943</v>
      </c>
      <c r="S566" t="s">
        <v>4944</v>
      </c>
      <c r="T566" t="s">
        <v>4945</v>
      </c>
      <c r="U566" t="s">
        <v>4946</v>
      </c>
      <c r="V566">
        <f>-553.076165511446 -84.8037416322359 -97.3297809072524</f>
        <v>-735.20968805093423</v>
      </c>
      <c r="W566" t="s">
        <v>4947</v>
      </c>
      <c r="X566" t="s">
        <v>4948</v>
      </c>
      <c r="Y566" t="s">
        <v>4949</v>
      </c>
    </row>
    <row r="567" spans="1:25" x14ac:dyDescent="0.3">
      <c r="A567">
        <v>28300</v>
      </c>
      <c r="B567" t="s">
        <v>4950</v>
      </c>
      <c r="C567" t="s">
        <v>4951</v>
      </c>
      <c r="D567" t="s">
        <v>4952</v>
      </c>
      <c r="E567">
        <f>-589.748420316208 -5.71889741457335 -313.242222393463</f>
        <v>-908.70954012424431</v>
      </c>
      <c r="F567">
        <f>-588.698711341867 -12.8016622962459 -402.050825090469</f>
        <v>-1003.551198728582</v>
      </c>
      <c r="G567">
        <f>-582.533325756483 -20.328226182681 -490.614864506873</f>
        <v>-1093.4764164460371</v>
      </c>
      <c r="H567">
        <f>-568.580854259681 -31.4439564806351 -613.913528304836</f>
        <v>-1213.9383390451521</v>
      </c>
      <c r="I567">
        <f>-536.611340096651 -37.3874562366855 -690.383588006951</f>
        <v>-1264.3823843402874</v>
      </c>
      <c r="J567" t="s">
        <v>4953</v>
      </c>
      <c r="K567" t="s">
        <v>4954</v>
      </c>
      <c r="L567" t="s">
        <v>4955</v>
      </c>
      <c r="M567" t="s">
        <v>4956</v>
      </c>
      <c r="N567">
        <f>-575.684111653885 -54.1424274435217 -557.277590188834</f>
        <v>-1187.1041292862405</v>
      </c>
      <c r="O567">
        <f>-590.697998931418 -184.860234596979 -517.484693736241</f>
        <v>-1293.0429272646379</v>
      </c>
      <c r="P567">
        <f>-641.390635673255 -210.799568769143 -228.783040033196</f>
        <v>-1080.9732444755939</v>
      </c>
      <c r="Q567">
        <f>-441.67088727269 -95.7963773549911 -299.048165503102</f>
        <v>-836.51543013078299</v>
      </c>
      <c r="R567" t="s">
        <v>4957</v>
      </c>
      <c r="S567" t="s">
        <v>4958</v>
      </c>
      <c r="T567" t="s">
        <v>4959</v>
      </c>
      <c r="U567" t="s">
        <v>4960</v>
      </c>
      <c r="V567">
        <f>-553.003854450482 -84.7861567650004 -97.3013363625796</f>
        <v>-735.09134757806203</v>
      </c>
      <c r="W567" t="s">
        <v>4961</v>
      </c>
      <c r="X567" t="s">
        <v>4962</v>
      </c>
      <c r="Y567" t="s">
        <v>4963</v>
      </c>
    </row>
    <row r="568" spans="1:25" x14ac:dyDescent="0.3">
      <c r="A568">
        <v>28350</v>
      </c>
      <c r="B568" t="s">
        <v>4950</v>
      </c>
      <c r="C568" t="s">
        <v>4951</v>
      </c>
      <c r="D568" t="s">
        <v>4952</v>
      </c>
      <c r="E568">
        <f>-589.748420316208 -5.71889741457335 -313.242222393463</f>
        <v>-908.70954012424431</v>
      </c>
      <c r="F568">
        <f>-588.698711341867 -12.8016622962459 -402.050825090469</f>
        <v>-1003.551198728582</v>
      </c>
      <c r="G568">
        <f>-582.533325756483 -20.328226182681 -490.614864506873</f>
        <v>-1093.4764164460371</v>
      </c>
      <c r="H568">
        <f>-568.580854259681 -31.4439564806351 -613.913528304836</f>
        <v>-1213.9383390451521</v>
      </c>
      <c r="I568">
        <f>-536.611340096651 -37.3874562366855 -690.383588006951</f>
        <v>-1264.3823843402874</v>
      </c>
      <c r="J568" t="s">
        <v>4953</v>
      </c>
      <c r="K568" t="s">
        <v>4954</v>
      </c>
      <c r="L568" t="s">
        <v>4955</v>
      </c>
      <c r="M568" t="s">
        <v>4956</v>
      </c>
      <c r="N568">
        <f>-575.684111653885 -54.1424274435217 -557.277590188834</f>
        <v>-1187.1041292862405</v>
      </c>
      <c r="O568">
        <f>-590.697998931418 -184.860234596979 -517.484693736241</f>
        <v>-1293.0429272646379</v>
      </c>
      <c r="P568">
        <f>-641.390635673255 -210.799568769143 -228.783040033196</f>
        <v>-1080.9732444755939</v>
      </c>
      <c r="Q568">
        <f>-441.67088727269 -95.7963773549911 -299.048165503102</f>
        <v>-836.51543013078299</v>
      </c>
      <c r="R568" t="s">
        <v>4957</v>
      </c>
      <c r="S568" t="s">
        <v>4958</v>
      </c>
      <c r="T568" t="s">
        <v>4959</v>
      </c>
      <c r="U568" t="s">
        <v>4960</v>
      </c>
      <c r="V568">
        <f>-553.003854450482 -84.7861567650004 -97.3013363625796</f>
        <v>-735.09134757806203</v>
      </c>
      <c r="W568" t="s">
        <v>4961</v>
      </c>
      <c r="X568" t="s">
        <v>4962</v>
      </c>
      <c r="Y568" t="s">
        <v>4963</v>
      </c>
    </row>
    <row r="569" spans="1:25" x14ac:dyDescent="0.3">
      <c r="A569">
        <v>28400</v>
      </c>
      <c r="B569" t="s">
        <v>4964</v>
      </c>
      <c r="C569" t="s">
        <v>4965</v>
      </c>
      <c r="D569" t="s">
        <v>4966</v>
      </c>
      <c r="E569">
        <f>-589.558058832456 -5.71790631823933 -313.216275921112</f>
        <v>-908.49224107180737</v>
      </c>
      <c r="F569">
        <f>-588.506176093315 -12.8507311164412 -402.02092233517</f>
        <v>-1003.3778295449263</v>
      </c>
      <c r="G569">
        <f>-582.343144391891 -20.4484445803696 -490.578988423441</f>
        <v>-1093.3705773957015</v>
      </c>
      <c r="H569">
        <f>-568.398994897447 -31.6857923031423 -613.867672516564</f>
        <v>-1213.9524597171533</v>
      </c>
      <c r="I569">
        <f>-536.647319141295 -37.8088585756534 -690.414195948791</f>
        <v>-1264.8703736657394</v>
      </c>
      <c r="J569" t="s">
        <v>4967</v>
      </c>
      <c r="K569" t="s">
        <v>4968</v>
      </c>
      <c r="L569" t="s">
        <v>4969</v>
      </c>
      <c r="M569" t="s">
        <v>4970</v>
      </c>
      <c r="N569">
        <f>-575.545247424703 -54.3271722732497 -557.214276036549</f>
        <v>-1187.0866957345017</v>
      </c>
      <c r="O569">
        <f>-590.761453170662 -184.999256933384 -517.333809247804</f>
        <v>-1293.0945193518501</v>
      </c>
      <c r="P569">
        <f>-641.400995991462 -210.739558489262 -228.605147603488</f>
        <v>-1080.7457020842119</v>
      </c>
      <c r="Q569">
        <f>-441.527771168334 -96.0836176263701 -299.00082495582</f>
        <v>-836.61221375052412</v>
      </c>
      <c r="R569" t="s">
        <v>4971</v>
      </c>
      <c r="S569" t="s">
        <v>4972</v>
      </c>
      <c r="T569" t="s">
        <v>4973</v>
      </c>
      <c r="U569" t="s">
        <v>4974</v>
      </c>
      <c r="V569">
        <f>-552.914825954001 -84.7819576021982 -97.2833513187439</f>
        <v>-734.98013487494313</v>
      </c>
      <c r="W569" t="s">
        <v>4975</v>
      </c>
      <c r="X569" t="s">
        <v>4976</v>
      </c>
      <c r="Y569" t="s">
        <v>4977</v>
      </c>
    </row>
    <row r="570" spans="1:25" x14ac:dyDescent="0.3">
      <c r="A570">
        <v>28450</v>
      </c>
      <c r="B570" t="s">
        <v>4978</v>
      </c>
      <c r="C570" t="s">
        <v>4979</v>
      </c>
      <c r="D570" t="s">
        <v>4980</v>
      </c>
      <c r="E570">
        <f>-589.125578887658 -5.90845537939231 -313.165889902503</f>
        <v>-908.19992416955324</v>
      </c>
      <c r="F570">
        <f>-588.226154071143 -13.3030309912151 -401.950755187294</f>
        <v>-1003.4799402496521</v>
      </c>
      <c r="G570">
        <f>-582.259138730632 -21.2460800639567 -490.492075399758</f>
        <v>-1093.9972941943468</v>
      </c>
      <c r="H570">
        <f>-568.637061405185 -33.0540559166116 -613.763272613933</f>
        <v>-1215.4543899357295</v>
      </c>
      <c r="I570">
        <f>-537.475837577392 -39.8625374373378 -690.49431267776</f>
        <v>-1267.8326876924898</v>
      </c>
      <c r="J570">
        <f>-573.476797853959 -0.287344781802176 -562.031010837074</f>
        <v>-1135.7951534728352</v>
      </c>
      <c r="K570" t="s">
        <v>4981</v>
      </c>
      <c r="L570" t="s">
        <v>4982</v>
      </c>
      <c r="M570" t="s">
        <v>4983</v>
      </c>
      <c r="N570">
        <f>-575.786225790519 -55.4285686411197 -557.004371263121</f>
        <v>-1188.2191656947598</v>
      </c>
      <c r="O570">
        <f>-591.507784453883 -185.886908450831 -516.636546009066</f>
        <v>-1294.03123891378</v>
      </c>
      <c r="P570">
        <f>-641.114060705191 -210.446111921189 -227.625705798582</f>
        <v>-1079.1858784249621</v>
      </c>
      <c r="Q570">
        <f>-440.710771526479 -97.1201485763966 -298.665382768733</f>
        <v>-836.49630287160858</v>
      </c>
      <c r="R570" t="s">
        <v>4984</v>
      </c>
      <c r="S570" t="s">
        <v>4985</v>
      </c>
      <c r="T570" t="s">
        <v>4986</v>
      </c>
      <c r="U570" t="s">
        <v>4987</v>
      </c>
      <c r="V570">
        <f>-552.593121468396 -84.7499600947306 -97.2259747026129</f>
        <v>-734.5690562657395</v>
      </c>
      <c r="W570" t="s">
        <v>4988</v>
      </c>
      <c r="X570" t="s">
        <v>4989</v>
      </c>
      <c r="Y570" t="s">
        <v>4990</v>
      </c>
    </row>
    <row r="571" spans="1:25" x14ac:dyDescent="0.3">
      <c r="A571">
        <v>28500</v>
      </c>
      <c r="B571" t="s">
        <v>4991</v>
      </c>
      <c r="C571" t="s">
        <v>4992</v>
      </c>
      <c r="D571" t="s">
        <v>4993</v>
      </c>
      <c r="E571">
        <f>-589.144160771308 -6.30280426490549 -313.123235671824</f>
        <v>-908.57020070803742</v>
      </c>
      <c r="F571">
        <f>-588.541814228061 -13.9554164710405 -401.888855258157</f>
        <v>-1004.3860859572585</v>
      </c>
      <c r="G571">
        <f>-582.940734917503 -22.221142059662 -490.424295432862</f>
        <v>-1095.5861724100271</v>
      </c>
      <c r="H571">
        <f>-569.902399109408 -34.5459481063624 -613.708174059011</f>
        <v>-1218.1565212747814</v>
      </c>
      <c r="I571">
        <f>-539.124640292773 -41.8445047949238 -690.548861268936</f>
        <v>-1271.5180063566327</v>
      </c>
      <c r="J571">
        <f>-574.39232816755 -1.56605385198532 -562.079966131774</f>
        <v>-1138.0383481513093</v>
      </c>
      <c r="K571" t="s">
        <v>4994</v>
      </c>
      <c r="L571" t="s">
        <v>4995</v>
      </c>
      <c r="M571" t="s">
        <v>4996</v>
      </c>
      <c r="N571">
        <f>-576.887557835168 -56.6788101676216 -556.834200836688</f>
        <v>-1190.4005688394775</v>
      </c>
      <c r="O571">
        <f>-592.870779853284 -186.959569466519 -515.975408716911</f>
        <v>-1295.805758036714</v>
      </c>
      <c r="P571">
        <f>-641.388035126426 -210.404903374355 -226.687339824985</f>
        <v>-1078.480278325766</v>
      </c>
      <c r="Q571">
        <f>-440.737378287474 -98.1280628813975 -298.687742664578</f>
        <v>-837.55318383344957</v>
      </c>
      <c r="R571" t="s">
        <v>4997</v>
      </c>
      <c r="S571" t="s">
        <v>4998</v>
      </c>
      <c r="T571" t="s">
        <v>4999</v>
      </c>
      <c r="U571" t="s">
        <v>5000</v>
      </c>
      <c r="V571">
        <f>-552.396250623888 -84.8628756898399 -97.1770096256579</f>
        <v>-734.43613593938585</v>
      </c>
      <c r="W571" t="s">
        <v>5001</v>
      </c>
      <c r="X571" t="s">
        <v>5002</v>
      </c>
      <c r="Y571" t="s">
        <v>5003</v>
      </c>
    </row>
    <row r="572" spans="1:25" x14ac:dyDescent="0.3">
      <c r="A572">
        <v>28550</v>
      </c>
      <c r="B572" t="s">
        <v>5004</v>
      </c>
      <c r="C572" t="s">
        <v>5005</v>
      </c>
      <c r="D572" t="s">
        <v>5006</v>
      </c>
      <c r="E572">
        <f>-589.227867680604 -6.53970759648314 -313.109029259634</f>
        <v>-908.87660453672117</v>
      </c>
      <c r="F572">
        <f>-588.80043875417 -14.3263891686013 -401.86391986892</f>
        <v>-1004.9907477916913</v>
      </c>
      <c r="G572">
        <f>-583.414399263575 -22.7595793198363 -490.397165788865</f>
        <v>-1096.5711443722762</v>
      </c>
      <c r="H572">
        <f>-570.71958225109 -35.3532604008406 -613.689601400944</f>
        <v>-1219.7624440528743</v>
      </c>
      <c r="I572">
        <f>-540.135311910504 -42.8851391750841 -690.585031374222</f>
        <v>-1273.60548245981</v>
      </c>
      <c r="J572">
        <f>-575.009155321503 -2.26281183467358 -562.115078500617</f>
        <v>-1139.3870456567936</v>
      </c>
      <c r="K572" t="s">
        <v>5007</v>
      </c>
      <c r="L572" t="s">
        <v>5008</v>
      </c>
      <c r="M572" t="s">
        <v>5009</v>
      </c>
      <c r="N572">
        <f>-577.60279092452 -57.3598904074729 -556.754217263698</f>
        <v>-1191.716898595691</v>
      </c>
      <c r="O572">
        <f>-593.746660940694 -187.537435351077 -515.634040424706</f>
        <v>-1296.918136716477</v>
      </c>
      <c r="P572">
        <f>-641.659603648426 -210.27422310366 -226.188650670702</f>
        <v>-1078.1224774227881</v>
      </c>
      <c r="Q572">
        <f>-440.854944557401 -98.5602680720269 -298.633985554329</f>
        <v>-838.04919818375686</v>
      </c>
      <c r="R572" t="s">
        <v>5010</v>
      </c>
      <c r="S572" t="s">
        <v>5011</v>
      </c>
      <c r="T572" t="s">
        <v>5012</v>
      </c>
      <c r="U572" t="s">
        <v>5013</v>
      </c>
      <c r="V572">
        <f>-552.351834249897 -84.9464472929405 -97.166319349881</f>
        <v>-734.46460089271852</v>
      </c>
      <c r="W572" t="s">
        <v>5014</v>
      </c>
      <c r="X572" t="s">
        <v>5015</v>
      </c>
      <c r="Y572" t="s">
        <v>5016</v>
      </c>
    </row>
    <row r="573" spans="1:25" x14ac:dyDescent="0.3">
      <c r="A573">
        <v>28600</v>
      </c>
      <c r="B573" t="s">
        <v>5017</v>
      </c>
      <c r="C573" t="s">
        <v>5018</v>
      </c>
      <c r="D573" t="s">
        <v>5019</v>
      </c>
      <c r="E573">
        <f>-589.595466759933 -6.74713331480211 -313.086966557452</f>
        <v>-909.42956663218706</v>
      </c>
      <c r="F573">
        <f>-589.587441220229 -14.7621336944335 -401.822605855874</f>
        <v>-1006.1721807705364</v>
      </c>
      <c r="G573">
        <f>-584.716556689753 -23.47599665032 -490.358367721304</f>
        <v>-1098.550921061377</v>
      </c>
      <c r="H573">
        <f>-572.841954622068 -36.5153983629857 -613.686281196948</f>
        <v>-1223.0436341820018</v>
      </c>
      <c r="I573">
        <f>-542.67376886252 -44.465202445708 -690.703831417364</f>
        <v>-1277.8428027255918</v>
      </c>
      <c r="J573">
        <f>-576.684211467659 -3.24267163254626 -562.193784294418</f>
        <v>-1142.1206673946233</v>
      </c>
      <c r="K573" t="s">
        <v>5020</v>
      </c>
      <c r="L573" t="s">
        <v>5021</v>
      </c>
      <c r="M573" t="s">
        <v>5022</v>
      </c>
      <c r="N573">
        <f>-579.450507204282 -58.3120429776718 -556.637696757892</f>
        <v>-1194.4002469398456</v>
      </c>
      <c r="O573">
        <f>-595.795608644799 -188.303756033294 -515.005896071108</f>
        <v>-1299.1052607492011</v>
      </c>
      <c r="P573">
        <f>-642.520164989245 -209.868854249812 -225.27692055511</f>
        <v>-1077.6659397941671</v>
      </c>
      <c r="Q573">
        <f>-441.567977473957 -98.95439606684 -298.537136491174</f>
        <v>-839.05951003197106</v>
      </c>
      <c r="R573" t="s">
        <v>5023</v>
      </c>
      <c r="S573" t="s">
        <v>5024</v>
      </c>
      <c r="T573" t="s">
        <v>5025</v>
      </c>
      <c r="U573" t="s">
        <v>5026</v>
      </c>
      <c r="V573">
        <f>-552.367388298268 -84.7942267853921 -97.1376026088614</f>
        <v>-734.29921769252144</v>
      </c>
      <c r="W573" t="s">
        <v>5027</v>
      </c>
      <c r="X573" t="s">
        <v>5028</v>
      </c>
      <c r="Y573" t="s">
        <v>5029</v>
      </c>
    </row>
    <row r="574" spans="1:25" x14ac:dyDescent="0.3">
      <c r="A574">
        <v>28650</v>
      </c>
      <c r="B574" t="s">
        <v>5030</v>
      </c>
      <c r="C574" t="s">
        <v>5031</v>
      </c>
      <c r="D574" t="s">
        <v>5032</v>
      </c>
      <c r="E574">
        <f>-589.796316421767 -6.79902624242504 -313.087967319475</f>
        <v>-909.68330998366696</v>
      </c>
      <c r="F574">
        <f>-590.000188488905 -14.8965960676612 -401.815775042818</f>
        <v>-1006.7125595993842</v>
      </c>
      <c r="G574">
        <f>-585.391708518584 -23.7090348860547 -490.35584493863</f>
        <v>-1099.4565883432688</v>
      </c>
      <c r="H574">
        <f>-573.936573298499 -36.9019682189 -613.707139113287</f>
        <v>-1224.5456806306861</v>
      </c>
      <c r="I574">
        <f>-543.979728272977 -45.0168297407149 -690.790004915953</f>
        <v>-1279.7865629296448</v>
      </c>
      <c r="J574">
        <f>-577.557749871627 -3.56707711943341 -562.238913155611</f>
        <v>-1143.3637401466715</v>
      </c>
      <c r="K574" t="s">
        <v>5033</v>
      </c>
      <c r="L574" t="s">
        <v>5034</v>
      </c>
      <c r="M574" t="s">
        <v>5035</v>
      </c>
      <c r="N574">
        <f>-580.397073610967 -58.6257120713283 -556.613825025865</f>
        <v>-1195.6366107081603</v>
      </c>
      <c r="O574">
        <f>-596.83700711413 -188.545550082861 -514.788640880562</f>
        <v>-1300.1711980775531</v>
      </c>
      <c r="P574">
        <f>-642.955421951196 -209.54762994921 -224.920970545177</f>
        <v>-1077.424022445583</v>
      </c>
      <c r="Q574">
        <f>-441.95971204141 -98.8669617607213 -298.415253191909</f>
        <v>-839.24192699404034</v>
      </c>
      <c r="R574" t="s">
        <v>5036</v>
      </c>
      <c r="S574" t="s">
        <v>5037</v>
      </c>
      <c r="T574" t="s">
        <v>5038</v>
      </c>
      <c r="U574" t="s">
        <v>5039</v>
      </c>
      <c r="V574">
        <f>-552.392063494848 -84.6515019938643 -97.1257461560758</f>
        <v>-734.16931164478808</v>
      </c>
      <c r="W574" t="s">
        <v>5040</v>
      </c>
      <c r="X574" t="s">
        <v>5041</v>
      </c>
      <c r="Y574" t="s">
        <v>5042</v>
      </c>
    </row>
    <row r="575" spans="1:25" x14ac:dyDescent="0.3">
      <c r="A575">
        <v>28700</v>
      </c>
      <c r="B575" t="s">
        <v>5043</v>
      </c>
      <c r="C575" t="s">
        <v>5044</v>
      </c>
      <c r="D575" t="s">
        <v>5045</v>
      </c>
      <c r="E575">
        <f>-590.215683276872 -7.04958677425066 -313.126699090681</f>
        <v>-910.39196914180366</v>
      </c>
      <c r="F575">
        <f>-590.819450234717 -15.304371555987 -401.838283886079</f>
        <v>-1007.962105676783</v>
      </c>
      <c r="G575">
        <f>-586.707288710469 -24.2927123171205 -490.384940877921</f>
        <v>-1101.3849419055105</v>
      </c>
      <c r="H575">
        <f>-576.046638285448 -37.7503016355579 -613.778987077465</f>
        <v>-1227.575926998471</v>
      </c>
      <c r="I575">
        <f>-546.52636729533 -46.1019311697592 -691.004784986524</f>
        <v>-1283.6330834516132</v>
      </c>
      <c r="J575">
        <f>-579.271983513326 -4.30776008922089 -562.354100288365</f>
        <v>-1145.9338438909117</v>
      </c>
      <c r="K575" t="s">
        <v>5046</v>
      </c>
      <c r="L575" t="s">
        <v>5047</v>
      </c>
      <c r="M575" t="s">
        <v>5048</v>
      </c>
      <c r="N575">
        <f>-582.203686719956 -59.3487319748822 -556.604645132252</f>
        <v>-1198.15706382709</v>
      </c>
      <c r="O575">
        <f>-598.653749108686 -189.159991276571 -514.470073568005</f>
        <v>-1302.2838139532619</v>
      </c>
      <c r="P575">
        <f>-643.743422535018 -209.412201349674 -224.387368710264</f>
        <v>-1077.5429925949561</v>
      </c>
      <c r="Q575">
        <f>-442.716612106828 -99.070744700058 -298.305267950487</f>
        <v>-840.09262475737296</v>
      </c>
      <c r="R575" t="s">
        <v>5049</v>
      </c>
      <c r="S575" t="s">
        <v>5050</v>
      </c>
      <c r="T575" t="s">
        <v>5051</v>
      </c>
      <c r="U575" t="s">
        <v>5052</v>
      </c>
      <c r="V575">
        <f>-552.418769412656 -84.5713969077365 -97.1397197298522</f>
        <v>-734.12988605024475</v>
      </c>
      <c r="W575" t="s">
        <v>5053</v>
      </c>
      <c r="X575" t="s">
        <v>5054</v>
      </c>
      <c r="Y575" t="s">
        <v>5055</v>
      </c>
    </row>
    <row r="576" spans="1:25" x14ac:dyDescent="0.3">
      <c r="A576">
        <v>28750</v>
      </c>
      <c r="B576" t="s">
        <v>5056</v>
      </c>
      <c r="C576" t="s">
        <v>5057</v>
      </c>
      <c r="D576" t="s">
        <v>5058</v>
      </c>
      <c r="E576">
        <f>-590.412471560343 -7.32154905653897 -313.16621024368</f>
        <v>-910.90023086056192</v>
      </c>
      <c r="F576">
        <f>-591.192451275601 -15.6372279122741 -401.870762075498</f>
        <v>-1008.700441263373</v>
      </c>
      <c r="G576">
        <f>-587.304197141054 -24.6934942495484 -490.420643815302</f>
        <v>-1102.4183352059044</v>
      </c>
      <c r="H576">
        <f>-577.005546180926 -38.2523564184667 -613.834390192521</f>
        <v>-1229.0922927919137</v>
      </c>
      <c r="I576">
        <f>-547.694524562787 -46.6823964350442 -691.131235258225</f>
        <v>-1285.5081562560563</v>
      </c>
      <c r="J576">
        <f>-580.058201550102 -4.76858624271244 -562.425829865165</f>
        <v>-1147.2526176579795</v>
      </c>
      <c r="K576" t="s">
        <v>5059</v>
      </c>
      <c r="L576" t="s">
        <v>5060</v>
      </c>
      <c r="M576" t="s">
        <v>5061</v>
      </c>
      <c r="N576">
        <f>-583.016837171941 -59.8030043719964 -556.626476789445</f>
        <v>-1199.4463183333824</v>
      </c>
      <c r="O576">
        <f>-599.428732562797 -189.583414361597 -514.388183090873</f>
        <v>-1303.4003300152669</v>
      </c>
      <c r="P576">
        <f>-643.878689607941 -209.544208546304 -224.186495506413</f>
        <v>-1077.609393660658</v>
      </c>
      <c r="Q576">
        <f>-442.854829211102 -99.3326517396133 -298.305773964654</f>
        <v>-840.49325491536933</v>
      </c>
      <c r="R576" t="s">
        <v>5062</v>
      </c>
      <c r="S576" t="s">
        <v>5063</v>
      </c>
      <c r="T576" t="s">
        <v>5064</v>
      </c>
      <c r="U576" t="s">
        <v>5065</v>
      </c>
      <c r="V576">
        <f>-552.454007525607 -84.7685991247524 -97.1556057995779</f>
        <v>-734.37821244993734</v>
      </c>
      <c r="W576" t="s">
        <v>5066</v>
      </c>
      <c r="X576" t="s">
        <v>5067</v>
      </c>
      <c r="Y576" t="s">
        <v>5068</v>
      </c>
    </row>
    <row r="577" spans="1:25" x14ac:dyDescent="0.3">
      <c r="A577">
        <v>28800</v>
      </c>
      <c r="B577" t="s">
        <v>5069</v>
      </c>
      <c r="C577" t="s">
        <v>5070</v>
      </c>
      <c r="D577" t="s">
        <v>5071</v>
      </c>
      <c r="E577">
        <f>-590.747198917416 -7.8067178388394 -313.219277585978</f>
        <v>-911.77319434223341</v>
      </c>
      <c r="F577">
        <f>-591.847147444639 -16.1952677224062 -401.913557957059</f>
        <v>-1009.9559731241043</v>
      </c>
      <c r="G577">
        <f>-588.372180736534 -25.3279768920281 -490.472912495767</f>
        <v>-1104.1730701243291</v>
      </c>
      <c r="H577">
        <f>-578.748779766654 -38.9962997352873 -613.92893541763</f>
        <v>-1231.6740149195712</v>
      </c>
      <c r="I577">
        <f>-549.844670153945 -47.5144085767338 -691.369347151644</f>
        <v>-1288.7284258823229</v>
      </c>
      <c r="J577">
        <f>-581.501333144853 -5.46790815650547 -562.532561610639</f>
        <v>-1149.5018029119974</v>
      </c>
      <c r="K577" t="s">
        <v>5072</v>
      </c>
      <c r="L577" t="s">
        <v>5073</v>
      </c>
      <c r="M577" t="s">
        <v>5074</v>
      </c>
      <c r="N577">
        <f>-584.465850071885 -60.495347726589 -556.671471904296</f>
        <v>-1201.63266970277</v>
      </c>
      <c r="O577">
        <f>-600.67272909811 -190.255746958698 -514.279917906255</f>
        <v>-1305.2083939630629</v>
      </c>
      <c r="P577">
        <f>-643.802992538905 -209.884042248186 -223.856575663313</f>
        <v>-1077.543610450404</v>
      </c>
      <c r="Q577">
        <f>-442.866974048683 -99.5154109610596 -297.980651220449</f>
        <v>-840.3630362301916</v>
      </c>
      <c r="R577" t="s">
        <v>5075</v>
      </c>
      <c r="S577" t="s">
        <v>5076</v>
      </c>
      <c r="T577" t="s">
        <v>5077</v>
      </c>
      <c r="U577" t="s">
        <v>5078</v>
      </c>
      <c r="V577">
        <f>-552.556526523724 -84.9956121811988 -97.1845410729637</f>
        <v>-734.73667977788648</v>
      </c>
      <c r="W577" t="s">
        <v>5079</v>
      </c>
      <c r="X577" t="s">
        <v>5080</v>
      </c>
      <c r="Y577" t="s">
        <v>5081</v>
      </c>
    </row>
    <row r="578" spans="1:25" x14ac:dyDescent="0.3">
      <c r="A578">
        <v>28850</v>
      </c>
      <c r="B578" t="s">
        <v>5082</v>
      </c>
      <c r="C578" t="s">
        <v>5083</v>
      </c>
      <c r="D578" t="s">
        <v>5084</v>
      </c>
      <c r="E578">
        <f>-591.035780336612 -8.02777219248173 -313.216382070478</f>
        <v>-912.27993459957179</v>
      </c>
      <c r="F578">
        <f>-592.267163410875 -16.4389681824471 -401.906738762758</f>
        <v>-1010.6128703560801</v>
      </c>
      <c r="G578">
        <f>-588.952920921463 -25.5912385970366 -490.47026288295</f>
        <v>-1105.0144224014498</v>
      </c>
      <c r="H578">
        <f>-579.583745018583 -39.2830949280217 -613.943219176595</f>
        <v>-1232.8100591231996</v>
      </c>
      <c r="I578">
        <f>-550.850918151308 -47.8017278118105 -691.44727633436</f>
        <v>-1290.0999222974783</v>
      </c>
      <c r="J578">
        <f>-582.231091378203 -5.74468179982023 -562.547833864011</f>
        <v>-1150.5236070420342</v>
      </c>
      <c r="K578" t="s">
        <v>5085</v>
      </c>
      <c r="L578" t="s">
        <v>5086</v>
      </c>
      <c r="M578" t="s">
        <v>5087</v>
      </c>
      <c r="N578">
        <f>-585.182196199469 -60.7711571547734 -556.669886623947</f>
        <v>-1202.6232399781893</v>
      </c>
      <c r="O578">
        <f>-601.259269857913 -190.532398297934 -514.232631338073</f>
        <v>-1306.0242994939199</v>
      </c>
      <c r="P578">
        <f>-643.836246188919 -210.093722888173 -223.723226525921</f>
        <v>-1077.653195603013</v>
      </c>
      <c r="Q578">
        <f>-443.047484822883 -99.4490036113893 -297.834234731991</f>
        <v>-840.3307231662634</v>
      </c>
      <c r="R578" t="s">
        <v>5088</v>
      </c>
      <c r="S578" t="s">
        <v>5089</v>
      </c>
      <c r="T578" t="s">
        <v>5090</v>
      </c>
      <c r="U578" t="s">
        <v>5091</v>
      </c>
      <c r="V578">
        <f>-552.662635282923 -85.183405164893 -97.1931710192185</f>
        <v>-735.03921146703453</v>
      </c>
      <c r="W578" t="s">
        <v>5092</v>
      </c>
      <c r="X578" t="s">
        <v>5093</v>
      </c>
      <c r="Y578" t="s">
        <v>5094</v>
      </c>
    </row>
    <row r="579" spans="1:25" x14ac:dyDescent="0.3">
      <c r="A579">
        <v>28900</v>
      </c>
      <c r="B579" t="s">
        <v>5095</v>
      </c>
      <c r="C579" t="s">
        <v>5096</v>
      </c>
      <c r="D579" t="s">
        <v>5097</v>
      </c>
      <c r="E579">
        <f>-591.768411595712 -8.30957559816011 -313.20235202978</f>
        <v>-913.28033922365216</v>
      </c>
      <c r="F579">
        <f>-593.229205849748 -16.7416313775777 -401.887237822102</f>
        <v>-1011.8580750494277</v>
      </c>
      <c r="G579">
        <f>-590.166476720229 -25.8982054705352 -490.459340285321</f>
        <v>-1106.5240224760851</v>
      </c>
      <c r="H579">
        <f>-581.170996806149 -39.5797142518538 -613.961277277426</f>
        <v>-1234.7119883354289</v>
      </c>
      <c r="I579">
        <f>-552.674822441438 -47.9786997906515 -691.56579494933</f>
        <v>-1292.2193171814195</v>
      </c>
      <c r="J579">
        <f>-583.669526241129 -6.04541672692494 -562.555841062512</f>
        <v>-1152.2707840305659</v>
      </c>
      <c r="K579" t="s">
        <v>5098</v>
      </c>
      <c r="L579" t="s">
        <v>5099</v>
      </c>
      <c r="M579" t="s">
        <v>5100</v>
      </c>
      <c r="N579">
        <f>-586.589382616326 -61.0729201937581 -556.672607201888</f>
        <v>-1204.3349100119722</v>
      </c>
      <c r="O579">
        <f>-602.351075752235 -190.873903315405 -514.220599128794</f>
        <v>-1307.4455781964339</v>
      </c>
      <c r="P579">
        <f>-643.998838782936 -210.504330750786 -223.581063794056</f>
        <v>-1078.0842333277781</v>
      </c>
      <c r="Q579">
        <f>-443.683187998897 -99.0741768341079 -297.796247079116</f>
        <v>-840.55361191212091</v>
      </c>
      <c r="R579" t="s">
        <v>5101</v>
      </c>
      <c r="S579" t="s">
        <v>5102</v>
      </c>
      <c r="T579" t="s">
        <v>5103</v>
      </c>
      <c r="U579" t="s">
        <v>5104</v>
      </c>
      <c r="V579">
        <f>-552.754863505332 -85.4920925129688 -97.2135077020814</f>
        <v>-735.46046372038222</v>
      </c>
      <c r="W579" t="s">
        <v>5105</v>
      </c>
      <c r="X579" t="s">
        <v>5106</v>
      </c>
      <c r="Y579" t="s">
        <v>5107</v>
      </c>
    </row>
    <row r="580" spans="1:25" x14ac:dyDescent="0.3">
      <c r="A580">
        <v>28950</v>
      </c>
      <c r="B580" t="s">
        <v>5108</v>
      </c>
      <c r="C580" t="s">
        <v>5109</v>
      </c>
      <c r="D580" t="s">
        <v>5110</v>
      </c>
      <c r="E580">
        <f>-592.171682518215 -8.47935420820363 -313.213073008009</f>
        <v>-913.86410973442764</v>
      </c>
      <c r="F580">
        <f>-593.776592983335 -16.8922454246429 -401.897178487783</f>
        <v>-1012.5660168957609</v>
      </c>
      <c r="G580">
        <f>-590.871021441585 -26.0097279941385 -490.478672437683</f>
        <v>-1107.3594218734065</v>
      </c>
      <c r="H580">
        <f>-582.108807639794 -39.6156043662888 -614.005705445295</f>
        <v>-1235.7301174513777</v>
      </c>
      <c r="I580">
        <f>-553.696073756768 -47.8686839595284 -691.656320777096</f>
        <v>-1293.2210784933923</v>
      </c>
      <c r="J580">
        <f>-584.516403295063 -6.11257750002892 -562.575436897887</f>
        <v>-1153.204417692979</v>
      </c>
      <c r="K580" t="s">
        <v>5111</v>
      </c>
      <c r="L580" t="s">
        <v>5112</v>
      </c>
      <c r="M580" t="s">
        <v>5113</v>
      </c>
      <c r="N580">
        <f>-587.41300936432 -61.1441623573396 -556.719551317504</f>
        <v>-1205.2767230391637</v>
      </c>
      <c r="O580">
        <f>-603.012860046725 -190.977302911759 -514.309434278287</f>
        <v>-1308.299597236771</v>
      </c>
      <c r="P580">
        <f>-644.246141323001 -210.728953829027 -223.618988058839</f>
        <v>-1078.594083210867</v>
      </c>
      <c r="Q580">
        <f>-444.143038564112 -98.9791984544117 -297.926182434926</f>
        <v>-841.0484194534497</v>
      </c>
      <c r="R580" t="s">
        <v>5114</v>
      </c>
      <c r="S580" t="s">
        <v>5115</v>
      </c>
      <c r="T580" t="s">
        <v>5116</v>
      </c>
      <c r="U580" t="s">
        <v>5117</v>
      </c>
      <c r="V580">
        <f>-552.799957473344 -85.5749389999519 -97.2132084327637</f>
        <v>-735.58810490605958</v>
      </c>
      <c r="W580" t="s">
        <v>5118</v>
      </c>
      <c r="X580" t="s">
        <v>5119</v>
      </c>
      <c r="Y580" t="s">
        <v>5120</v>
      </c>
    </row>
    <row r="581" spans="1:25" x14ac:dyDescent="0.3">
      <c r="A581">
        <v>29000</v>
      </c>
      <c r="B581" t="s">
        <v>5121</v>
      </c>
      <c r="C581" t="s">
        <v>5122</v>
      </c>
      <c r="D581">
        <f>-585.964808138159 -0.560816105258255 -215.183371989466</f>
        <v>-801.70899623288324</v>
      </c>
      <c r="E581">
        <f>-592.563513517859 -9.13217193928585 -313.212157312366</f>
        <v>-914.90784276951081</v>
      </c>
      <c r="F581">
        <f>-594.393521470274 -17.4136868095541 -401.904311354846</f>
        <v>-1013.711519634674</v>
      </c>
      <c r="G581">
        <f>-591.754175939019 -26.351504633569 -490.512411459735</f>
        <v>-1108.6180920323229</v>
      </c>
      <c r="H581">
        <f>-583.405076341276 -39.6558052797229 -614.100914991849</f>
        <v>-1237.1617966128479</v>
      </c>
      <c r="I581">
        <f>-555.072068775601 -47.4476823260261 -691.828302728158</f>
        <v>-1294.3480538297849</v>
      </c>
      <c r="J581">
        <f>-585.658327393567 -6.27751221692643 -562.582580542563</f>
        <v>-1154.5184201530565</v>
      </c>
      <c r="K581" t="s">
        <v>5123</v>
      </c>
      <c r="L581" t="s">
        <v>5124</v>
      </c>
      <c r="M581" t="s">
        <v>5125</v>
      </c>
      <c r="N581">
        <f>-588.499980128978 -61.324901214213 -556.848822157867</f>
        <v>-1206.6737035010578</v>
      </c>
      <c r="O581">
        <f>-603.848824779387 -191.258306990781 -514.656157239108</f>
        <v>-1309.7632890092759</v>
      </c>
      <c r="P581">
        <f>-644.345991892331 -211.380832935178 -223.887688397735</f>
        <v>-1079.6145132252439</v>
      </c>
      <c r="Q581">
        <f>-444.553015859054 -99.1631657782348 -298.324125696551</f>
        <v>-842.04030733383979</v>
      </c>
      <c r="R581" t="s">
        <v>5126</v>
      </c>
      <c r="S581" t="s">
        <v>5127</v>
      </c>
      <c r="T581" t="s">
        <v>5128</v>
      </c>
      <c r="U581" t="s">
        <v>5129</v>
      </c>
      <c r="V581">
        <f>-552.846998620112 -86.3471765728457 -97.2112842114345</f>
        <v>-736.40545940439222</v>
      </c>
      <c r="W581" t="s">
        <v>5130</v>
      </c>
      <c r="X581" t="s">
        <v>5131</v>
      </c>
      <c r="Y581" t="s">
        <v>5132</v>
      </c>
    </row>
    <row r="582" spans="1:25" x14ac:dyDescent="0.3">
      <c r="A582">
        <v>29050</v>
      </c>
      <c r="B582" t="s">
        <v>5133</v>
      </c>
      <c r="C582" t="s">
        <v>5134</v>
      </c>
      <c r="D582">
        <f>-585.992929192199 -0.970051012049225 -215.176308840101</f>
        <v>-802.1392890443492</v>
      </c>
      <c r="E582">
        <f>-592.616258607852 -9.46420749398271 -313.21015032291</f>
        <v>-915.29061642474471</v>
      </c>
      <c r="F582">
        <f>-594.476799403678 -17.6519388748316 -401.910491260115</f>
        <v>-1014.0392295386246</v>
      </c>
      <c r="G582">
        <f>-591.876168276636 -26.4709855413787 -490.531623082705</f>
        <v>-1108.8787769007197</v>
      </c>
      <c r="H582">
        <f>-583.587878920593 -39.5825735817523 -614.144698902757</f>
        <v>-1237.3151514051024</v>
      </c>
      <c r="I582">
        <f>-555.271568014474 -47.0836043565093 -691.906827263371</f>
        <v>-1294.2619996343544</v>
      </c>
      <c r="J582">
        <f>-585.830471259542 -6.28404932138483 -562.57457310653</f>
        <v>-1154.689093687457</v>
      </c>
      <c r="K582" t="s">
        <v>5135</v>
      </c>
      <c r="L582" t="s">
        <v>5136</v>
      </c>
      <c r="M582" t="s">
        <v>5137</v>
      </c>
      <c r="N582">
        <f>-588.639730138423 -61.3416466364565 -556.922825725478</f>
        <v>-1206.9042025003575</v>
      </c>
      <c r="O582">
        <f>-603.911084204196 -191.323776367594 -514.864489980409</f>
        <v>-1310.099350552199</v>
      </c>
      <c r="P582">
        <f>-644.19548074053 -211.718248281868 -224.085454221555</f>
        <v>-1079.999183243953</v>
      </c>
      <c r="Q582">
        <f>-444.505621586864 -99.3301194698397 -298.541754329179</f>
        <v>-842.37749538588264</v>
      </c>
      <c r="R582" t="s">
        <v>5138</v>
      </c>
      <c r="S582" t="s">
        <v>5139</v>
      </c>
      <c r="T582" t="s">
        <v>5140</v>
      </c>
      <c r="U582" t="s">
        <v>5141</v>
      </c>
      <c r="V582">
        <f>-552.970641391698 -86.6466744697179 -97.2221337551332</f>
        <v>-736.83944961654913</v>
      </c>
      <c r="W582" t="s">
        <v>5142</v>
      </c>
      <c r="X582" t="s">
        <v>5143</v>
      </c>
      <c r="Y582" t="s">
        <v>5144</v>
      </c>
    </row>
    <row r="583" spans="1:25" x14ac:dyDescent="0.3">
      <c r="A583">
        <v>29100</v>
      </c>
      <c r="B583" t="s">
        <v>5145</v>
      </c>
      <c r="C583" t="s">
        <v>5146</v>
      </c>
      <c r="D583">
        <f>-586.351996371288 -1.16126725630261 -215.206744784091</f>
        <v>-802.72000841168165</v>
      </c>
      <c r="E583">
        <f>-592.971670203565 -9.51119523733678 -313.253154162613</f>
        <v>-915.73601960351482</v>
      </c>
      <c r="F583">
        <f>-594.836651646728 -17.5382329037839 -401.968136943893</f>
        <v>-1014.3430214944049</v>
      </c>
      <c r="G583">
        <f>-592.246388994325 -26.1651899973479 -490.608501898006</f>
        <v>-1109.0200808896789</v>
      </c>
      <c r="H583">
        <f>-583.977943415453 -38.9739099770957 -614.254669135285</f>
        <v>-1237.2065225278336</v>
      </c>
      <c r="I583">
        <f>-555.711097806542 -45.8898678450855 -692.088976382014</f>
        <v>-1293.6899420336417</v>
      </c>
      <c r="J583">
        <f>-586.234940165717 -5.80081073366887 -562.604248343967</f>
        <v>-1154.639999243353</v>
      </c>
      <c r="K583" t="s">
        <v>5147</v>
      </c>
      <c r="L583" t="s">
        <v>5148</v>
      </c>
      <c r="M583" t="s">
        <v>5149</v>
      </c>
      <c r="N583">
        <f>-588.99799024144 -60.8739595946979 -557.083858899793</f>
        <v>-1206.955808735931</v>
      </c>
      <c r="O583">
        <f>-604.107177687449 -190.961941371502 -515.292394698658</f>
        <v>-1310.3615137576089</v>
      </c>
      <c r="P583">
        <f>-644.224608943596 -212.046615841062 -224.539609006775</f>
        <v>-1080.810833791433</v>
      </c>
      <c r="Q583">
        <f>-444.610213387662 -99.3731424026084 -298.766627745258</f>
        <v>-842.74998353552837</v>
      </c>
      <c r="R583" t="s">
        <v>5150</v>
      </c>
      <c r="S583" t="s">
        <v>5151</v>
      </c>
      <c r="T583" t="s">
        <v>5152</v>
      </c>
      <c r="U583" t="s">
        <v>5153</v>
      </c>
      <c r="V583">
        <f>-553.529489692657 -86.8316270741791 -97.2547831664029</f>
        <v>-737.61589993323901</v>
      </c>
      <c r="W583" t="s">
        <v>5154</v>
      </c>
      <c r="X583" t="s">
        <v>5155</v>
      </c>
      <c r="Y583" t="s">
        <v>5156</v>
      </c>
    </row>
    <row r="584" spans="1:25" x14ac:dyDescent="0.3">
      <c r="A584">
        <v>29150</v>
      </c>
      <c r="B584" t="s">
        <v>5157</v>
      </c>
      <c r="C584" t="s">
        <v>5158</v>
      </c>
      <c r="D584">
        <f>-586.564489947027 -1.361658695301 -215.201025517053</f>
        <v>-803.12717415938107</v>
      </c>
      <c r="E584">
        <f>-593.146695693105 -9.62333733643845 -313.257496267109</f>
        <v>-916.02752929665246</v>
      </c>
      <c r="F584">
        <f>-594.976044021577 -17.5525944884666 -401.98185371036</f>
        <v>-1014.5104922204036</v>
      </c>
      <c r="G584">
        <f>-592.347914143433 -26.0631164867627 -490.632371153621</f>
        <v>-1109.0434017838168</v>
      </c>
      <c r="H584">
        <f>-584.023583427615 -38.6887389601081 -614.293513651434</f>
        <v>-1237.0058360391572</v>
      </c>
      <c r="I584">
        <f>-555.770723454989 -45.3126569230014 -692.15840905101</f>
        <v>-1293.2417894290006</v>
      </c>
      <c r="J584">
        <f>-586.313889711828 -5.59173159060424 -562.595841792324</f>
        <v>-1154.5014630947562</v>
      </c>
      <c r="K584" t="s">
        <v>5159</v>
      </c>
      <c r="L584" t="s">
        <v>5160</v>
      </c>
      <c r="M584" t="s">
        <v>5161</v>
      </c>
      <c r="N584">
        <f>-589.059617750449 -60.6738027698373 -557.15684591798</f>
        <v>-1206.8902664382663</v>
      </c>
      <c r="O584">
        <f>-604.128386889285 -190.815939279184 -515.524307502822</f>
        <v>-1310.4686336712912</v>
      </c>
      <c r="P584">
        <f>-644.209115762418 -212.328211969136 -224.797676022036</f>
        <v>-1081.3350037535899</v>
      </c>
      <c r="Q584">
        <f>-444.622804064153 -99.4305907511512 -298.759531565015</f>
        <v>-842.81292638031914</v>
      </c>
      <c r="R584" t="s">
        <v>5162</v>
      </c>
      <c r="S584" t="s">
        <v>5163</v>
      </c>
      <c r="T584" t="s">
        <v>5164</v>
      </c>
      <c r="U584" t="s">
        <v>5165</v>
      </c>
      <c r="V584">
        <f>-553.842119788435 -87.1983474350013 -97.2806634865045</f>
        <v>-738.3211307099408</v>
      </c>
      <c r="W584" t="s">
        <v>5166</v>
      </c>
      <c r="X584" t="s">
        <v>5167</v>
      </c>
      <c r="Y584" t="s">
        <v>5168</v>
      </c>
    </row>
    <row r="585" spans="1:25" x14ac:dyDescent="0.3">
      <c r="A585">
        <v>29200</v>
      </c>
      <c r="B585" t="s">
        <v>5169</v>
      </c>
      <c r="C585" t="s">
        <v>5170</v>
      </c>
      <c r="D585">
        <f>-586.691440022495 -1.63694778068066 -215.143562493376</f>
        <v>-803.47195029655177</v>
      </c>
      <c r="E585">
        <f>-593.185984772953 -9.74606677921906 -313.218550044747</f>
        <v>-916.15060159691916</v>
      </c>
      <c r="F585">
        <f>-594.903882462847 -17.4927523912929 -401.961399859996</f>
        <v>-1014.358034714136</v>
      </c>
      <c r="G585">
        <f>-592.130790286802 -25.7764067195735 -490.628874406077</f>
        <v>-1108.5360714124527</v>
      </c>
      <c r="H585">
        <f>-583.567445179679 -38.0395106300305 -614.310273066383</f>
        <v>-1235.9172288760924</v>
      </c>
      <c r="I585">
        <f>-555.262553153743 -44.075558008469 -692.203922472454</f>
        <v>-1291.542033634666</v>
      </c>
      <c r="J585">
        <f>-585.988657487994 -5.09289209620965 -562.522494326391</f>
        <v>-1153.6040439105946</v>
      </c>
      <c r="K585" t="s">
        <v>5171</v>
      </c>
      <c r="L585" t="s">
        <v>5172</v>
      </c>
      <c r="M585" t="s">
        <v>5173</v>
      </c>
      <c r="N585">
        <f>-588.682834311646 -60.1932680925238 -557.245887685831</f>
        <v>-1206.121990090001</v>
      </c>
      <c r="O585">
        <f>-603.66370244668 -190.454835663906 -515.97002979573</f>
        <v>-1310.088567906316</v>
      </c>
      <c r="P585">
        <f>-643.900274006868 -212.714192908855 -225.32112516446</f>
        <v>-1081.9355920801831</v>
      </c>
      <c r="Q585">
        <f>-444.207307045247 -99.6806043395868 -298.78566294574</f>
        <v>-842.67357433057373</v>
      </c>
      <c r="R585" t="s">
        <v>5174</v>
      </c>
      <c r="S585" t="s">
        <v>5175</v>
      </c>
      <c r="T585" t="s">
        <v>5176</v>
      </c>
      <c r="U585" t="s">
        <v>5177</v>
      </c>
      <c r="V585">
        <f>-553.962081500375 -87.4857167772579 -97.287844671511</f>
        <v>-738.73564294914399</v>
      </c>
      <c r="W585" t="s">
        <v>5178</v>
      </c>
      <c r="X585" t="s">
        <v>5179</v>
      </c>
      <c r="Y585" t="s">
        <v>5180</v>
      </c>
    </row>
    <row r="586" spans="1:25" x14ac:dyDescent="0.3">
      <c r="A586">
        <v>29250</v>
      </c>
      <c r="B586" t="s">
        <v>5181</v>
      </c>
      <c r="C586" t="s">
        <v>5182</v>
      </c>
      <c r="D586">
        <f>-586.637897806169 -1.89755233608548 -215.119522473489</f>
        <v>-803.65497261574353</v>
      </c>
      <c r="E586">
        <f>-593.10115886356 -9.93529289311823 -313.202477268601</f>
        <v>-916.23892902527928</v>
      </c>
      <c r="F586">
        <f>-594.776343393512 -17.5995960477158 -401.953229246859</f>
        <v>-1014.3291686880867</v>
      </c>
      <c r="G586">
        <f>-591.945223804627 -25.7831270543941 -490.628230174809</f>
        <v>-1108.35658103383</v>
      </c>
      <c r="H586">
        <f>-583.284696781366 -37.8888343353412 -614.318455366332</f>
        <v>-1235.4919864830395</v>
      </c>
      <c r="I586">
        <f>-554.929656589213 -43.6609390643155 -692.213824894741</f>
        <v>-1290.8044205482695</v>
      </c>
      <c r="J586">
        <f>-585.758659198531 -5.00762562640853 -562.491681891332</f>
        <v>-1153.2579667162713</v>
      </c>
      <c r="K586" t="s">
        <v>5183</v>
      </c>
      <c r="L586" t="s">
        <v>5184</v>
      </c>
      <c r="M586" t="s">
        <v>5185</v>
      </c>
      <c r="N586">
        <f>-588.432831478876 -60.1157817920716 -557.28547195093</f>
        <v>-1205.8340852218776</v>
      </c>
      <c r="O586">
        <f>-603.324063285616 -190.442690631909 -516.167909478771</f>
        <v>-1309.9346633962959</v>
      </c>
      <c r="P586">
        <f>-643.567713181016 -213.097172583961 -225.550653240972</f>
        <v>-1082.2155390059488</v>
      </c>
      <c r="Q586">
        <f>-443.907515205717 -99.8584290958904 -298.787765343004</f>
        <v>-842.55370964461144</v>
      </c>
      <c r="R586" t="s">
        <v>5186</v>
      </c>
      <c r="S586" t="s">
        <v>5187</v>
      </c>
      <c r="T586" t="s">
        <v>5188</v>
      </c>
      <c r="U586" t="s">
        <v>5189</v>
      </c>
      <c r="V586">
        <f>-553.86848860442 -87.8164962531482 -97.2857279679453</f>
        <v>-738.97071282551349</v>
      </c>
      <c r="W586" t="s">
        <v>5190</v>
      </c>
      <c r="X586" t="s">
        <v>5191</v>
      </c>
      <c r="Y586" t="s">
        <v>5192</v>
      </c>
    </row>
    <row r="587" spans="1:25" x14ac:dyDescent="0.3">
      <c r="A587">
        <v>29300</v>
      </c>
      <c r="B587" t="s">
        <v>5193</v>
      </c>
      <c r="C587" t="s">
        <v>5194</v>
      </c>
      <c r="D587">
        <f>-586.489994451495 -2.51104562790511 -215.038482242765</f>
        <v>-804.03952232216511</v>
      </c>
      <c r="E587">
        <f>-592.938019699526 -10.3966590305338 -313.134724580119</f>
        <v>-916.46940331017868</v>
      </c>
      <c r="F587">
        <f>-594.568247314201 -17.8661614228295 -401.903043647547</f>
        <v>-1014.3374523845775</v>
      </c>
      <c r="G587">
        <f>-591.659141529726 -25.7982682290265 -490.598270273848</f>
        <v>-1108.0556800326003</v>
      </c>
      <c r="H587">
        <f>-582.853374602162 -37.4936266202428 -614.317761044062</f>
        <v>-1234.6647622664668</v>
      </c>
      <c r="I587">
        <f>-554.361904993782 -42.8131796501539 -692.195590083736</f>
        <v>-1289.3706747276719</v>
      </c>
      <c r="J587">
        <f>-585.433223828793 -4.78276910423779 -562.388438574695</f>
        <v>-1152.6044315077256</v>
      </c>
      <c r="K587" t="s">
        <v>5195</v>
      </c>
      <c r="L587" t="s">
        <v>5196</v>
      </c>
      <c r="M587" t="s">
        <v>5197</v>
      </c>
      <c r="N587">
        <f>-588.023470169417 -59.9114766447231 -557.361333466144</f>
        <v>-1205.296280280284</v>
      </c>
      <c r="O587">
        <f>-602.687800898151 -190.395790755668 -516.647144897676</f>
        <v>-1309.7307365514948</v>
      </c>
      <c r="P587">
        <f>-642.778424414189 -213.786135669673 -226.066877292864</f>
        <v>-1082.6314373767261</v>
      </c>
      <c r="Q587">
        <f>-443.148014377203 -100.207039054257 -298.856743390066</f>
        <v>-842.21179682152592</v>
      </c>
      <c r="R587" t="s">
        <v>5198</v>
      </c>
      <c r="S587" t="s">
        <v>5199</v>
      </c>
      <c r="T587" t="s">
        <v>5200</v>
      </c>
      <c r="U587" t="s">
        <v>5201</v>
      </c>
      <c r="V587">
        <f>-553.637583321433 -88.5056310433079 -97.2326824000589</f>
        <v>-739.37589676479979</v>
      </c>
      <c r="W587" t="s">
        <v>5202</v>
      </c>
      <c r="X587" t="s">
        <v>5203</v>
      </c>
      <c r="Y587" t="s">
        <v>5204</v>
      </c>
    </row>
    <row r="588" spans="1:25" x14ac:dyDescent="0.3">
      <c r="A588">
        <v>29350</v>
      </c>
      <c r="B588" t="s">
        <v>5205</v>
      </c>
      <c r="C588" t="s">
        <v>5206</v>
      </c>
      <c r="D588">
        <f>-586.506050562053 -2.84214246655802 -214.99831565901</f>
        <v>-804.34650868762105</v>
      </c>
      <c r="E588">
        <f>-592.954577328838 -10.6433331268606 -313.101366482682</f>
        <v>-916.69927693838065</v>
      </c>
      <c r="F588">
        <f>-594.570998536128 -18.007694518142 -401.878599399687</f>
        <v>-1014.4572924539569</v>
      </c>
      <c r="G588">
        <f>-591.632742197081 -25.8061873738707 -490.58470421259</f>
        <v>-1108.0236337835418</v>
      </c>
      <c r="H588">
        <f>-582.769237434687 -37.285282481283 -614.320288993324</f>
        <v>-1234.3748089092942</v>
      </c>
      <c r="I588">
        <f>-554.16377673546 -42.4308640646645 -692.168227669657</f>
        <v>-1288.7628684697816</v>
      </c>
      <c r="J588">
        <f>-585.395955499858 -4.66418023814526 -562.336799048778</f>
        <v>-1152.3969347867812</v>
      </c>
      <c r="K588" t="s">
        <v>5207</v>
      </c>
      <c r="L588" t="s">
        <v>5208</v>
      </c>
      <c r="M588" t="s">
        <v>5209</v>
      </c>
      <c r="N588">
        <f>-587.943320547175 -59.8035087624532 -557.403912899243</f>
        <v>-1205.1507422088712</v>
      </c>
      <c r="O588">
        <f>-602.492666855929 -190.361547027703 -516.903193626038</f>
        <v>-1309.75740750967</v>
      </c>
      <c r="P588">
        <f>-642.380144790319 -214.274193581475 -226.337555968383</f>
        <v>-1082.9918943401769</v>
      </c>
      <c r="Q588">
        <f>-442.88524756154 -100.37086511441 -298.991804330458</f>
        <v>-842.24791700640799</v>
      </c>
      <c r="R588" t="s">
        <v>5210</v>
      </c>
      <c r="S588" t="s">
        <v>5211</v>
      </c>
      <c r="T588" t="s">
        <v>5212</v>
      </c>
      <c r="U588" t="s">
        <v>5213</v>
      </c>
      <c r="V588">
        <f>-553.612620229374 -88.9026792194552 -97.2091390206269</f>
        <v>-739.72443846945612</v>
      </c>
      <c r="W588" t="s">
        <v>5214</v>
      </c>
      <c r="X588" t="s">
        <v>5215</v>
      </c>
      <c r="Y588" t="s">
        <v>5216</v>
      </c>
    </row>
    <row r="589" spans="1:25" x14ac:dyDescent="0.3">
      <c r="A589">
        <v>29400</v>
      </c>
      <c r="B589" t="s">
        <v>5217</v>
      </c>
      <c r="C589" t="s">
        <v>5218</v>
      </c>
      <c r="D589">
        <f>-586.466824532306 -3.37894360972496 -214.904476074522</f>
        <v>-804.75024421655291</v>
      </c>
      <c r="E589">
        <f>-592.916908544295 -11.0444055887424 -313.017994609174</f>
        <v>-916.9793087422114</v>
      </c>
      <c r="F589">
        <f>-594.516816133539 -18.2500236905776 -401.808721232681</f>
        <v>-1014.5755610567976</v>
      </c>
      <c r="G589">
        <f>-591.543178308905 -25.8542986060831 -490.530578143618</f>
        <v>-1107.9280550586061</v>
      </c>
      <c r="H589">
        <f>-582.609391279837 -37.0250632219174 -614.289219172685</f>
        <v>-1233.9236736744394</v>
      </c>
      <c r="I589">
        <f>-553.730702460868 -41.9678502237953 -692.049267969013</f>
        <v>-1287.7478206536762</v>
      </c>
      <c r="J589">
        <f>-585.286659791435 -4.53281498316233 -562.227752926575</f>
        <v>-1152.0472277011722</v>
      </c>
      <c r="K589" t="s">
        <v>5219</v>
      </c>
      <c r="L589" t="s">
        <v>5220</v>
      </c>
      <c r="M589" t="s">
        <v>5221</v>
      </c>
      <c r="N589">
        <f>-587.794762717846 -59.6857712615899 -557.430671827661</f>
        <v>-1204.9112058070968</v>
      </c>
      <c r="O589">
        <f>-602.176950364998 -190.367213937549 -517.275621250585</f>
        <v>-1309.8197855531321</v>
      </c>
      <c r="P589">
        <f>-641.733273531674 -215.175419471501 -226.739767810881</f>
        <v>-1083.6484608140559</v>
      </c>
      <c r="Q589">
        <f>-442.403613639775 -100.892260138629 -299.251019670702</f>
        <v>-842.54689344910605</v>
      </c>
      <c r="R589" t="s">
        <v>5222</v>
      </c>
      <c r="S589" t="s">
        <v>5223</v>
      </c>
      <c r="T589" t="s">
        <v>5224</v>
      </c>
      <c r="U589" t="s">
        <v>5225</v>
      </c>
      <c r="V589">
        <f>-553.514967450051 -89.448491534549 -97.1970275069957</f>
        <v>-740.16048649159575</v>
      </c>
      <c r="W589" t="s">
        <v>5226</v>
      </c>
      <c r="X589" t="s">
        <v>5227</v>
      </c>
      <c r="Y589" t="s">
        <v>5228</v>
      </c>
    </row>
    <row r="590" spans="1:25" x14ac:dyDescent="0.3">
      <c r="A590">
        <v>29450</v>
      </c>
      <c r="B590" t="s">
        <v>5229</v>
      </c>
      <c r="C590" t="s">
        <v>5230</v>
      </c>
      <c r="D590">
        <f>-586.452509296581 -3.43714979641072 -214.871666060413</f>
        <v>-804.76132515340464</v>
      </c>
      <c r="E590">
        <f>-592.900170234197 -11.0618383269884 -312.988708256318</f>
        <v>-916.95071681750346</v>
      </c>
      <c r="F590">
        <f>-594.491241600489 -18.218993002783 -401.783370361712</f>
        <v>-1014.4936049649841</v>
      </c>
      <c r="G590">
        <f>-591.501895739423 -25.7637302605997 -490.509795400328</f>
        <v>-1107.7754214003508</v>
      </c>
      <c r="H590">
        <f>-582.53874441392 -36.84017391465 -614.274819602502</f>
        <v>-1233.6537379310721</v>
      </c>
      <c r="I590">
        <f>-553.505456989353 -41.7185697068494 -691.981240534111</f>
        <v>-1287.2052672303134</v>
      </c>
      <c r="J590">
        <f>-585.22331961855 -4.38786976724759 -562.18890849881</f>
        <v>-1151.8000978846076</v>
      </c>
      <c r="K590" t="s">
        <v>5231</v>
      </c>
      <c r="L590" t="s">
        <v>5232</v>
      </c>
      <c r="M590" t="s">
        <v>5233</v>
      </c>
      <c r="N590">
        <f>-587.742624141822 -59.5442225430388 -557.435093927234</f>
        <v>-1204.7219406120948</v>
      </c>
      <c r="O590">
        <f>-602.138280560892 -190.259311224587 -517.38187224278</f>
        <v>-1309.7794640282591</v>
      </c>
      <c r="P590">
        <f>-641.564187916614 -215.396704344705 -226.856590492785</f>
        <v>-1083.8174827541038</v>
      </c>
      <c r="Q590">
        <f>-442.280231352574 -101.062861674272 -299.413789316359</f>
        <v>-842.75688234320501</v>
      </c>
      <c r="R590" t="s">
        <v>5234</v>
      </c>
      <c r="S590" t="s">
        <v>5235</v>
      </c>
      <c r="T590" t="s">
        <v>5236</v>
      </c>
      <c r="U590" t="s">
        <v>5237</v>
      </c>
      <c r="V590">
        <f>-553.493038002799 -89.4752337448306 -97.1791803095289</f>
        <v>-740.14745205715849</v>
      </c>
      <c r="W590" t="s">
        <v>5238</v>
      </c>
      <c r="X590" t="s">
        <v>5239</v>
      </c>
      <c r="Y590" t="s">
        <v>5240</v>
      </c>
    </row>
    <row r="591" spans="1:25" x14ac:dyDescent="0.3">
      <c r="A591">
        <v>29500</v>
      </c>
      <c r="B591" t="s">
        <v>5241</v>
      </c>
      <c r="C591" t="s">
        <v>5242</v>
      </c>
      <c r="D591">
        <f>-586.533357335055 -3.25157323518351 -214.863474688968</f>
        <v>-804.64840525920658</v>
      </c>
      <c r="E591">
        <f>-593.00274120221 -10.8120778679495 -312.984134869084</f>
        <v>-916.79895393924357</v>
      </c>
      <c r="F591">
        <f>-594.614117328258 -17.8953021980835 -401.784290800423</f>
        <v>-1014.2937103267645</v>
      </c>
      <c r="G591">
        <f>-591.644943290378 -25.3506109950968 -490.518914095325</f>
        <v>-1107.5144683807998</v>
      </c>
      <c r="H591">
        <f>-582.7093977901 -36.2866140229514 -614.298498081836</f>
        <v>-1233.2945098948874</v>
      </c>
      <c r="I591">
        <f>-553.29079788911 -41.1249964528754 -691.862356811969</f>
        <v>-1286.2781511539542</v>
      </c>
      <c r="J591">
        <f>-585.355699157097 -3.89448816185177 -562.172990761833</f>
        <v>-1151.4231780807818</v>
      </c>
      <c r="K591" t="s">
        <v>5243</v>
      </c>
      <c r="L591" t="s">
        <v>5244</v>
      </c>
      <c r="M591" t="s">
        <v>5245</v>
      </c>
      <c r="N591">
        <f>-587.92731819304 -59.0540596278431 -557.485324521673</f>
        <v>-1204.4667023425561</v>
      </c>
      <c r="O591">
        <f>-602.412951484509 -189.790711692757 -517.534730020713</f>
        <v>-1309.7383931979789</v>
      </c>
      <c r="P591">
        <f>-641.914985140248 -214.915563655742 -227.01882377762</f>
        <v>-1083.8493725736098</v>
      </c>
      <c r="Q591">
        <f>-442.541512306473 -100.788953004185 -299.656075088402</f>
        <v>-842.98654039906</v>
      </c>
      <c r="R591" t="s">
        <v>5246</v>
      </c>
      <c r="S591" t="s">
        <v>5247</v>
      </c>
      <c r="T591" t="s">
        <v>5248</v>
      </c>
      <c r="U591" t="s">
        <v>5249</v>
      </c>
      <c r="V591">
        <f>-553.595612150777 -89.4133621360379 -97.1741130985714</f>
        <v>-740.18308738538633</v>
      </c>
      <c r="W591" t="s">
        <v>5250</v>
      </c>
      <c r="X591" t="s">
        <v>5251</v>
      </c>
      <c r="Y591" t="s">
        <v>5252</v>
      </c>
    </row>
    <row r="592" spans="1:25" x14ac:dyDescent="0.3">
      <c r="A592">
        <v>29550</v>
      </c>
      <c r="B592" t="s">
        <v>5253</v>
      </c>
      <c r="C592" t="s">
        <v>5254</v>
      </c>
      <c r="D592">
        <f>-586.587807138307 -3.14183267836233 -214.856553673969</f>
        <v>-804.58619349063827</v>
      </c>
      <c r="E592">
        <f>-593.093057068802 -10.6747917799594 -312.976877414419</f>
        <v>-916.74472626318038</v>
      </c>
      <c r="F592">
        <f>-594.748769248502 -17.7236703502767 -401.779010575394</f>
        <v>-1014.2514501741728</v>
      </c>
      <c r="G592">
        <f>-591.835360171844 -25.1351177332297 -490.51923165961</f>
        <v>-1107.4897095646836</v>
      </c>
      <c r="H592">
        <f>-582.989321896159 -35.9993977808958 -614.311489791252</f>
        <v>-1233.300209468307</v>
      </c>
      <c r="I592">
        <f>-553.351755252845 -40.8641561568613 -691.790353454555</f>
        <v>-1286.0062648642613</v>
      </c>
      <c r="J592">
        <f>-585.578503618804 -3.63817078454713 -562.16400964358</f>
        <v>-1151.380684046931</v>
      </c>
      <c r="K592" t="s">
        <v>5255</v>
      </c>
      <c r="L592" t="s">
        <v>5256</v>
      </c>
      <c r="M592" t="s">
        <v>5257</v>
      </c>
      <c r="N592">
        <f>-588.185305354478 -58.7988097119451 -557.509298698072</f>
        <v>-1204.493413764495</v>
      </c>
      <c r="O592">
        <f>-602.770649009921 -189.527817132469 -517.564570279325</f>
        <v>-1309.8630364217152</v>
      </c>
      <c r="P592">
        <f>-642.300840094476 -214.549423276369 -227.043480640378</f>
        <v>-1083.8937440112231</v>
      </c>
      <c r="Q592">
        <f>-442.845817711537 -100.562456599001 -299.67650704229</f>
        <v>-843.08478135282803</v>
      </c>
      <c r="R592" t="s">
        <v>5258</v>
      </c>
      <c r="S592" t="s">
        <v>5259</v>
      </c>
      <c r="T592" t="s">
        <v>5260</v>
      </c>
      <c r="U592" t="s">
        <v>5261</v>
      </c>
      <c r="V592">
        <f>-553.729883768119 -89.2453052803432 -97.1724243235915</f>
        <v>-740.14761337205368</v>
      </c>
      <c r="W592" t="s">
        <v>5262</v>
      </c>
      <c r="X592" t="s">
        <v>5263</v>
      </c>
      <c r="Y592" t="s">
        <v>5264</v>
      </c>
    </row>
    <row r="593" spans="1:25" x14ac:dyDescent="0.3">
      <c r="A593">
        <v>29600</v>
      </c>
      <c r="B593" t="s">
        <v>5265</v>
      </c>
      <c r="C593" t="s">
        <v>5266</v>
      </c>
      <c r="D593">
        <f>-586.747312359561 -2.68677198447767 -214.864532824908</f>
        <v>-804.29861716894663</v>
      </c>
      <c r="E593">
        <f>-593.325817983845 -10.1800414864726 -312.983021378169</f>
        <v>-916.48888084848659</v>
      </c>
      <c r="F593">
        <f>-595.069736007774 -17.1903928032032 -401.786434015968</f>
        <v>-1014.0465628269452</v>
      </c>
      <c r="G593">
        <f>-592.266765242549 -24.5603812968116 -490.5337048886</f>
        <v>-1107.3608514279606</v>
      </c>
      <c r="H593">
        <f>-583.597658940389 -35.3623437781744 -614.343905402097</f>
        <v>-1233.3039081206603</v>
      </c>
      <c r="I593">
        <f>-553.425655691927 -40.2729831347776 -691.613310956211</f>
        <v>-1285.3119497829157</v>
      </c>
      <c r="J593">
        <f>-586.054789370313 -3.02978955125832 -562.172360003041</f>
        <v>-1151.2569389246123</v>
      </c>
      <c r="K593" t="s">
        <v>5267</v>
      </c>
      <c r="L593" t="s">
        <v>5268</v>
      </c>
      <c r="M593" t="s">
        <v>5269</v>
      </c>
      <c r="N593">
        <f>-588.770050861106 -58.1879242221669 -557.550085962241</f>
        <v>-1204.5080610455138</v>
      </c>
      <c r="O593">
        <f>-603.706875580198 -188.842828202728 -517.508380691595</f>
        <v>-1310.0580844745209</v>
      </c>
      <c r="P593">
        <f>-643.236660300762 -213.563549805869 -226.961417232356</f>
        <v>-1083.761627338987</v>
      </c>
      <c r="Q593">
        <f>-443.610765413086 -99.978820454256 -299.754806320175</f>
        <v>-843.34439218751709</v>
      </c>
      <c r="R593" t="s">
        <v>5270</v>
      </c>
      <c r="S593" t="s">
        <v>5271</v>
      </c>
      <c r="T593" t="s">
        <v>5272</v>
      </c>
      <c r="U593" t="s">
        <v>5273</v>
      </c>
      <c r="V593">
        <f>-553.966449417301 -88.868899920896 -97.1757906418336</f>
        <v>-740.01113998003052</v>
      </c>
      <c r="W593" t="s">
        <v>5274</v>
      </c>
      <c r="X593" t="s">
        <v>5275</v>
      </c>
      <c r="Y593" t="s">
        <v>5276</v>
      </c>
    </row>
    <row r="594" spans="1:25" x14ac:dyDescent="0.3">
      <c r="A594">
        <v>29650</v>
      </c>
      <c r="B594" t="s">
        <v>5277</v>
      </c>
      <c r="C594" t="s">
        <v>5278</v>
      </c>
      <c r="D594">
        <f>-586.853774303331 -2.44480027010513 -214.849614481856</f>
        <v>-804.14818905529205</v>
      </c>
      <c r="E594">
        <f>-593.395506610132 -9.9216219761438 -312.971988773863</f>
        <v>-916.28911736013879</v>
      </c>
      <c r="F594">
        <f>-595.085894852052 -16.9241401267673 -401.776974375204</f>
        <v>-1013.7870093540232</v>
      </c>
      <c r="G594">
        <f>-592.209117826379 -24.2933794623179 -490.521955263821</f>
        <v>-1107.0244525525179</v>
      </c>
      <c r="H594">
        <f>-583.416019090099 -35.1018946675356 -614.322888486471</f>
        <v>-1232.8408022441056</v>
      </c>
      <c r="I594">
        <f>-552.902751729472 -40.0268450625924 -691.4571297189</f>
        <v>-1284.3867265109643</v>
      </c>
      <c r="J594">
        <f>-585.902765886176 -2.76766006391472 -562.153770312301</f>
        <v>-1150.8241962623918</v>
      </c>
      <c r="K594" t="s">
        <v>5279</v>
      </c>
      <c r="L594" t="s">
        <v>5280</v>
      </c>
      <c r="M594" t="s">
        <v>5281</v>
      </c>
      <c r="N594">
        <f>-588.667991093632 -57.9235643647507 -557.53469210997</f>
        <v>-1204.1262475683529</v>
      </c>
      <c r="O594">
        <f>-603.765394156751 -188.541025042862 -517.428665501904</f>
        <v>-1309.7350847015168</v>
      </c>
      <c r="P594">
        <f>-643.357139451772 -213.244669157913 -226.888628748017</f>
        <v>-1083.4904373577019</v>
      </c>
      <c r="Q594">
        <f>-443.655867560214 -99.8813739283235 -299.820487419449</f>
        <v>-843.35772890798648</v>
      </c>
      <c r="R594" t="s">
        <v>5282</v>
      </c>
      <c r="S594" t="s">
        <v>5283</v>
      </c>
      <c r="T594" t="s">
        <v>5284</v>
      </c>
      <c r="U594" t="s">
        <v>5285</v>
      </c>
      <c r="V594">
        <f>-554.150002563475 -88.7052348095028 -97.16585812503</f>
        <v>-740.02109549800787</v>
      </c>
      <c r="W594" t="s">
        <v>5286</v>
      </c>
      <c r="X594" t="s">
        <v>5287</v>
      </c>
      <c r="Y594" t="s">
        <v>5288</v>
      </c>
    </row>
    <row r="595" spans="1:25" x14ac:dyDescent="0.3">
      <c r="A595">
        <v>29700</v>
      </c>
      <c r="B595" t="s">
        <v>5289</v>
      </c>
      <c r="C595" t="s">
        <v>5290</v>
      </c>
      <c r="D595">
        <f>-587.579967954898 -1.8374403850728 -214.83112469476</f>
        <v>-804.24853303473083</v>
      </c>
      <c r="E595">
        <f>-594.056739894202 -9.25438556860604 -312.962117827471</f>
        <v>-916.27324329027897</v>
      </c>
      <c r="F595">
        <f>-595.621057369984 -16.1965002963682 -401.774327227559</f>
        <v>-1013.5918848939111</v>
      </c>
      <c r="G595">
        <f>-592.550346735387 -23.4997700850711 -490.518164969135</f>
        <v>-1106.5682817895931</v>
      </c>
      <c r="H595">
        <f>-583.41573227869 -34.2105744366884 -614.302871645647</f>
        <v>-1231.9291783610254</v>
      </c>
      <c r="I595">
        <f>-552.322083977949 -39.1832214702883 -691.202091636366</f>
        <v>-1282.7073970846034</v>
      </c>
      <c r="J595">
        <f>-586.043168216902 -1.91752476338706 -562.115003007298</f>
        <v>-1150.0756959875871</v>
      </c>
      <c r="K595" t="s">
        <v>5291</v>
      </c>
      <c r="L595" t="s">
        <v>5292</v>
      </c>
      <c r="M595" t="s">
        <v>5293</v>
      </c>
      <c r="N595">
        <f>-588.827743653475 -57.0769808658772 -557.547699851013</f>
        <v>-1203.4524243703652</v>
      </c>
      <c r="O595">
        <f>-604.027767640918 -187.684774797312 -517.460316008633</f>
        <v>-1309.1728584468628</v>
      </c>
      <c r="P595">
        <f>-644.091182166697 -212.301272715378 -226.977645733596</f>
        <v>-1083.3701006156709</v>
      </c>
      <c r="Q595">
        <f>-444.136304367968 -99.2526083388025 -299.702732858321</f>
        <v>-843.09164556509154</v>
      </c>
      <c r="R595" t="s">
        <v>5294</v>
      </c>
      <c r="S595" t="s">
        <v>5295</v>
      </c>
      <c r="T595" t="s">
        <v>5296</v>
      </c>
      <c r="U595" t="s">
        <v>5297</v>
      </c>
      <c r="V595">
        <f>-554.83912842357 -88.2571392544048 -97.1531449941359</f>
        <v>-740.24941267211068</v>
      </c>
      <c r="W595" t="s">
        <v>5298</v>
      </c>
      <c r="X595" t="s">
        <v>5299</v>
      </c>
      <c r="Y595" t="s">
        <v>5300</v>
      </c>
    </row>
    <row r="596" spans="1:25" x14ac:dyDescent="0.3">
      <c r="A596">
        <v>29750</v>
      </c>
      <c r="B596" t="s">
        <v>5301</v>
      </c>
      <c r="C596" t="s">
        <v>5302</v>
      </c>
      <c r="D596">
        <f>-588.095208945829 -1.8673085987723 -214.840493414562</f>
        <v>-804.8030109591632</v>
      </c>
      <c r="E596">
        <f>-594.55401205633 -9.24371054090329 -312.975669977028</f>
        <v>-916.77339257426127</v>
      </c>
      <c r="F596">
        <f>-596.081807925398 -16.1390475311152 -401.792130197787</f>
        <v>-1014.0129856543003</v>
      </c>
      <c r="G596">
        <f>-592.953861328855 -23.3854290801987 -490.538745767454</f>
        <v>-1106.8780361765077</v>
      </c>
      <c r="H596">
        <f>-583.717451991796 -34.0063147027934 -614.323584190763</f>
        <v>-1232.0473508853524</v>
      </c>
      <c r="I596">
        <f>-552.361534452004 -38.9873435795278 -691.115569617543</f>
        <v>-1282.4644476490748</v>
      </c>
      <c r="J596">
        <f>-586.399226149607 -1.75080926890064 -562.115428396833</f>
        <v>-1150.2654638153406</v>
      </c>
      <c r="K596" t="s">
        <v>5303</v>
      </c>
      <c r="L596" t="s">
        <v>5304</v>
      </c>
      <c r="M596" t="s">
        <v>5305</v>
      </c>
      <c r="N596">
        <f>-589.164665264416 -56.9144205661516 -557.588523531421</f>
        <v>-1203.6676093619885</v>
      </c>
      <c r="O596">
        <f>-604.328871750045 -187.552124578836 -517.586332613428</f>
        <v>-1309.467328942309</v>
      </c>
      <c r="P596">
        <f>-644.594949948632 -212.146783734749 -227.129858450134</f>
        <v>-1083.8715921335149</v>
      </c>
      <c r="Q596">
        <f>-444.564516921942 -98.9464901650306 -299.409705701596</f>
        <v>-842.92071278856861</v>
      </c>
      <c r="R596" t="s">
        <v>5306</v>
      </c>
      <c r="S596" t="s">
        <v>5307</v>
      </c>
      <c r="T596" t="s">
        <v>5308</v>
      </c>
      <c r="U596" t="s">
        <v>5309</v>
      </c>
      <c r="V596">
        <f>-555.322973914426 -88.4196512186302 -97.1803492433986</f>
        <v>-740.92297437645482</v>
      </c>
      <c r="W596" t="s">
        <v>5310</v>
      </c>
      <c r="X596" t="s">
        <v>5311</v>
      </c>
      <c r="Y596" t="s">
        <v>5312</v>
      </c>
    </row>
    <row r="597" spans="1:25" x14ac:dyDescent="0.3">
      <c r="A597">
        <v>29800</v>
      </c>
      <c r="B597" t="s">
        <v>5313</v>
      </c>
      <c r="C597" t="s">
        <v>5314</v>
      </c>
      <c r="D597">
        <f>-588.98618221986 -1.87285516540624 -214.860419100886</f>
        <v>-805.71945648615224</v>
      </c>
      <c r="E597">
        <f>-595.346730256727 -9.18090320526017 -313.007173210256</f>
        <v>-917.53480667224312</v>
      </c>
      <c r="F597">
        <f>-596.751517540321 -16.0047400922326 -401.831265486347</f>
        <v>-1014.5875231189005</v>
      </c>
      <c r="G597">
        <f>-593.466882204376 -23.171762208882 -490.578451343035</f>
        <v>-1107.217095756293</v>
      </c>
      <c r="H597">
        <f>-583.975641076121 -33.6746445727838 -614.354181962731</f>
        <v>-1232.0044676116358</v>
      </c>
      <c r="I597">
        <f>-551.968086235948 -38.6074250181562 -690.880056991847</f>
        <v>-1281.4555682459513</v>
      </c>
      <c r="J597">
        <f>-586.761095348777 -1.46913491620057 -562.120656386568</f>
        <v>-1150.3508866515456</v>
      </c>
      <c r="K597" t="s">
        <v>5315</v>
      </c>
      <c r="L597" t="s">
        <v>5316</v>
      </c>
      <c r="M597" t="s">
        <v>5317</v>
      </c>
      <c r="N597">
        <f>-589.54344920555 -56.6366200012794 -557.652690315988</f>
        <v>-1203.8327595228175</v>
      </c>
      <c r="O597">
        <f>-604.735227143085 -187.323146792166 -517.810356328113</f>
        <v>-1309.8687302633639</v>
      </c>
      <c r="P597">
        <f>-645.177717776382 -212.274475425147 -227.408776229731</f>
        <v>-1084.8609694312599</v>
      </c>
      <c r="Q597">
        <f>-445.316050516695 -98.4423413995462 -299.161286994197</f>
        <v>-842.91967891043817</v>
      </c>
      <c r="R597" t="s">
        <v>5318</v>
      </c>
      <c r="S597" t="s">
        <v>5319</v>
      </c>
      <c r="T597" t="s">
        <v>5320</v>
      </c>
      <c r="U597" t="s">
        <v>5321</v>
      </c>
      <c r="V597">
        <f>-556.370367606249 -88.200597265635 -97.2443996051541</f>
        <v>-741.81536447703809</v>
      </c>
      <c r="W597" t="s">
        <v>5322</v>
      </c>
      <c r="X597" t="s">
        <v>5323</v>
      </c>
      <c r="Y597" t="s">
        <v>5324</v>
      </c>
    </row>
    <row r="598" spans="1:25" x14ac:dyDescent="0.3">
      <c r="A598">
        <v>29850</v>
      </c>
      <c r="B598" t="s">
        <v>5325</v>
      </c>
      <c r="C598" t="s">
        <v>5326</v>
      </c>
      <c r="D598">
        <f>-589.455181219686 -1.63917911594604 -214.899829936127</f>
        <v>-805.99419027175895</v>
      </c>
      <c r="E598">
        <f>-595.794052764873 -8.9336404207686 -313.049017150794</f>
        <v>-917.7767103364356</v>
      </c>
      <c r="F598">
        <f>-597.174363212559 -15.748184354567 -401.874191569714</f>
        <v>-1014.79673913684</v>
      </c>
      <c r="G598">
        <f>-593.860446967149 -22.9099096033094 -490.620819345989</f>
        <v>-1107.3911759164473</v>
      </c>
      <c r="H598">
        <f>-584.323848689762 -33.4108724856771 -614.393172288201</f>
        <v>-1232.1278934636402</v>
      </c>
      <c r="I598">
        <f>-552.091054901938 -38.3105565136373 -690.826559681597</f>
        <v>-1281.2281710971724</v>
      </c>
      <c r="J598">
        <f>-587.105024093042 -1.20722405604806 -562.158162434619</f>
        <v>-1150.4704105837091</v>
      </c>
      <c r="K598" t="s">
        <v>5327</v>
      </c>
      <c r="L598" t="s">
        <v>5328</v>
      </c>
      <c r="M598" t="s">
        <v>5329</v>
      </c>
      <c r="N598">
        <f>-589.935853160191 -56.3727012621587 -557.696004587448</f>
        <v>-1204.0045590097975</v>
      </c>
      <c r="O598">
        <f>-605.193776631772 -187.073152408648 -517.900258393415</f>
        <v>-1310.1671874338351</v>
      </c>
      <c r="P598">
        <f>-645.489824519776 -212.022666227303 -227.4781816279</f>
        <v>-1084.9906723749791</v>
      </c>
      <c r="Q598">
        <f>-445.820346526757 -98.021191622624 -299.496909349741</f>
        <v>-843.33844749912191</v>
      </c>
      <c r="R598" t="s">
        <v>5330</v>
      </c>
      <c r="S598" t="s">
        <v>5331</v>
      </c>
      <c r="T598" t="s">
        <v>5332</v>
      </c>
      <c r="U598" t="s">
        <v>5333</v>
      </c>
      <c r="V598">
        <f>-556.914329490432 -87.8242244148385 -97.2780768125608</f>
        <v>-742.01663071783128</v>
      </c>
      <c r="W598" t="s">
        <v>5334</v>
      </c>
      <c r="X598" t="s">
        <v>5335</v>
      </c>
      <c r="Y598" t="s">
        <v>5336</v>
      </c>
    </row>
    <row r="599" spans="1:25" x14ac:dyDescent="0.3">
      <c r="A599">
        <v>29900</v>
      </c>
      <c r="B599" t="s">
        <v>5337</v>
      </c>
      <c r="C599" t="s">
        <v>5338</v>
      </c>
      <c r="D599">
        <f>-590.551694715105 -1.58567520524912 -214.973028589707</f>
        <v>-807.11039851006115</v>
      </c>
      <c r="E599">
        <f>-596.802125240948 -8.85915208155575 -313.129361682691</f>
        <v>-918.79063900519486</v>
      </c>
      <c r="F599">
        <f>-598.109574824448 -15.6540858744131 -401.95707204304</f>
        <v>-1015.7207327419012</v>
      </c>
      <c r="G599">
        <f>-594.730055967673 -22.7974615691771 -490.702774655551</f>
        <v>-1108.2302921924011</v>
      </c>
      <c r="H599">
        <f>-585.10994421131 -33.2752708898554 -614.470669219988</f>
        <v>-1232.8558843211536</v>
      </c>
      <c r="I599">
        <f>-552.46121165341 -38.0692602599995 -690.734111430802</f>
        <v>-1281.2645833442116</v>
      </c>
      <c r="J599">
        <f>-587.871327091855 -1.08380174244485 -562.22701223731</f>
        <v>-1151.1821410716097</v>
      </c>
      <c r="K599" t="s">
        <v>5339</v>
      </c>
      <c r="L599" t="s">
        <v>5340</v>
      </c>
      <c r="M599" t="s">
        <v>5341</v>
      </c>
      <c r="N599">
        <f>-590.815240877227 -56.2451370545164 -557.786051180049</f>
        <v>-1204.8464291117923</v>
      </c>
      <c r="O599">
        <f>-606.296741050625 -186.934531631108 -518.029557960847</f>
        <v>-1311.26083064258</v>
      </c>
      <c r="P599">
        <f>-646.636329111689 -211.961891652417 -227.620309490284</f>
        <v>-1086.2185302543899</v>
      </c>
      <c r="Q599">
        <f>-446.973097649369 -98.4425134235635 -300.413285664326</f>
        <v>-845.82889673725845</v>
      </c>
      <c r="R599" t="s">
        <v>5342</v>
      </c>
      <c r="S599" t="s">
        <v>5343</v>
      </c>
      <c r="T599" t="s">
        <v>5344</v>
      </c>
      <c r="U599" t="s">
        <v>5345</v>
      </c>
      <c r="V599">
        <f>-558.242353595246 -87.976392585229 -97.3173942050652</f>
        <v>-743.53614038554008</v>
      </c>
      <c r="W599" t="s">
        <v>5346</v>
      </c>
      <c r="X599" t="s">
        <v>5347</v>
      </c>
      <c r="Y599" t="s">
        <v>5348</v>
      </c>
    </row>
    <row r="600" spans="1:25" x14ac:dyDescent="0.3">
      <c r="A600">
        <v>29950</v>
      </c>
      <c r="B600" t="s">
        <v>5349</v>
      </c>
      <c r="C600" t="s">
        <v>5350</v>
      </c>
      <c r="D600">
        <f>-591.110305192964 -1.49688300386538 -214.998562554904</f>
        <v>-807.60575075173335</v>
      </c>
      <c r="E600">
        <f>-597.291930348293 -8.74847511145549 -313.160888662604</f>
        <v>-919.20129412235246</v>
      </c>
      <c r="F600">
        <f>-598.52949943097 -15.5192107513305 -401.991387188911</f>
        <v>-1016.0400973712115</v>
      </c>
      <c r="G600">
        <f>-595.072703241446 -22.6355948799803 -490.73629482732</f>
        <v>-1108.4445929487463</v>
      </c>
      <c r="H600">
        <f>-585.336463809263 -33.0740999753373 -614.498454741569</f>
        <v>-1232.9090185261693</v>
      </c>
      <c r="I600">
        <f>-552.443184068152 -37.8072282378905 -690.660498574289</f>
        <v>-1280.9109108803316</v>
      </c>
      <c r="J600">
        <f>-588.116282862377 -0.900623959568748 -562.2446728955</f>
        <v>-1151.2615797174458</v>
      </c>
      <c r="K600" t="s">
        <v>5351</v>
      </c>
      <c r="L600" t="s">
        <v>5352</v>
      </c>
      <c r="M600" t="s">
        <v>5353</v>
      </c>
      <c r="N600">
        <f>-591.125702132164 -56.060627234596 -557.82906837408</f>
        <v>-1205.0153977408399</v>
      </c>
      <c r="O600">
        <f>-606.788324496443 -186.742489497085 -518.146825379433</f>
        <v>-1311.677639372961</v>
      </c>
      <c r="P600">
        <f>-647.223326327075 -211.8296306806 -227.755997945301</f>
        <v>-1086.8089549529759</v>
      </c>
      <c r="Q600">
        <f>-447.298618145011 -98.8306295335558 -300.640830696555</f>
        <v>-846.77007837512178</v>
      </c>
      <c r="R600" t="s">
        <v>5354</v>
      </c>
      <c r="S600" t="s">
        <v>5355</v>
      </c>
      <c r="T600" t="s">
        <v>5356</v>
      </c>
      <c r="U600" t="s">
        <v>5357</v>
      </c>
      <c r="V600">
        <f>-558.923393689069 -87.8163975150453 -97.3168685219667</f>
        <v>-744.05665972608108</v>
      </c>
      <c r="W600" t="s">
        <v>5358</v>
      </c>
      <c r="X600" t="s">
        <v>5359</v>
      </c>
      <c r="Y600" t="s">
        <v>5360</v>
      </c>
    </row>
    <row r="601" spans="1:25" x14ac:dyDescent="0.3">
      <c r="A601">
        <v>30000</v>
      </c>
      <c r="B601" t="s">
        <v>5361</v>
      </c>
      <c r="C601" t="s">
        <v>5362</v>
      </c>
      <c r="D601">
        <f>-592.340962753598 -1.0935299699272 -214.945613718202</f>
        <v>-808.38010644172721</v>
      </c>
      <c r="E601">
        <f>-598.429548893875 -8.25895959252011 -313.120258582222</f>
        <v>-919.80876706861704</v>
      </c>
      <c r="F601">
        <f>-599.575703484446 -14.9576974034399 -401.957541700803</f>
        <v>-1016.4909425886888</v>
      </c>
      <c r="G601">
        <f>-596.020644322403 -22.0102219331254 -490.703532047751</f>
        <v>-1108.7343983032795</v>
      </c>
      <c r="H601">
        <f>-586.141044364477 -32.369351874856 -614.460909665619</f>
        <v>-1232.971305904952</v>
      </c>
      <c r="I601">
        <f>-552.760277218938 -37.0865223843668 -690.411653951385</f>
        <v>-1280.2584535546898</v>
      </c>
      <c r="J601">
        <f>-588.913178209885 -0.232822194980827 -562.184013084932</f>
        <v>-1151.3300134897977</v>
      </c>
      <c r="K601" t="s">
        <v>5363</v>
      </c>
      <c r="L601" t="s">
        <v>5364</v>
      </c>
      <c r="M601" t="s">
        <v>5365</v>
      </c>
      <c r="N601">
        <f>-592.064148770738 -55.388850995716 -557.818907501118</f>
        <v>-1205.271907267572</v>
      </c>
      <c r="O601">
        <f>-608.071849667145 -186.069834174356 -518.283097030472</f>
        <v>-1312.4247808719729</v>
      </c>
      <c r="P601">
        <f>-648.931177839675 -211.641000256339 -227.993794501752</f>
        <v>-1088.5659725977659</v>
      </c>
      <c r="Q601">
        <f>-448.586697632539 -99.0592751358463 -300.369947632237</f>
        <v>-848.01592040062235</v>
      </c>
      <c r="R601" t="s">
        <v>5366</v>
      </c>
      <c r="S601" t="s">
        <v>5367</v>
      </c>
      <c r="T601" t="s">
        <v>5368</v>
      </c>
      <c r="U601" t="s">
        <v>5369</v>
      </c>
      <c r="V601">
        <f>-560.487268783572 -87.4245510289591 -97.3277476567476</f>
        <v>-745.23956746927865</v>
      </c>
      <c r="W601" t="s">
        <v>5370</v>
      </c>
      <c r="X601" t="s">
        <v>5371</v>
      </c>
      <c r="Y601" t="s">
        <v>5372</v>
      </c>
    </row>
    <row r="602" spans="1:25" x14ac:dyDescent="0.3">
      <c r="A602">
        <v>30050</v>
      </c>
      <c r="B602" t="s">
        <v>5373</v>
      </c>
      <c r="C602" t="s">
        <v>5374</v>
      </c>
      <c r="D602">
        <f>-593.169051586632 -0.531277217809247 -214.896071165838</f>
        <v>-808.59639997027921</v>
      </c>
      <c r="E602">
        <f>-599.273679804442 -7.65452482936325 -313.072651409769</f>
        <v>-920.00085604357423</v>
      </c>
      <c r="F602">
        <f>-600.421699454024 -14.3113117774774 -401.913092732556</f>
        <v>-1016.6461039640574</v>
      </c>
      <c r="G602">
        <f>-596.855142155638 -21.3196662669761 -490.66215149611</f>
        <v>-1108.836959918724</v>
      </c>
      <c r="H602">
        <f>-586.945650069703 -31.6154838385085 -614.422485757187</f>
        <v>-1232.9836196653985</v>
      </c>
      <c r="I602">
        <f>-553.336941565958 -36.3658166413968 -690.270422271377</f>
        <v>-1279.9731804787318</v>
      </c>
      <c r="J602" t="s">
        <v>5375</v>
      </c>
      <c r="K602" t="s">
        <v>5376</v>
      </c>
      <c r="L602" t="s">
        <v>5377</v>
      </c>
      <c r="M602" t="s">
        <v>5378</v>
      </c>
      <c r="N602">
        <f>-592.920014922916 -54.6619514497825 -557.796727782529</f>
        <v>-1205.3786941552275</v>
      </c>
      <c r="O602">
        <f>-609.130236136832 -185.345699198412 -518.345775673275</f>
        <v>-1312.8217110085191</v>
      </c>
      <c r="P602">
        <f>-650.204985927292 -210.988421562513 -228.093261229271</f>
        <v>-1089.286668719076</v>
      </c>
      <c r="Q602">
        <f>-449.401382826678 -98.8124608859205 -299.824448250584</f>
        <v>-848.03829196318247</v>
      </c>
      <c r="R602" t="s">
        <v>5379</v>
      </c>
      <c r="S602" t="s">
        <v>5380</v>
      </c>
      <c r="T602" t="s">
        <v>5381</v>
      </c>
      <c r="U602" t="s">
        <v>5382</v>
      </c>
      <c r="V602">
        <f>-561.31157737613 -86.8874658090226 -97.317614948759</f>
        <v>-745.51665813391162</v>
      </c>
      <c r="W602" t="s">
        <v>5383</v>
      </c>
      <c r="X602" t="s">
        <v>5384</v>
      </c>
      <c r="Y602" t="s">
        <v>5385</v>
      </c>
    </row>
    <row r="603" spans="1:25" x14ac:dyDescent="0.3">
      <c r="A603">
        <v>30100</v>
      </c>
      <c r="B603" t="s">
        <v>5386</v>
      </c>
      <c r="C603" t="s">
        <v>5387</v>
      </c>
      <c r="D603" t="s">
        <v>5388</v>
      </c>
      <c r="E603">
        <f>-600.824693971055 -6.78092431032587 -312.94386943568</f>
        <v>-920.54948771706086</v>
      </c>
      <c r="F603">
        <f>-602.048553510089 -13.3981106749993 -401.78617071592</f>
        <v>-1017.2328349010083</v>
      </c>
      <c r="G603">
        <f>-598.54784689444 -20.3750760746652 -490.540292552873</f>
        <v>-1109.4632155219783</v>
      </c>
      <c r="H603">
        <f>-588.719678344648 -30.638191626424 -614.309946344203</f>
        <v>-1233.6678163152751</v>
      </c>
      <c r="I603">
        <f>-554.660014035225 -35.4995591483946 -689.94929314755</f>
        <v>-1280.1088663311696</v>
      </c>
      <c r="J603" t="s">
        <v>5389</v>
      </c>
      <c r="K603" t="s">
        <v>5390</v>
      </c>
      <c r="L603" t="s">
        <v>5391</v>
      </c>
      <c r="M603" t="s">
        <v>5392</v>
      </c>
      <c r="N603">
        <f>-594.750859915557 -53.6945715144814 -557.694179187899</f>
        <v>-1206.1396106179373</v>
      </c>
      <c r="O603">
        <f>-611.256497529024 -184.393241111099 -518.425219909586</f>
        <v>-1314.074958549709</v>
      </c>
      <c r="P603">
        <f>-652.357470316879 -209.974249820861 -228.171096474652</f>
        <v>-1090.5028166123921</v>
      </c>
      <c r="Q603">
        <f>-450.841731346325 -99.0736872170899 -299.888090232388</f>
        <v>-849.80350879580283</v>
      </c>
      <c r="R603" t="s">
        <v>5393</v>
      </c>
      <c r="S603" t="s">
        <v>5394</v>
      </c>
      <c r="T603" t="s">
        <v>5395</v>
      </c>
      <c r="U603" t="s">
        <v>5396</v>
      </c>
      <c r="V603">
        <f>-562.518242144537 -86.2773188344113 -97.2885744970567</f>
        <v>-746.08413547600503</v>
      </c>
      <c r="W603" t="s">
        <v>5397</v>
      </c>
      <c r="X603" t="s">
        <v>5398</v>
      </c>
      <c r="Y603" t="s">
        <v>5399</v>
      </c>
    </row>
    <row r="604" spans="1:25" x14ac:dyDescent="0.3">
      <c r="A604">
        <v>30150</v>
      </c>
      <c r="B604" t="s">
        <v>5400</v>
      </c>
      <c r="C604" t="s">
        <v>5401</v>
      </c>
      <c r="D604" t="s">
        <v>5402</v>
      </c>
      <c r="E604">
        <f>-601.407933360941 -6.52467149532595 -312.893457497728</f>
        <v>-920.82606235399498</v>
      </c>
      <c r="F604">
        <f>-602.711511958749 -13.1290579198696 -401.735607113195</f>
        <v>-1017.5761769918137</v>
      </c>
      <c r="G604">
        <f>-599.30628136783 -20.1007225728783 -490.493975234732</f>
        <v>-1109.9009791754404</v>
      </c>
      <c r="H604">
        <f>-589.628412399051 -30.365384432052 -614.275200437195</f>
        <v>-1234.2689972682979</v>
      </c>
      <c r="I604">
        <f>-555.361150984375 -35.2845280674862 -689.817025495245</f>
        <v>-1280.4627045471061</v>
      </c>
      <c r="J604" t="s">
        <v>5403</v>
      </c>
      <c r="K604" t="s">
        <v>5404</v>
      </c>
      <c r="L604" t="s">
        <v>5405</v>
      </c>
      <c r="M604" t="s">
        <v>5406</v>
      </c>
      <c r="N604">
        <f>-595.648551918606 -53.4178857004026 -557.656614911917</f>
        <v>-1206.7230525309255</v>
      </c>
      <c r="O604">
        <f>-612.305305007816 -184.132952810038 -518.472511223496</f>
        <v>-1314.9107690413498</v>
      </c>
      <c r="P604">
        <f>-653.22148400075 -209.903104509766 -228.208864696417</f>
        <v>-1091.333453206933</v>
      </c>
      <c r="Q604">
        <f>-451.790432395482 -98.9916070617533 -300.146635551016</f>
        <v>-850.92867500825128</v>
      </c>
      <c r="R604" t="s">
        <v>5407</v>
      </c>
      <c r="S604" t="s">
        <v>5408</v>
      </c>
      <c r="T604" t="s">
        <v>5409</v>
      </c>
      <c r="U604" t="s">
        <v>5410</v>
      </c>
      <c r="V604">
        <f>-563.063977176795 -86.2165665086659 -97.2610304957665</f>
        <v>-746.54157418122736</v>
      </c>
      <c r="W604" t="s">
        <v>5411</v>
      </c>
      <c r="X604" t="s">
        <v>5412</v>
      </c>
      <c r="Y604" t="s">
        <v>5413</v>
      </c>
    </row>
    <row r="605" spans="1:25" x14ac:dyDescent="0.3">
      <c r="A605">
        <v>30200</v>
      </c>
      <c r="B605" t="s">
        <v>5414</v>
      </c>
      <c r="C605" t="s">
        <v>5415</v>
      </c>
      <c r="D605" t="s">
        <v>5416</v>
      </c>
      <c r="E605">
        <f>-602.334238583874 -5.64113665141122 -312.890723088135</f>
        <v>-920.86609832342026</v>
      </c>
      <c r="F605">
        <f>-603.778767351469 -12.1918915937806 -401.734632789005</f>
        <v>-1017.7052917342546</v>
      </c>
      <c r="G605">
        <f>-600.563501645091 -19.1145840869167 -490.503930860246</f>
        <v>-1110.1820165922536</v>
      </c>
      <c r="H605">
        <f>-591.202212351112 -29.3163520085129 -614.314605153421</f>
        <v>-1234.833169513046</v>
      </c>
      <c r="I605">
        <f>-556.628440099097 -34.2652838250153 -689.714908627793</f>
        <v>-1280.6086325519054</v>
      </c>
      <c r="J605" t="s">
        <v>5417</v>
      </c>
      <c r="K605" t="s">
        <v>5418</v>
      </c>
      <c r="L605" t="s">
        <v>5419</v>
      </c>
      <c r="M605" t="s">
        <v>5420</v>
      </c>
      <c r="N605">
        <f>-597.155787085821 -52.3930513912339 -557.698976648994</f>
        <v>-1207.2478151260489</v>
      </c>
      <c r="O605">
        <f>-614.10886298663 -183.122219389642 -518.697098522973</f>
        <v>-1315.928180899245</v>
      </c>
      <c r="P605">
        <f>-655.071317805711 -208.879653401016 -228.438987615525</f>
        <v>-1092.3899588222521</v>
      </c>
      <c r="Q605">
        <f>-453.142475817678 -99.2385096725311 -300.926762049094</f>
        <v>-853.30774753930314</v>
      </c>
      <c r="R605" t="s">
        <v>5421</v>
      </c>
      <c r="S605" t="s">
        <v>5422</v>
      </c>
      <c r="T605" t="s">
        <v>5423</v>
      </c>
      <c r="U605" t="s">
        <v>5424</v>
      </c>
      <c r="V605">
        <f>-563.874485981738 -85.5674428378768 -97.2853323784943</f>
        <v>-746.72726119810909</v>
      </c>
      <c r="W605" t="s">
        <v>5425</v>
      </c>
      <c r="X605" t="s">
        <v>5426</v>
      </c>
      <c r="Y605" t="s">
        <v>5427</v>
      </c>
    </row>
    <row r="606" spans="1:25" x14ac:dyDescent="0.3">
      <c r="A606">
        <v>30250</v>
      </c>
      <c r="B606" t="s">
        <v>5428</v>
      </c>
      <c r="C606" t="s">
        <v>5429</v>
      </c>
      <c r="D606" t="s">
        <v>5430</v>
      </c>
      <c r="E606">
        <f>-602.750625704717 -5.06324223365391 -312.940253261645</f>
        <v>-920.7541212000159</v>
      </c>
      <c r="F606">
        <f>-604.234333457175 -11.5561555439676 -401.787627065963</f>
        <v>-1017.5781160671056</v>
      </c>
      <c r="G606">
        <f>-601.07777785256 -18.4126454135378 -490.564187225816</f>
        <v>-1110.0546104919138</v>
      </c>
      <c r="H606">
        <f>-591.818631514481 -28.5124303540888 -614.391009563867</f>
        <v>-1234.7220714324367</v>
      </c>
      <c r="I606">
        <f>-557.129340223915 -33.4305432756589 -689.740020765148</f>
        <v>-1280.299904264722</v>
      </c>
      <c r="J606" t="s">
        <v>5431</v>
      </c>
      <c r="K606" t="s">
        <v>5432</v>
      </c>
      <c r="L606" t="s">
        <v>5433</v>
      </c>
      <c r="M606" t="s">
        <v>5434</v>
      </c>
      <c r="N606">
        <f>-597.750280981112 -51.6341229889156 -557.791421073401</f>
        <v>-1207.1758250434286</v>
      </c>
      <c r="O606">
        <f>-614.810889043768 -182.361191098734 -518.837519400169</f>
        <v>-1316.0095995426709</v>
      </c>
      <c r="P606">
        <f>-655.797419041123 -208.33788600925 -228.602293719756</f>
        <v>-1092.7375987701291</v>
      </c>
      <c r="Q606">
        <f>-453.797356956796 -98.7668449337614 -300.997254631878</f>
        <v>-853.56145652243549</v>
      </c>
      <c r="R606" t="s">
        <v>5435</v>
      </c>
      <c r="S606" t="s">
        <v>5436</v>
      </c>
      <c r="T606" t="s">
        <v>5437</v>
      </c>
      <c r="U606" t="s">
        <v>5438</v>
      </c>
      <c r="V606">
        <f>-564.313590215578 -85.0596419896053 -97.3203838674726</f>
        <v>-746.69361607265591</v>
      </c>
      <c r="W606" t="s">
        <v>5439</v>
      </c>
      <c r="X606" t="s">
        <v>5440</v>
      </c>
      <c r="Y606" t="s">
        <v>5441</v>
      </c>
    </row>
    <row r="607" spans="1:25" x14ac:dyDescent="0.3">
      <c r="A607">
        <v>30300</v>
      </c>
      <c r="B607" t="s">
        <v>5442</v>
      </c>
      <c r="C607" t="s">
        <v>5443</v>
      </c>
      <c r="D607" t="s">
        <v>5444</v>
      </c>
      <c r="E607">
        <f>-603.440955564426 -4.53628383877549 -312.995340011208</f>
        <v>-920.97257941440944</v>
      </c>
      <c r="F607">
        <f>-605.026171052398 -10.9626317745524 -401.845923499914</f>
        <v>-1017.8347263268645</v>
      </c>
      <c r="G607">
        <f>-602.008403621297 -17.7412888024594 -490.633218418076</f>
        <v>-1110.3829108418324</v>
      </c>
      <c r="H607">
        <f>-592.981887706159 -27.719781724679 -614.487128904121</f>
        <v>-1235.1887983349591</v>
      </c>
      <c r="I607">
        <f>-558.034618243389 -32.615724228338 -689.718260782433</f>
        <v>-1280.36860325416</v>
      </c>
      <c r="J607" t="s">
        <v>5445</v>
      </c>
      <c r="K607" t="s">
        <v>5446</v>
      </c>
      <c r="L607" t="s">
        <v>5447</v>
      </c>
      <c r="M607" t="s">
        <v>5448</v>
      </c>
      <c r="N607">
        <f>-598.823717397728 -50.8958985936215 -557.900346627959</f>
        <v>-1207.6199626193086</v>
      </c>
      <c r="O607">
        <f>-615.976962834728 -181.61513043573 -519.003512405961</f>
        <v>-1316.5956056764189</v>
      </c>
      <c r="P607">
        <f>-657.124193256205 -207.483623373319 -228.781196453858</f>
        <v>-1093.389013083382</v>
      </c>
      <c r="Q607">
        <f>-455.067697352868 -97.9904163771087 -301.136520325261</f>
        <v>-854.19463405523766</v>
      </c>
      <c r="R607" t="s">
        <v>5449</v>
      </c>
      <c r="S607" t="s">
        <v>5450</v>
      </c>
      <c r="T607" t="s">
        <v>5451</v>
      </c>
      <c r="U607" t="s">
        <v>5452</v>
      </c>
      <c r="V607">
        <f>-565.075847571823 -84.7822492549478 -97.3899570825444</f>
        <v>-747.24805390931522</v>
      </c>
      <c r="W607" t="s">
        <v>5453</v>
      </c>
      <c r="X607" t="s">
        <v>5454</v>
      </c>
      <c r="Y607" t="s">
        <v>5455</v>
      </c>
    </row>
    <row r="608" spans="1:25" x14ac:dyDescent="0.3">
      <c r="A608">
        <v>30350</v>
      </c>
      <c r="B608" t="s">
        <v>5456</v>
      </c>
      <c r="C608" t="s">
        <v>5457</v>
      </c>
      <c r="D608" t="s">
        <v>5458</v>
      </c>
      <c r="E608">
        <f>-603.746995203031 -4.48918199096966 -312.972233978815</f>
        <v>-921.20841117281566</v>
      </c>
      <c r="F608">
        <f>-605.397298962186 -10.9075008111508 -401.822205304277</f>
        <v>-1018.1270050776138</v>
      </c>
      <c r="G608">
        <f>-602.465902556251 -17.6846827546001 -490.612505091519</f>
        <v>-1110.7630904023699</v>
      </c>
      <c r="H608">
        <f>-593.581903073291 -27.6671769317798 -614.476366303145</f>
        <v>-1235.7254463082159</v>
      </c>
      <c r="I608">
        <f>-558.473100068772 -32.5742839430261 -689.631619542961</f>
        <v>-1280.6790035547592</v>
      </c>
      <c r="J608" t="s">
        <v>5459</v>
      </c>
      <c r="K608" t="s">
        <v>5460</v>
      </c>
      <c r="L608" t="s">
        <v>5461</v>
      </c>
      <c r="M608" t="s">
        <v>5462</v>
      </c>
      <c r="N608">
        <f>-599.357767422431 -50.8416134065701 -557.88215554902</f>
        <v>-1208.0815363780212</v>
      </c>
      <c r="O608">
        <f>-616.553500573787 -181.555133731145 -518.946833059363</f>
        <v>-1317.0554673642951</v>
      </c>
      <c r="P608">
        <f>-657.529223824215 -207.319157412706 -228.691152180609</f>
        <v>-1093.53953341753</v>
      </c>
      <c r="Q608">
        <f>-455.573975222727 -97.7269359521226 -301.178899388534</f>
        <v>-854.47981056338358</v>
      </c>
      <c r="R608" t="s">
        <v>5463</v>
      </c>
      <c r="S608" t="s">
        <v>5464</v>
      </c>
      <c r="T608" t="s">
        <v>5465</v>
      </c>
      <c r="U608" t="s">
        <v>5466</v>
      </c>
      <c r="V608">
        <f>-565.454766387643 -84.8430139206994 -97.3955764829882</f>
        <v>-747.69335679133053</v>
      </c>
      <c r="W608" t="s">
        <v>5467</v>
      </c>
      <c r="X608" t="s">
        <v>5468</v>
      </c>
      <c r="Y608" t="s">
        <v>5469</v>
      </c>
    </row>
    <row r="609" spans="1:25" x14ac:dyDescent="0.3">
      <c r="A609">
        <v>30400</v>
      </c>
      <c r="B609" t="s">
        <v>5470</v>
      </c>
      <c r="C609" t="s">
        <v>5471</v>
      </c>
      <c r="D609" t="s">
        <v>5472</v>
      </c>
      <c r="E609">
        <f>-604.24290760161 -3.95515415757018 -312.861400397211</f>
        <v>-921.05946215639119</v>
      </c>
      <c r="F609">
        <f>-606.040438965262 -10.3661045256445 -401.709095090797</f>
        <v>-1018.1156385817035</v>
      </c>
      <c r="G609">
        <f>-603.285170584651 -17.138643916802 -490.505327616651</f>
        <v>-1110.9291421181042</v>
      </c>
      <c r="H609">
        <f>-594.677654206954 -27.1150271532536 -614.389122663899</f>
        <v>-1236.1818040241064</v>
      </c>
      <c r="I609">
        <f>-559.147238395668 -32.0740792726792 -689.342678984948</f>
        <v>-1280.5639966532951</v>
      </c>
      <c r="J609" t="s">
        <v>5473</v>
      </c>
      <c r="K609" t="s">
        <v>5474</v>
      </c>
      <c r="L609" t="s">
        <v>5475</v>
      </c>
      <c r="M609" t="s">
        <v>5476</v>
      </c>
      <c r="N609">
        <f>-600.303510567549 -50.2937339803914 -557.78172213827</f>
        <v>-1208.3789666862103</v>
      </c>
      <c r="O609">
        <f>-617.461977000832 -180.985986265442 -518.759395337367</f>
        <v>-1317.2073586036408</v>
      </c>
      <c r="P609">
        <f>-658.208237980704 -206.488987680167 -228.448339127044</f>
        <v>-1093.145564787915</v>
      </c>
      <c r="Q609">
        <f>-456.61855815075 -96.4385042637757 -301.258768437057</f>
        <v>-854.31583085158263</v>
      </c>
      <c r="R609" t="s">
        <v>5477</v>
      </c>
      <c r="S609" t="s">
        <v>5478</v>
      </c>
      <c r="T609" t="s">
        <v>5479</v>
      </c>
      <c r="U609" t="s">
        <v>5480</v>
      </c>
      <c r="V609">
        <f>-565.83667888413 -84.327921741989 -97.3593124234354</f>
        <v>-747.52391304955449</v>
      </c>
      <c r="W609" t="s">
        <v>5481</v>
      </c>
      <c r="X609" t="s">
        <v>5482</v>
      </c>
      <c r="Y609" t="s">
        <v>5483</v>
      </c>
    </row>
    <row r="610" spans="1:25" x14ac:dyDescent="0.3">
      <c r="A610">
        <v>30450</v>
      </c>
      <c r="B610" t="s">
        <v>5484</v>
      </c>
      <c r="C610" t="s">
        <v>5485</v>
      </c>
      <c r="D610" t="s">
        <v>5486</v>
      </c>
      <c r="E610">
        <f>-604.466787051909 -3.61451850955063 -312.812287611402</f>
        <v>-920.89359317286164</v>
      </c>
      <c r="F610">
        <f>-606.320571297974 -10.0124517168019 -401.659922822483</f>
        <v>-1017.992945837259</v>
      </c>
      <c r="G610">
        <f>-603.620283874752 -16.76691082201 -490.45919625992</f>
        <v>-1110.8463909566819</v>
      </c>
      <c r="H610">
        <f>-595.087703509426 -26.7122922635861 -614.350659809713</f>
        <v>-1236.150655582725</v>
      </c>
      <c r="I610">
        <f>-559.26133101514 -31.7288202864711 -689.159328398343</f>
        <v>-1280.1494796999541</v>
      </c>
      <c r="J610" t="s">
        <v>5487</v>
      </c>
      <c r="K610" t="s">
        <v>5488</v>
      </c>
      <c r="L610" t="s">
        <v>5489</v>
      </c>
      <c r="M610" t="s">
        <v>5490</v>
      </c>
      <c r="N610">
        <f>-600.666123399837 -49.9058616787568 -557.744431822241</f>
        <v>-1208.3164169008348</v>
      </c>
      <c r="O610">
        <f>-617.849325828045 -180.59055008286 -518.698455277486</f>
        <v>-1317.138331188391</v>
      </c>
      <c r="P610">
        <f>-658.462619679534 -205.987321771548 -228.359328215403</f>
        <v>-1092.8092696664849</v>
      </c>
      <c r="Q610">
        <f>-456.908893081692 -95.8944510227752 -301.205212897068</f>
        <v>-854.00855700153522</v>
      </c>
      <c r="R610" t="s">
        <v>5491</v>
      </c>
      <c r="S610" t="s">
        <v>5492</v>
      </c>
      <c r="T610" t="s">
        <v>5493</v>
      </c>
      <c r="U610" t="s">
        <v>5494</v>
      </c>
      <c r="V610">
        <f>-565.837821274143 -84.0147909208267 -97.3399757742516</f>
        <v>-747.19258796922134</v>
      </c>
      <c r="W610" t="s">
        <v>5495</v>
      </c>
      <c r="X610" t="s">
        <v>5496</v>
      </c>
      <c r="Y610" t="s">
        <v>5497</v>
      </c>
    </row>
    <row r="611" spans="1:25" x14ac:dyDescent="0.3">
      <c r="A611">
        <v>30500</v>
      </c>
      <c r="B611" t="s">
        <v>5498</v>
      </c>
      <c r="C611" t="s">
        <v>5499</v>
      </c>
      <c r="D611" t="s">
        <v>5500</v>
      </c>
      <c r="E611">
        <f>-604.92676159279 -3.30629497430073 -312.711981326705</f>
        <v>-920.94503789379564</v>
      </c>
      <c r="F611">
        <f>-606.874290626856 -9.62641997860305 -401.563005397582</f>
        <v>-1018.063716003041</v>
      </c>
      <c r="G611">
        <f>-604.243805969576 -16.2766961029604 -490.37227976363</f>
        <v>-1110.8927818361663</v>
      </c>
      <c r="H611">
        <f>-595.782370698323 -26.0484144878219 -614.282480006948</f>
        <v>-1236.113265193093</v>
      </c>
      <c r="I611">
        <f>-559.282634967287 -31.1615934641866 -688.758359296152</f>
        <v>-1279.2025877276255</v>
      </c>
      <c r="J611" t="s">
        <v>5501</v>
      </c>
      <c r="K611" t="s">
        <v>5502</v>
      </c>
      <c r="L611" t="s">
        <v>5503</v>
      </c>
      <c r="M611" t="s">
        <v>5504</v>
      </c>
      <c r="N611">
        <f>-601.286969033713 -49.3239020385911 -557.702734130892</f>
        <v>-1208.3136052031962</v>
      </c>
      <c r="O611">
        <f>-618.439685871038 -180.024577156246 -518.715224245498</f>
        <v>-1317.1794872727819</v>
      </c>
      <c r="P611">
        <f>-658.858309421655 -205.240391706956 -228.333190756035</f>
        <v>-1092.4318918846459</v>
      </c>
      <c r="Q611">
        <f>-457.398968164468 -95.1408706703721 -301.429954357517</f>
        <v>-853.96979319235709</v>
      </c>
      <c r="R611" t="s">
        <v>5505</v>
      </c>
      <c r="S611" t="s">
        <v>5506</v>
      </c>
      <c r="T611" t="s">
        <v>5507</v>
      </c>
      <c r="U611" t="s">
        <v>5508</v>
      </c>
      <c r="V611">
        <f>-565.873752033241 -83.8970149891318 -97.3170981124493</f>
        <v>-747.0878651348221</v>
      </c>
      <c r="W611" t="s">
        <v>5509</v>
      </c>
      <c r="X611" t="s">
        <v>5510</v>
      </c>
      <c r="Y611" t="s">
        <v>5511</v>
      </c>
    </row>
    <row r="612" spans="1:25" x14ac:dyDescent="0.3">
      <c r="A612">
        <v>30550</v>
      </c>
      <c r="B612" t="s">
        <v>5512</v>
      </c>
      <c r="C612" t="s">
        <v>5513</v>
      </c>
      <c r="D612" t="s">
        <v>5514</v>
      </c>
      <c r="E612">
        <f>-605.193870179942 -3.13419139962002 -312.674104767807</f>
        <v>-921.00216634736898</v>
      </c>
      <c r="F612">
        <f>-607.194211655106 -9.40047900592026 -401.527652259702</f>
        <v>-1018.1223429207282</v>
      </c>
      <c r="G612">
        <f>-604.595205745588 -15.9752457619372 -490.343656907342</f>
        <v>-1110.9141084148673</v>
      </c>
      <c r="H612">
        <f>-596.154971646643 -25.6194716479342 -614.265147926958</f>
        <v>-1236.0395912215354</v>
      </c>
      <c r="I612">
        <f>-559.312448451608 -30.7628041859557 -688.569974655966</f>
        <v>-1278.6452272935298</v>
      </c>
      <c r="J612" t="s">
        <v>5515</v>
      </c>
      <c r="K612" t="s">
        <v>5516</v>
      </c>
      <c r="L612" t="s">
        <v>5517</v>
      </c>
      <c r="M612" t="s">
        <v>5518</v>
      </c>
      <c r="N612">
        <f>-601.620641244579 -48.9546872199628 -557.706441565214</f>
        <v>-1208.281770029756</v>
      </c>
      <c r="O612">
        <f>-618.692649603709 -179.691922023514 -518.814816642784</f>
        <v>-1317.1993882700071</v>
      </c>
      <c r="P612">
        <f>-658.961343449682 -205.170655030334 -228.434902540568</f>
        <v>-1092.5669010205838</v>
      </c>
      <c r="Q612">
        <f>-457.674173532241 -94.801795564312 -301.599424831352</f>
        <v>-854.075393927905</v>
      </c>
      <c r="R612" t="s">
        <v>5519</v>
      </c>
      <c r="S612" t="s">
        <v>5520</v>
      </c>
      <c r="T612" t="s">
        <v>5521</v>
      </c>
      <c r="U612" t="s">
        <v>5522</v>
      </c>
      <c r="V612">
        <f>-565.866167518023 -83.679005825705 -97.3104671030633</f>
        <v>-746.8556404467912</v>
      </c>
      <c r="W612" t="s">
        <v>5523</v>
      </c>
      <c r="X612" t="s">
        <v>5524</v>
      </c>
      <c r="Y612" t="s">
        <v>5525</v>
      </c>
    </row>
    <row r="613" spans="1:25" x14ac:dyDescent="0.3">
      <c r="A613">
        <v>30600</v>
      </c>
      <c r="B613" t="s">
        <v>5526</v>
      </c>
      <c r="C613" t="s">
        <v>5527</v>
      </c>
      <c r="D613" t="s">
        <v>5528</v>
      </c>
      <c r="E613">
        <f>-605.816991420555 -2.97151347069894 -312.61085130273</f>
        <v>-921.39935619398398</v>
      </c>
      <c r="F613">
        <f>-607.912487571056 -9.13461502684299 -401.46945754914</f>
        <v>-1018.5165601470389</v>
      </c>
      <c r="G613">
        <f>-605.374727508289 -15.5723515298257 -490.297052724397</f>
        <v>-1111.2441317625116</v>
      </c>
      <c r="H613">
        <f>-596.983244651261 -24.9896281158224 -614.239485950197</f>
        <v>-1236.2123587172805</v>
      </c>
      <c r="I613">
        <f>-559.532625025545 -30.145389923402 -688.238789593658</f>
        <v>-1277.916804542605</v>
      </c>
      <c r="J613" t="s">
        <v>5529</v>
      </c>
      <c r="K613" t="s">
        <v>5530</v>
      </c>
      <c r="L613" t="s">
        <v>5531</v>
      </c>
      <c r="M613" t="s">
        <v>5532</v>
      </c>
      <c r="N613">
        <f>-602.364585559991 -48.4320195969715 -557.716908921078</f>
        <v>-1208.5135140780405</v>
      </c>
      <c r="O613">
        <f>-619.142069147332 -179.268653897575 -519.039757203157</f>
        <v>-1317.450480248064</v>
      </c>
      <c r="P613">
        <f>-659.095816517178 -205.522026924317 -228.685415077054</f>
        <v>-1093.303258518549</v>
      </c>
      <c r="Q613">
        <f>-458.274323774428 -94.2521197463282 -301.764759233376</f>
        <v>-854.2912027541322</v>
      </c>
      <c r="R613" t="s">
        <v>5533</v>
      </c>
      <c r="S613" t="s">
        <v>5534</v>
      </c>
      <c r="T613" t="s">
        <v>5535</v>
      </c>
      <c r="U613" t="s">
        <v>5536</v>
      </c>
      <c r="V613">
        <f>-565.936517726026 -83.7116942056371 -97.3145417664158</f>
        <v>-746.96275369807881</v>
      </c>
      <c r="W613" t="s">
        <v>5537</v>
      </c>
      <c r="X613" t="s">
        <v>5538</v>
      </c>
      <c r="Y613" t="s">
        <v>5539</v>
      </c>
    </row>
    <row r="614" spans="1:25" x14ac:dyDescent="0.3">
      <c r="A614">
        <v>30650</v>
      </c>
      <c r="B614" t="s">
        <v>5540</v>
      </c>
      <c r="C614" t="s">
        <v>5541</v>
      </c>
      <c r="D614" t="s">
        <v>5542</v>
      </c>
      <c r="E614">
        <f>-606.094619627377 -3.03899719660262 -312.576166256793</f>
        <v>-921.7097830807727</v>
      </c>
      <c r="F614">
        <f>-608.251255780106 -9.18772421677841 -401.434453207979</f>
        <v>-1018.8734332048634</v>
      </c>
      <c r="G614">
        <f>-605.767744105813 -15.6074512877831 -490.264990981731</f>
        <v>-1111.6401863753272</v>
      </c>
      <c r="H614">
        <f>-597.444859702654 -24.9956869916555 -614.214166659447</f>
        <v>-1236.6547133537565</v>
      </c>
      <c r="I614">
        <f>-559.77583415802 -30.1542086187956 -688.102274487468</f>
        <v>-1278.0323172642834</v>
      </c>
      <c r="J614" t="s">
        <v>5543</v>
      </c>
      <c r="K614" t="s">
        <v>5544</v>
      </c>
      <c r="L614" t="s">
        <v>5545</v>
      </c>
      <c r="M614" t="s">
        <v>5546</v>
      </c>
      <c r="N614">
        <f>-602.785785484829 -48.4517625515612 -557.693400863453</f>
        <v>-1208.9309488998433</v>
      </c>
      <c r="O614">
        <f>-619.486158641225 -179.318036086687 -519.070635733254</f>
        <v>-1317.8748304611659</v>
      </c>
      <c r="P614">
        <f>-659.094394053705 -205.984359273854 -228.706678416893</f>
        <v>-1093.7854317444519</v>
      </c>
      <c r="Q614">
        <f>-458.727797682283 -93.975593471941 -301.905947172702</f>
        <v>-854.60933832692592</v>
      </c>
      <c r="R614" t="s">
        <v>5547</v>
      </c>
      <c r="S614" t="s">
        <v>5548</v>
      </c>
      <c r="T614" t="s">
        <v>5549</v>
      </c>
      <c r="U614" t="s">
        <v>5550</v>
      </c>
      <c r="V614">
        <f>-565.971435013501 -83.8508240341696 -97.3241593087117</f>
        <v>-747.14641835638236</v>
      </c>
      <c r="W614" t="s">
        <v>5551</v>
      </c>
      <c r="X614" t="s">
        <v>5552</v>
      </c>
      <c r="Y614" t="s">
        <v>5553</v>
      </c>
    </row>
    <row r="615" spans="1:25" x14ac:dyDescent="0.3">
      <c r="A615">
        <v>30700</v>
      </c>
      <c r="B615" t="s">
        <v>5554</v>
      </c>
      <c r="C615" t="s">
        <v>5555</v>
      </c>
      <c r="D615" t="s">
        <v>5556</v>
      </c>
      <c r="E615">
        <f>-606.485864898728 -3.17965097072579 -312.485141906773</f>
        <v>-922.15065777622681</v>
      </c>
      <c r="F615">
        <f>-608.732228099837 -9.30302430945198 -401.342867410265</f>
        <v>-1019.3781198195541</v>
      </c>
      <c r="G615">
        <f>-606.334580876973 -15.6915479119921 -490.178008757605</f>
        <v>-1112.2041375465701</v>
      </c>
      <c r="H615">
        <f>-598.126747799484 -25.0315986881365 -614.138513571584</f>
        <v>-1237.2968600592044</v>
      </c>
      <c r="I615">
        <f>-560.162234736737 -30.1827014839043 -687.875726265222</f>
        <v>-1278.2206624858634</v>
      </c>
      <c r="J615" t="s">
        <v>5557</v>
      </c>
      <c r="K615" t="s">
        <v>5558</v>
      </c>
      <c r="L615" t="s">
        <v>5559</v>
      </c>
      <c r="M615" t="s">
        <v>5560</v>
      </c>
      <c r="N615">
        <f>-603.427041589412 -48.5090799834134 -557.622799156315</f>
        <v>-1209.5589207291405</v>
      </c>
      <c r="O615">
        <f>-620.124616962856 -179.400511888811 -519.047046087085</f>
        <v>-1318.5721749387521</v>
      </c>
      <c r="P615">
        <f>-659.167821999963 -206.355642946912 -228.633102961065</f>
        <v>-1094.1565679079399</v>
      </c>
      <c r="Q615">
        <f>-459.203426662764 -93.7508780691605 -302.017605380394</f>
        <v>-854.97191011231848</v>
      </c>
      <c r="R615" t="s">
        <v>5561</v>
      </c>
      <c r="S615" t="s">
        <v>5562</v>
      </c>
      <c r="T615" t="s">
        <v>5563</v>
      </c>
      <c r="U615" t="s">
        <v>5564</v>
      </c>
      <c r="V615">
        <f>-566.08240807768 -84.0129310793632 -97.3094820991128</f>
        <v>-747.40482125615597</v>
      </c>
      <c r="W615" t="s">
        <v>5565</v>
      </c>
      <c r="X615" t="s">
        <v>5566</v>
      </c>
      <c r="Y615" t="s">
        <v>5567</v>
      </c>
    </row>
    <row r="616" spans="1:25" x14ac:dyDescent="0.3">
      <c r="A616">
        <v>30750</v>
      </c>
      <c r="B616" t="s">
        <v>5568</v>
      </c>
      <c r="C616" t="s">
        <v>5569</v>
      </c>
      <c r="D616" t="s">
        <v>5570</v>
      </c>
      <c r="E616">
        <f>-606.637358124274 -3.08160400713109 -312.454995502136</f>
        <v>-922.17395763354102</v>
      </c>
      <c r="F616">
        <f>-608.919953113271 -9.19556036541394 -401.31241795335</f>
        <v>-1019.4279314320349</v>
      </c>
      <c r="G616">
        <f>-606.555089386024 -15.575186932916 -490.149074583504</f>
        <v>-1112.2793509024441</v>
      </c>
      <c r="H616">
        <f>-598.389539383074 -24.9037253627141 -614.113148028994</f>
        <v>-1237.406412774782</v>
      </c>
      <c r="I616">
        <f>-560.354597183527 -30.0657827892217 -687.813456293729</f>
        <v>-1278.2338362664777</v>
      </c>
      <c r="J616" t="s">
        <v>5571</v>
      </c>
      <c r="K616" t="s">
        <v>5572</v>
      </c>
      <c r="L616" t="s">
        <v>5573</v>
      </c>
      <c r="M616" t="s">
        <v>5574</v>
      </c>
      <c r="N616">
        <f>-603.681255007625 -48.3857864000195 -557.598721184916</f>
        <v>-1209.6657625925604</v>
      </c>
      <c r="O616">
        <f>-620.399675295728 -179.271190564467 -519.018354914895</f>
        <v>-1318.68922077509</v>
      </c>
      <c r="P616">
        <f>-659.295431499081 -206.325276260826 -228.593708388164</f>
        <v>-1094.214416148071</v>
      </c>
      <c r="Q616">
        <f>-459.636902713023 -93.2214141134341 -302.043363521283</f>
        <v>-854.90168034774013</v>
      </c>
      <c r="R616" t="s">
        <v>5575</v>
      </c>
      <c r="S616" t="s">
        <v>5576</v>
      </c>
      <c r="T616" t="s">
        <v>5577</v>
      </c>
      <c r="U616" t="s">
        <v>5578</v>
      </c>
      <c r="V616">
        <f>-566.131568917441 -84.0120613433032 -97.3101680622542</f>
        <v>-747.45379832299841</v>
      </c>
      <c r="W616" t="s">
        <v>5579</v>
      </c>
      <c r="X616" t="s">
        <v>5580</v>
      </c>
      <c r="Y616" t="s">
        <v>5581</v>
      </c>
    </row>
    <row r="617" spans="1:25" x14ac:dyDescent="0.3">
      <c r="A617">
        <v>30800</v>
      </c>
      <c r="B617" t="s">
        <v>5582</v>
      </c>
      <c r="C617" t="s">
        <v>5583</v>
      </c>
      <c r="D617" t="s">
        <v>5584</v>
      </c>
      <c r="E617">
        <f>-607.00460410952 -3.1063151343476 -312.406493771074</f>
        <v>-922.51741301494155</v>
      </c>
      <c r="F617">
        <f>-609.341171870102 -9.21408804217208 -401.263036499607</f>
        <v>-1019.8182964118811</v>
      </c>
      <c r="G617">
        <f>-607.019875911301 -15.5845965093069 -490.101325704671</f>
        <v>-1112.705798125279</v>
      </c>
      <c r="H617">
        <f>-598.904394030334 -24.8969427319171 -614.070031810132</f>
        <v>-1237.8713685723831</v>
      </c>
      <c r="I617">
        <f>-560.84868574246 -30.0982641426588 -687.756789426661</f>
        <v>-1278.7037393117798</v>
      </c>
      <c r="J617" t="s">
        <v>5585</v>
      </c>
      <c r="K617" t="s">
        <v>5586</v>
      </c>
      <c r="L617" t="s">
        <v>5587</v>
      </c>
      <c r="M617" t="s">
        <v>5588</v>
      </c>
      <c r="N617">
        <f>-604.184688367589 -48.3857182764618 -557.55718413096</f>
        <v>-1210.127590775011</v>
      </c>
      <c r="O617">
        <f>-620.922736319063 -179.26697669611 -519.00445707621</f>
        <v>-1319.1941700913831</v>
      </c>
      <c r="P617">
        <f>-659.725579043129 -206.288606734762 -228.564422686772</f>
        <v>-1094.5786084646629</v>
      </c>
      <c r="Q617">
        <f>-460.228064279181 -92.8458579221751 -301.928876308736</f>
        <v>-855.00279851009213</v>
      </c>
      <c r="R617" t="s">
        <v>5589</v>
      </c>
      <c r="S617" t="s">
        <v>5590</v>
      </c>
      <c r="T617" t="s">
        <v>5591</v>
      </c>
      <c r="U617" t="s">
        <v>5592</v>
      </c>
      <c r="V617">
        <f>-566.38941044801 -84.2067973566898 -97.2782606019672</f>
        <v>-747.87446840666701</v>
      </c>
      <c r="W617" t="s">
        <v>5593</v>
      </c>
      <c r="X617" t="s">
        <v>5594</v>
      </c>
      <c r="Y617" t="s">
        <v>5595</v>
      </c>
    </row>
    <row r="618" spans="1:25" x14ac:dyDescent="0.3">
      <c r="A618">
        <v>30850</v>
      </c>
      <c r="B618" t="s">
        <v>5596</v>
      </c>
      <c r="C618" t="s">
        <v>5597</v>
      </c>
      <c r="D618" t="s">
        <v>5598</v>
      </c>
      <c r="E618">
        <f>-607.151425857647 -3.31263464223957 -312.389973320433</f>
        <v>-922.85403382031961</v>
      </c>
      <c r="F618">
        <f>-609.500154083144 -9.41317524570013 -401.246634232156</f>
        <v>-1020.1599635610002</v>
      </c>
      <c r="G618">
        <f>-607.183167656356 -15.772600278865 -490.085898690679</f>
        <v>-1113.0416666259</v>
      </c>
      <c r="H618">
        <f>-599.065140556026 -25.0654785561183 -614.055902074873</f>
        <v>-1238.1865211870172</v>
      </c>
      <c r="I618">
        <f>-561.020986288814 -30.2934904600149 -687.746736000114</f>
        <v>-1279.061212748943</v>
      </c>
      <c r="J618" t="s">
        <v>5599</v>
      </c>
      <c r="K618" t="s">
        <v>5600</v>
      </c>
      <c r="L618" t="s">
        <v>5601</v>
      </c>
      <c r="M618" t="s">
        <v>5602</v>
      </c>
      <c r="N618">
        <f>-604.34878080337 -48.5629875846698 -557.547000618254</f>
        <v>-1210.4587690062938</v>
      </c>
      <c r="O618">
        <f>-621.120477596046 -179.45072877643 -519.004668922047</f>
        <v>-1319.575875294523</v>
      </c>
      <c r="P618">
        <f>-659.892966472635 -206.569688046319 -228.569794751423</f>
        <v>-1095.0324492703769</v>
      </c>
      <c r="Q618">
        <f>-460.325826133874 -93.1406511757607 -301.766025989276</f>
        <v>-855.23250329891061</v>
      </c>
      <c r="R618" t="s">
        <v>5603</v>
      </c>
      <c r="S618" t="s">
        <v>5604</v>
      </c>
      <c r="T618" t="s">
        <v>5605</v>
      </c>
      <c r="U618" t="s">
        <v>5606</v>
      </c>
      <c r="V618">
        <f>-566.493092548648 -84.4549250089115 -97.2544073343437</f>
        <v>-748.20242489190309</v>
      </c>
      <c r="W618" t="s">
        <v>5607</v>
      </c>
      <c r="X618" t="s">
        <v>5608</v>
      </c>
      <c r="Y618" t="s">
        <v>5609</v>
      </c>
    </row>
    <row r="619" spans="1:25" x14ac:dyDescent="0.3">
      <c r="A619">
        <v>30900</v>
      </c>
      <c r="B619" t="s">
        <v>5610</v>
      </c>
      <c r="C619" t="s">
        <v>5611</v>
      </c>
      <c r="D619" t="s">
        <v>5612</v>
      </c>
      <c r="E619">
        <f>-607.169779136195 -3.74160365354805 -312.338051424152</f>
        <v>-923.24943421389503</v>
      </c>
      <c r="F619">
        <f>-609.514426691735 -9.83680367512761 -401.195351843466</f>
        <v>-1020.5465822103287</v>
      </c>
      <c r="G619">
        <f>-607.17900272724 -16.1948816539791 -490.034315990569</f>
        <v>-1113.4082003717881</v>
      </c>
      <c r="H619">
        <f>-599.020428620737 -25.4895433345523 -614.001416310321</f>
        <v>-1238.5113882656103</v>
      </c>
      <c r="I619">
        <f>-561.01061578414 -30.7758516412741 -687.705877211137</f>
        <v>-1279.492344636551</v>
      </c>
      <c r="J619" t="s">
        <v>5613</v>
      </c>
      <c r="K619" t="s">
        <v>5614</v>
      </c>
      <c r="L619" t="s">
        <v>5615</v>
      </c>
      <c r="M619" t="s">
        <v>5616</v>
      </c>
      <c r="N619">
        <f>-604.337743977907 -48.9854545397773 -557.49492042187</f>
        <v>-1210.8181189395543</v>
      </c>
      <c r="O619">
        <f>-621.213930956812 -179.865670073691 -518.984309471166</f>
        <v>-1320.0639105016689</v>
      </c>
      <c r="P619">
        <f>-659.91768536048 -207.132193477031 -228.554099382966</f>
        <v>-1095.6039782204771</v>
      </c>
      <c r="Q619">
        <f>-460.263010401646 -93.8639307930675 -301.760460749128</f>
        <v>-855.8874019438415</v>
      </c>
      <c r="R619" t="s">
        <v>5617</v>
      </c>
      <c r="S619" t="s">
        <v>5618</v>
      </c>
      <c r="T619" t="s">
        <v>5619</v>
      </c>
      <c r="U619" t="s">
        <v>5620</v>
      </c>
      <c r="V619">
        <f>-566.627400810479 -84.7917027387841 -97.2278084933353</f>
        <v>-748.64691204259839</v>
      </c>
      <c r="W619" t="s">
        <v>5621</v>
      </c>
      <c r="X619" t="s">
        <v>5622</v>
      </c>
      <c r="Y619" t="s">
        <v>5623</v>
      </c>
    </row>
    <row r="620" spans="1:25" x14ac:dyDescent="0.3">
      <c r="A620">
        <v>30950</v>
      </c>
      <c r="B620" t="s">
        <v>5624</v>
      </c>
      <c r="C620" t="s">
        <v>5625</v>
      </c>
      <c r="D620" t="s">
        <v>5626</v>
      </c>
      <c r="E620">
        <f>-607.208306432496 -3.84572026834553 -312.311071229539</f>
        <v>-923.36509793038044</v>
      </c>
      <c r="F620">
        <f>-609.565028291216 -9.9514534882378 -401.167081698354</f>
        <v>-1020.6835634778079</v>
      </c>
      <c r="G620">
        <f>-607.240985612418 -16.3239540714455 -490.005296067517</f>
        <v>-1113.5702357513806</v>
      </c>
      <c r="H620">
        <f>-599.097359143484 -25.6427476417718 -613.971773691708</f>
        <v>-1238.7118804769639</v>
      </c>
      <c r="I620">
        <f>-561.112341790611 -30.9497027204147 -687.687326621793</f>
        <v>-1279.7493711328189</v>
      </c>
      <c r="J620" t="s">
        <v>5627</v>
      </c>
      <c r="K620" t="s">
        <v>5628</v>
      </c>
      <c r="L620" t="s">
        <v>5629</v>
      </c>
      <c r="M620" t="s">
        <v>5630</v>
      </c>
      <c r="N620">
        <f>-604.4268212759 -49.1265287195165 -557.461361872063</f>
        <v>-1211.0147118674795</v>
      </c>
      <c r="O620">
        <f>-621.418845066009 -179.97778230002 -518.914910132872</f>
        <v>-1320.3115374989011</v>
      </c>
      <c r="P620">
        <f>-660.018461233834 -207.281228363737 -228.474119782902</f>
        <v>-1095.773809380473</v>
      </c>
      <c r="Q620">
        <f>-460.264605149864 -94.3039467850251 -301.859259762936</f>
        <v>-856.42781169782506</v>
      </c>
      <c r="R620" t="s">
        <v>5631</v>
      </c>
      <c r="S620" t="s">
        <v>5632</v>
      </c>
      <c r="T620" t="s">
        <v>5633</v>
      </c>
      <c r="U620" t="s">
        <v>5634</v>
      </c>
      <c r="V620">
        <f>-566.767877930044 -84.8243832522867 -97.2026141761685</f>
        <v>-748.79487535849921</v>
      </c>
      <c r="W620" t="s">
        <v>5635</v>
      </c>
      <c r="X620" t="s">
        <v>5636</v>
      </c>
      <c r="Y620" t="s">
        <v>5637</v>
      </c>
    </row>
    <row r="621" spans="1:25" x14ac:dyDescent="0.3">
      <c r="A621">
        <v>31000</v>
      </c>
      <c r="B621" t="s">
        <v>5638</v>
      </c>
      <c r="C621" t="s">
        <v>5639</v>
      </c>
      <c r="D621" t="s">
        <v>5640</v>
      </c>
      <c r="E621">
        <f>-607.435770738789 -3.83276582980966 -312.283157236731</f>
        <v>-923.55169380532959</v>
      </c>
      <c r="F621">
        <f>-609.837650247484 -9.97705945121561 -401.135426629209</f>
        <v>-1020.9501363279087</v>
      </c>
      <c r="G621">
        <f>-607.569759691447 -16.3979829749687 -489.971474242417</f>
        <v>-1113.9392169088328</v>
      </c>
      <c r="H621">
        <f>-599.516611489505 -25.7943340930046 -613.937906408258</f>
        <v>-1239.2488519907674</v>
      </c>
      <c r="I621">
        <f>-561.606429186161 -31.1278101701625 -687.69015021904</f>
        <v>-1280.4243895753634</v>
      </c>
      <c r="J621" t="s">
        <v>5641</v>
      </c>
      <c r="K621" t="s">
        <v>5642</v>
      </c>
      <c r="L621" t="s">
        <v>5643</v>
      </c>
      <c r="M621" t="s">
        <v>5644</v>
      </c>
      <c r="N621">
        <f>-604.8566618067 -49.2395723647239 -557.412670700102</f>
        <v>-1211.5089048715258</v>
      </c>
      <c r="O621">
        <f>-622.088717294268 -180.032797025141 -518.772499649384</f>
        <v>-1320.8940139687929</v>
      </c>
      <c r="P621">
        <f>-660.554406489596 -206.946730494568 -228.277598633983</f>
        <v>-1095.778735618147</v>
      </c>
      <c r="Q621">
        <f>-460.524646061832 -94.6537680051367 -301.961004373092</f>
        <v>-857.13941844006069</v>
      </c>
      <c r="R621" t="s">
        <v>5645</v>
      </c>
      <c r="S621" t="s">
        <v>5646</v>
      </c>
      <c r="T621" t="s">
        <v>5647</v>
      </c>
      <c r="U621" t="s">
        <v>5648</v>
      </c>
      <c r="V621">
        <f>-567.038592972787 -84.7644373652149 -97.1638284806702</f>
        <v>-748.96685881867211</v>
      </c>
      <c r="W621" t="s">
        <v>5649</v>
      </c>
      <c r="X621" t="s">
        <v>5650</v>
      </c>
      <c r="Y621" t="s">
        <v>5651</v>
      </c>
    </row>
    <row r="622" spans="1:25" x14ac:dyDescent="0.3">
      <c r="A622">
        <v>31050</v>
      </c>
      <c r="B622" t="s">
        <v>5652</v>
      </c>
      <c r="C622" t="s">
        <v>5653</v>
      </c>
      <c r="D622" t="s">
        <v>5654</v>
      </c>
      <c r="E622">
        <f>-607.479453549739 -4.00251555375917 -312.278097791467</f>
        <v>-923.76006689496512</v>
      </c>
      <c r="F622">
        <f>-609.891105820503 -10.1687264813413 -401.128513200329</f>
        <v>-1021.1883455021732</v>
      </c>
      <c r="G622">
        <f>-607.636309825203 -16.6176219308529 -489.962931676051</f>
        <v>-1114.2168634321069</v>
      </c>
      <c r="H622">
        <f>-599.605260346423 -26.0594397020407 -613.927359535221</f>
        <v>-1239.5920595836847</v>
      </c>
      <c r="I622">
        <f>-561.747360333854 -31.4075296351323 -687.705399202059</f>
        <v>-1280.8602891710452</v>
      </c>
      <c r="J622" t="s">
        <v>5655</v>
      </c>
      <c r="K622" t="s">
        <v>5656</v>
      </c>
      <c r="L622" t="s">
        <v>5657</v>
      </c>
      <c r="M622" t="s">
        <v>5658</v>
      </c>
      <c r="N622">
        <f>-604.962451056258 -49.4824885864539 -557.394369178141</f>
        <v>-1211.8393088208529</v>
      </c>
      <c r="O622">
        <f>-622.314557305119 -180.249877421879 -518.713613074499</f>
        <v>-1321.278047801497</v>
      </c>
      <c r="P622">
        <f>-660.773638045456 -207.047804262775 -228.207235394769</f>
        <v>-1096.0286777030001</v>
      </c>
      <c r="Q622">
        <f>-460.656701729073 -94.9188502803181 -301.903612118139</f>
        <v>-857.47916412753011</v>
      </c>
      <c r="R622" t="s">
        <v>5659</v>
      </c>
      <c r="S622" t="s">
        <v>5660</v>
      </c>
      <c r="T622" t="s">
        <v>5661</v>
      </c>
      <c r="U622" t="s">
        <v>5662</v>
      </c>
      <c r="V622">
        <f>-567.135818170535 -84.9351403428984 -97.1525985200644</f>
        <v>-749.22355703349785</v>
      </c>
      <c r="W622" t="s">
        <v>5663</v>
      </c>
      <c r="X622" t="s">
        <v>5664</v>
      </c>
      <c r="Y622" t="s">
        <v>5665</v>
      </c>
    </row>
    <row r="623" spans="1:25" x14ac:dyDescent="0.3">
      <c r="A623">
        <v>31100</v>
      </c>
      <c r="B623" t="s">
        <v>5666</v>
      </c>
      <c r="C623" t="s">
        <v>5667</v>
      </c>
      <c r="D623" t="s">
        <v>5668</v>
      </c>
      <c r="E623">
        <f>-607.359552294054 -4.1837342429003 -312.257825780485</f>
        <v>-923.80111231743922</v>
      </c>
      <c r="F623">
        <f>-609.765238197654 -10.3751682731399 -401.106612105826</f>
        <v>-1021.2470185766199</v>
      </c>
      <c r="G623">
        <f>-607.504308648239 -16.8576234205598 -489.938470738315</f>
        <v>-1114.3004028071136</v>
      </c>
      <c r="H623">
        <f>-599.464996660931 -26.3551196641449 -613.89804045972</f>
        <v>-1239.7181567847961</v>
      </c>
      <c r="I623">
        <f>-561.757301539172 -31.7084223964489 -687.752687896963</f>
        <v>-1281.218411832584</v>
      </c>
      <c r="J623" t="s">
        <v>5669</v>
      </c>
      <c r="K623" t="s">
        <v>5670</v>
      </c>
      <c r="L623" t="s">
        <v>5671</v>
      </c>
      <c r="M623" t="s">
        <v>5672</v>
      </c>
      <c r="N623">
        <f>-604.862346283399 -49.7504806890915 -557.357480627504</f>
        <v>-1211.9703075999946</v>
      </c>
      <c r="O623">
        <f>-622.400009624974 -180.477148172523 -518.624439413141</f>
        <v>-1321.501597210638</v>
      </c>
      <c r="P623">
        <f>-661.057098259775 -207.072770467038 -228.125733858565</f>
        <v>-1096.255602585378</v>
      </c>
      <c r="Q623">
        <f>-460.531656919858 -95.590877946546 -301.693520156933</f>
        <v>-857.81605502333696</v>
      </c>
      <c r="R623" t="s">
        <v>5673</v>
      </c>
      <c r="S623" t="s">
        <v>5674</v>
      </c>
      <c r="T623" t="s">
        <v>5675</v>
      </c>
      <c r="U623" t="s">
        <v>5676</v>
      </c>
      <c r="V623">
        <f>-567.184149189414 -84.9319793045438 -97.1121943643858</f>
        <v>-749.22832285834363</v>
      </c>
      <c r="W623" t="s">
        <v>5677</v>
      </c>
      <c r="X623" t="s">
        <v>5678</v>
      </c>
      <c r="Y623" t="s">
        <v>5679</v>
      </c>
    </row>
    <row r="624" spans="1:25" x14ac:dyDescent="0.3">
      <c r="A624">
        <v>31150</v>
      </c>
      <c r="B624" t="s">
        <v>5680</v>
      </c>
      <c r="C624" t="s">
        <v>5681</v>
      </c>
      <c r="D624" t="s">
        <v>5682</v>
      </c>
      <c r="E624">
        <f>-607.27107764067 -4.18974587716775 -312.251484778907</f>
        <v>-923.71230829674482</v>
      </c>
      <c r="F624">
        <f>-609.674522992787 -10.3931710753711 -401.099690120327</f>
        <v>-1021.1673841884851</v>
      </c>
      <c r="G624">
        <f>-607.41432523603 -16.8941707556364 -489.930215201085</f>
        <v>-1114.2387111927515</v>
      </c>
      <c r="H624">
        <f>-599.37885879775 -26.4242355335375 -613.887633668094</f>
        <v>-1239.6907279993816</v>
      </c>
      <c r="I624">
        <f>-561.756504796937 -31.7759469352038 -687.785766763261</f>
        <v>-1281.3182184954017</v>
      </c>
      <c r="J624" t="s">
        <v>5683</v>
      </c>
      <c r="K624" t="s">
        <v>5684</v>
      </c>
      <c r="L624" t="s">
        <v>5685</v>
      </c>
      <c r="M624" t="s">
        <v>5686</v>
      </c>
      <c r="N624">
        <f>-604.784141691804 -49.8040335058251 -557.341311860526</f>
        <v>-1211.9294870581552</v>
      </c>
      <c r="O624">
        <f>-622.353235088554 -180.518584804819 -518.581932322684</f>
        <v>-1321.453752216057</v>
      </c>
      <c r="P624">
        <f>-661.128111541674 -206.967554137995 -228.085501258731</f>
        <v>-1096.1811669383999</v>
      </c>
      <c r="Q624">
        <f>-460.351024704123 -95.8452024364037 -301.510351534015</f>
        <v>-857.70657867454179</v>
      </c>
      <c r="R624" t="s">
        <v>5687</v>
      </c>
      <c r="S624" t="s">
        <v>5688</v>
      </c>
      <c r="T624" t="s">
        <v>5689</v>
      </c>
      <c r="U624" t="s">
        <v>5690</v>
      </c>
      <c r="V624">
        <f>-567.11242926245 -84.8929650283553 -97.1008078502211</f>
        <v>-749.10620214102642</v>
      </c>
      <c r="W624" t="s">
        <v>5691</v>
      </c>
      <c r="X624" t="s">
        <v>5692</v>
      </c>
      <c r="Y624" t="s">
        <v>5693</v>
      </c>
    </row>
    <row r="625" spans="1:25" x14ac:dyDescent="0.3">
      <c r="A625">
        <v>31200</v>
      </c>
      <c r="B625" t="s">
        <v>5694</v>
      </c>
      <c r="C625" t="s">
        <v>5695</v>
      </c>
      <c r="D625" t="s">
        <v>5696</v>
      </c>
      <c r="E625">
        <f>-607.217027410829 -4.29305046175887 -312.222749868534</f>
        <v>-923.73282774112181</v>
      </c>
      <c r="F625">
        <f>-609.663395104567 -10.5125897242731 -401.06845111125</f>
        <v>-1021.2444359400902</v>
      </c>
      <c r="G625">
        <f>-607.461499855262 -17.0353431730971 -489.898851523524</f>
        <v>-1114.395694551883</v>
      </c>
      <c r="H625">
        <f>-599.523982335182 -26.6016899080621 -613.85978128401</f>
        <v>-1239.9854535272541</v>
      </c>
      <c r="I625">
        <f>-562.103231515747 -31.9350580441233 -687.861525069107</f>
        <v>-1281.8998146289773</v>
      </c>
      <c r="J625" t="s">
        <v>5697</v>
      </c>
      <c r="K625" t="s">
        <v>5698</v>
      </c>
      <c r="L625" t="s">
        <v>5699</v>
      </c>
      <c r="M625" t="s">
        <v>5700</v>
      </c>
      <c r="N625">
        <f>-604.898447997507 -49.9640544503047 -557.303476866485</f>
        <v>-1212.1659793142967</v>
      </c>
      <c r="O625">
        <f>-622.45717065149 -180.677081277356 -518.535699880389</f>
        <v>-1321.669951809235</v>
      </c>
      <c r="P625">
        <f>-661.260725054243 -207.104439554623 -228.040993572192</f>
        <v>-1096.4061581810581</v>
      </c>
      <c r="Q625">
        <f>-460.239906271026 -96.2819094230392 -301.252124481289</f>
        <v>-857.77394017535414</v>
      </c>
      <c r="R625" t="s">
        <v>5701</v>
      </c>
      <c r="S625" t="s">
        <v>5702</v>
      </c>
      <c r="T625" t="s">
        <v>5703</v>
      </c>
      <c r="U625" t="s">
        <v>5704</v>
      </c>
      <c r="V625">
        <f>-567.095365606687 -85.1358060620657 -97.0685348656265</f>
        <v>-749.2997065343792</v>
      </c>
      <c r="W625" t="s">
        <v>5705</v>
      </c>
      <c r="X625" t="s">
        <v>5706</v>
      </c>
      <c r="Y625" t="s">
        <v>5707</v>
      </c>
    </row>
    <row r="626" spans="1:25" x14ac:dyDescent="0.3">
      <c r="A626">
        <v>31250</v>
      </c>
      <c r="B626" t="s">
        <v>5708</v>
      </c>
      <c r="C626" t="s">
        <v>5709</v>
      </c>
      <c r="D626" t="s">
        <v>5710</v>
      </c>
      <c r="E626">
        <f>-607.223021657059 -4.28460675765859 -312.214438225349</f>
        <v>-923.7220666400666</v>
      </c>
      <c r="F626">
        <f>-609.723057768943 -10.4961536946257 -401.05931453888</f>
        <v>-1021.2785260024488</v>
      </c>
      <c r="G626">
        <f>-607.588759435973 -17.0080106812966 -489.89213965686</f>
        <v>-1114.4889097741295</v>
      </c>
      <c r="H626">
        <f>-599.759626661428 -26.5558444205008 -613.861341338776</f>
        <v>-1240.1768124207047</v>
      </c>
      <c r="I626">
        <f>-562.450934903382 -31.8555489260825 -687.922181515825</f>
        <v>-1282.2286653452893</v>
      </c>
      <c r="J626" t="s">
        <v>5711</v>
      </c>
      <c r="K626" t="s">
        <v>5712</v>
      </c>
      <c r="L626" t="s">
        <v>5713</v>
      </c>
      <c r="M626" t="s">
        <v>5714</v>
      </c>
      <c r="N626">
        <f>-605.084094840626 -49.9267557912494 -557.30376514368</f>
        <v>-1212.3146157755555</v>
      </c>
      <c r="O626">
        <f>-622.596746494506 -180.649611155323 -518.542000940323</f>
        <v>-1321.7883585901518</v>
      </c>
      <c r="P626">
        <f>-661.341824674922 -207.050657601191 -228.037395606818</f>
        <v>-1096.4298778829311</v>
      </c>
      <c r="Q626">
        <f>-460.179123918174 -96.5425175376583 -301.334024065323</f>
        <v>-858.05566552115533</v>
      </c>
      <c r="R626" t="s">
        <v>5715</v>
      </c>
      <c r="S626" t="s">
        <v>5716</v>
      </c>
      <c r="T626" t="s">
        <v>5717</v>
      </c>
      <c r="U626" t="s">
        <v>5718</v>
      </c>
      <c r="V626">
        <f>-567.068810769615 -85.0750255567655 -97.0642876705667</f>
        <v>-749.20812399694717</v>
      </c>
      <c r="W626" t="s">
        <v>5719</v>
      </c>
      <c r="X626" t="s">
        <v>5720</v>
      </c>
      <c r="Y626" t="s">
        <v>5721</v>
      </c>
    </row>
    <row r="627" spans="1:25" x14ac:dyDescent="0.3">
      <c r="A627">
        <v>31300</v>
      </c>
      <c r="B627" t="s">
        <v>5722</v>
      </c>
      <c r="C627" t="s">
        <v>5723</v>
      </c>
      <c r="D627" t="s">
        <v>5724</v>
      </c>
      <c r="E627">
        <f>-607.304829380024 -4.26909761581624 -312.203894316553</f>
        <v>-923.77782131239314</v>
      </c>
      <c r="F627">
        <f>-609.947731500593 -10.4507693323235 -401.046707118423</f>
        <v>-1021.4452079513395</v>
      </c>
      <c r="G627">
        <f>-607.992546815264 -16.9216360605492 -489.886736702316</f>
        <v>-1114.8009195781292</v>
      </c>
      <c r="H627">
        <f>-600.451434202343 -26.3993285458776 -613.879109287436</f>
        <v>-1240.7298720356566</v>
      </c>
      <c r="I627">
        <f>-563.372968208212 -31.6158407973851 -688.061370660728</f>
        <v>-1283.0501796663252</v>
      </c>
      <c r="J627" t="s">
        <v>5725</v>
      </c>
      <c r="K627" t="s">
        <v>5726</v>
      </c>
      <c r="L627" t="s">
        <v>5727</v>
      </c>
      <c r="M627" t="s">
        <v>5728</v>
      </c>
      <c r="N627">
        <f>-605.623488010145 -49.8035837058405 -557.321157586555</f>
        <v>-1212.7482293025405</v>
      </c>
      <c r="O627">
        <f>-622.927578716715 -180.565683312023 -518.603476959385</f>
        <v>-1322.096738988123</v>
      </c>
      <c r="P627">
        <f>-661.575411464141 -207.144732353176 -228.102078345698</f>
        <v>-1096.8222221630149</v>
      </c>
      <c r="Q627">
        <f>-460.28864535016 -96.6563107311044 -301.087088832341</f>
        <v>-858.03204491360543</v>
      </c>
      <c r="R627" t="s">
        <v>5729</v>
      </c>
      <c r="S627" t="s">
        <v>5730</v>
      </c>
      <c r="T627" t="s">
        <v>5731</v>
      </c>
      <c r="U627" t="s">
        <v>5732</v>
      </c>
      <c r="V627">
        <f>-566.998462983701 -85.0292885392105 -97.0632194541148</f>
        <v>-749.09097097702625</v>
      </c>
      <c r="W627" t="s">
        <v>5733</v>
      </c>
      <c r="X627" t="s">
        <v>5734</v>
      </c>
      <c r="Y627" t="s">
        <v>5735</v>
      </c>
    </row>
    <row r="628" spans="1:25" x14ac:dyDescent="0.3">
      <c r="A628">
        <v>31350</v>
      </c>
      <c r="B628" t="s">
        <v>5736</v>
      </c>
      <c r="C628" t="s">
        <v>5737</v>
      </c>
      <c r="D628" t="s">
        <v>5738</v>
      </c>
      <c r="E628">
        <f>-607.347077360882 -4.31397298937486 -312.200467292345</f>
        <v>-923.86151764260194</v>
      </c>
      <c r="F628">
        <f>-610.064702868039 -10.492256811176 -401.041362685594</f>
        <v>-1021.5983223648091</v>
      </c>
      <c r="G628">
        <f>-608.205609799539 -16.9572186538583 -489.883799074735</f>
        <v>-1115.0466275281324</v>
      </c>
      <c r="H628">
        <f>-600.820679588799 -26.4234360747278 -613.886511398302</f>
        <v>-1241.1306270618288</v>
      </c>
      <c r="I628">
        <f>-563.851911055662 -31.5992366947987 -688.126291023591</f>
        <v>-1283.5774387740516</v>
      </c>
      <c r="J628" t="s">
        <v>5739</v>
      </c>
      <c r="K628" t="s">
        <v>5740</v>
      </c>
      <c r="L628" t="s">
        <v>5741</v>
      </c>
      <c r="M628" t="s">
        <v>5742</v>
      </c>
      <c r="N628">
        <f>-605.902722772881 -49.834005089853 -557.323120256689</f>
        <v>-1213.0598481194229</v>
      </c>
      <c r="O628">
        <f>-623.051944162561 -180.624403701735 -518.639728146737</f>
        <v>-1322.3160760110329</v>
      </c>
      <c r="P628">
        <f>-661.591740530814 -207.263150570879 -228.129406569678</f>
        <v>-1096.984297671371</v>
      </c>
      <c r="Q628">
        <f>-460.395054079972 -96.5636310657508 -301.042991938151</f>
        <v>-858.0016770838738</v>
      </c>
      <c r="R628" t="s">
        <v>5743</v>
      </c>
      <c r="S628" t="s">
        <v>5744</v>
      </c>
      <c r="T628" t="s">
        <v>5745</v>
      </c>
      <c r="U628" t="s">
        <v>5746</v>
      </c>
      <c r="V628">
        <f>-566.966326476684 -85.0853230730265 -97.0819125363711</f>
        <v>-749.13356208608161</v>
      </c>
      <c r="W628" t="s">
        <v>5747</v>
      </c>
      <c r="X628" t="s">
        <v>5748</v>
      </c>
      <c r="Y628" t="s">
        <v>5749</v>
      </c>
    </row>
    <row r="629" spans="1:25" x14ac:dyDescent="0.3">
      <c r="A629">
        <v>31400</v>
      </c>
      <c r="B629" t="s">
        <v>5750</v>
      </c>
      <c r="C629" t="s">
        <v>5751</v>
      </c>
      <c r="D629" t="s">
        <v>5752</v>
      </c>
      <c r="E629">
        <f>-607.261668807392 -4.22741200009023 -312.225969077271</f>
        <v>-923.71504988475317</v>
      </c>
      <c r="F629">
        <f>-610.080223741393 -10.3573921140321 -401.067082750528</f>
        <v>-1021.5046986059531</v>
      </c>
      <c r="G629">
        <f>-608.3522681144 -16.7486490351587 -489.917488114071</f>
        <v>-1115.0184052636296</v>
      </c>
      <c r="H629">
        <f>-601.181672706684 -26.0841146949897 -613.942660660996</f>
        <v>-1241.2084480626697</v>
      </c>
      <c r="I629">
        <f>-564.399602683632 -31.1216471841917 -688.284612166617</f>
        <v>-1283.8058620344407</v>
      </c>
      <c r="J629" t="s">
        <v>5753</v>
      </c>
      <c r="K629" t="s">
        <v>5754</v>
      </c>
      <c r="L629" t="s">
        <v>5755</v>
      </c>
      <c r="M629" t="s">
        <v>5756</v>
      </c>
      <c r="N629">
        <f>-606.124010753126 -49.5569586549359 -557.392649749502</f>
        <v>-1213.0736191575638</v>
      </c>
      <c r="O629">
        <f>-623.021524515007 -180.416262379798 -518.798843084601</f>
        <v>-1322.236629979406</v>
      </c>
      <c r="P629">
        <f>-661.354656174003 -207.17583945652 -228.272388899368</f>
        <v>-1096.8028845298911</v>
      </c>
      <c r="Q629">
        <f>-460.282403792095 -96.005121869601 -300.810702190373</f>
        <v>-857.09822785206893</v>
      </c>
      <c r="R629" t="s">
        <v>5757</v>
      </c>
      <c r="S629" t="s">
        <v>5758</v>
      </c>
      <c r="T629" t="s">
        <v>5759</v>
      </c>
      <c r="U629" t="s">
        <v>5760</v>
      </c>
      <c r="V629">
        <f>-566.720536469389 -85.0818109251379 -97.0959016683506</f>
        <v>-748.89824906287754</v>
      </c>
      <c r="W629" t="s">
        <v>5761</v>
      </c>
      <c r="X629" t="s">
        <v>5762</v>
      </c>
      <c r="Y629" t="s">
        <v>5763</v>
      </c>
    </row>
    <row r="630" spans="1:25" x14ac:dyDescent="0.3">
      <c r="A630">
        <v>31450</v>
      </c>
      <c r="B630" t="s">
        <v>5764</v>
      </c>
      <c r="C630" t="s">
        <v>5765</v>
      </c>
      <c r="D630" t="s">
        <v>5766</v>
      </c>
      <c r="E630">
        <f>-607.107441168336 -4.13678235890188 -312.258129055857</f>
        <v>-923.50235258309488</v>
      </c>
      <c r="F630">
        <f>-609.955263349608 -10.2465293673065 -401.099691442951</f>
        <v>-1021.3014841598655</v>
      </c>
      <c r="G630">
        <f>-608.27376391146 -16.6070618012884 -489.953133361683</f>
        <v>-1114.8339590744315</v>
      </c>
      <c r="H630">
        <f>-601.185159685338 -25.8887541703134 -613.987016875465</f>
        <v>-1241.0609307311165</v>
      </c>
      <c r="I630">
        <f>-564.492061938982 -30.8558723629835 -688.377794893815</f>
        <v>-1283.7257291957806</v>
      </c>
      <c r="J630" t="s">
        <v>5767</v>
      </c>
      <c r="K630" t="s">
        <v>5768</v>
      </c>
      <c r="L630" t="s">
        <v>5769</v>
      </c>
      <c r="M630" t="s">
        <v>5770</v>
      </c>
      <c r="N630">
        <f>-606.074786374787 -49.3870663602529 -557.442991158987</f>
        <v>-1212.9048438940267</v>
      </c>
      <c r="O630">
        <f>-622.863104038472 -180.276294707789 -518.912627042953</f>
        <v>-1322.052025789214</v>
      </c>
      <c r="P630">
        <f>-661.09994468809 -207.071174494972 -228.376579752542</f>
        <v>-1096.5476989356041</v>
      </c>
      <c r="Q630">
        <f>-460.0991560605 -95.7560328635254 -300.891851944082</f>
        <v>-856.74704086810743</v>
      </c>
      <c r="R630" t="s">
        <v>5771</v>
      </c>
      <c r="S630" t="s">
        <v>5772</v>
      </c>
      <c r="T630" t="s">
        <v>5773</v>
      </c>
      <c r="U630" t="s">
        <v>5774</v>
      </c>
      <c r="V630">
        <f>-566.519416566402 -84.9168415977215 -97.1144707030138</f>
        <v>-748.55072886713731</v>
      </c>
      <c r="W630" t="s">
        <v>5775</v>
      </c>
      <c r="X630" t="s">
        <v>5776</v>
      </c>
      <c r="Y630" t="s">
        <v>5777</v>
      </c>
    </row>
    <row r="631" spans="1:25" x14ac:dyDescent="0.3">
      <c r="A631">
        <v>31500</v>
      </c>
      <c r="B631" t="s">
        <v>5778</v>
      </c>
      <c r="C631" t="s">
        <v>5779</v>
      </c>
      <c r="D631" t="s">
        <v>5780</v>
      </c>
      <c r="E631">
        <f>-606.787165646557 -3.93112774611473 -312.276540020463</f>
        <v>-922.99483341313476</v>
      </c>
      <c r="F631">
        <f>-609.68271217613 -10.0250188411999 -401.117554965282</f>
        <v>-1020.8252859826119</v>
      </c>
      <c r="G631">
        <f>-608.081524666313 -16.3568389709928 -489.97451185012</f>
        <v>-1114.4128754874259</v>
      </c>
      <c r="H631">
        <f>-601.138724658814 -25.5845851555582 -614.020745461366</f>
        <v>-1240.7440552757382</v>
      </c>
      <c r="I631">
        <f>-564.614343722863 -30.4594283619417 -688.500616231701</f>
        <v>-1283.5743883165057</v>
      </c>
      <c r="J631" t="s">
        <v>5781</v>
      </c>
      <c r="K631" t="s">
        <v>5782</v>
      </c>
      <c r="L631" t="s">
        <v>5783</v>
      </c>
      <c r="M631" t="s">
        <v>5784</v>
      </c>
      <c r="N631">
        <f>-605.945375252285 -49.1085138394817 -557.480215591865</f>
        <v>-1212.5341046836315</v>
      </c>
      <c r="O631">
        <f>-622.582613115556 -180.030907665432 -519.013823160551</f>
        <v>-1321.627343941539</v>
      </c>
      <c r="P631">
        <f>-660.611791512693 -207.078140440469 -228.473984364499</f>
        <v>-1096.163916317661</v>
      </c>
      <c r="Q631">
        <f>-459.703947303177 -95.5203206251231 -300.874028339202</f>
        <v>-856.09829626750218</v>
      </c>
      <c r="R631" t="s">
        <v>5785</v>
      </c>
      <c r="S631" t="s">
        <v>5786</v>
      </c>
      <c r="T631" t="s">
        <v>5787</v>
      </c>
      <c r="U631" t="s">
        <v>5788</v>
      </c>
      <c r="V631">
        <f>-566.160171119755 -84.6011457658708 -97.1306984832891</f>
        <v>-747.89201536891483</v>
      </c>
      <c r="W631" t="s">
        <v>5789</v>
      </c>
      <c r="X631" t="s">
        <v>5790</v>
      </c>
      <c r="Y631" t="s">
        <v>5791</v>
      </c>
    </row>
    <row r="632" spans="1:25" x14ac:dyDescent="0.3">
      <c r="A632">
        <v>31550</v>
      </c>
      <c r="B632" t="s">
        <v>5792</v>
      </c>
      <c r="C632" t="s">
        <v>5793</v>
      </c>
      <c r="D632" t="s">
        <v>5794</v>
      </c>
      <c r="E632">
        <f>-606.765041157341 -3.79662748836381 -312.272166053088</f>
        <v>-922.83383469879277</v>
      </c>
      <c r="F632">
        <f>-609.682453961481 -9.8896544599786 -401.112560212376</f>
        <v>-1020.6846686338356</v>
      </c>
      <c r="G632">
        <f>-608.10845159805 -16.2193762924669 -489.970206759928</f>
        <v>-1114.2980346504448</v>
      </c>
      <c r="H632">
        <f>-601.209859078343 -25.442756913257 -614.019156384389</f>
        <v>-1240.6717723759889</v>
      </c>
      <c r="I632">
        <f>-564.758294213692 -30.2974501707047 -688.536072656225</f>
        <v>-1283.5918170406217</v>
      </c>
      <c r="J632" t="s">
        <v>5795</v>
      </c>
      <c r="K632" t="s">
        <v>5796</v>
      </c>
      <c r="L632" t="s">
        <v>5797</v>
      </c>
      <c r="M632" t="s">
        <v>5798</v>
      </c>
      <c r="N632">
        <f>-605.988708492717 -48.9689519460555 -557.477343369579</f>
        <v>-1212.4350038083517</v>
      </c>
      <c r="O632">
        <f>-622.591216292265 -179.906634627921 -519.046735069552</f>
        <v>-1321.5445859897382</v>
      </c>
      <c r="P632">
        <f>-660.569888324219 -207.046010037507 -228.508733128116</f>
        <v>-1096.1246314898422</v>
      </c>
      <c r="Q632">
        <f>-459.657643866586 -95.4893208702522 -300.898273495956</f>
        <v>-856.04523823279419</v>
      </c>
      <c r="R632" t="s">
        <v>5799</v>
      </c>
      <c r="S632" t="s">
        <v>5800</v>
      </c>
      <c r="T632" t="s">
        <v>5801</v>
      </c>
      <c r="U632" t="s">
        <v>5802</v>
      </c>
      <c r="V632">
        <f>-566.089376301744 -84.532369120149 -97.1424264513045</f>
        <v>-747.76417187319748</v>
      </c>
      <c r="W632" t="s">
        <v>5803</v>
      </c>
      <c r="X632" t="s">
        <v>5804</v>
      </c>
      <c r="Y632" t="s">
        <v>5805</v>
      </c>
    </row>
    <row r="633" spans="1:25" x14ac:dyDescent="0.3">
      <c r="A633">
        <v>31600</v>
      </c>
      <c r="B633" t="s">
        <v>5806</v>
      </c>
      <c r="C633" t="s">
        <v>5807</v>
      </c>
      <c r="D633" t="s">
        <v>5808</v>
      </c>
      <c r="E633">
        <f>-606.800640377961 -3.57057567346055 -312.308696377624</f>
        <v>-922.67991242904554</v>
      </c>
      <c r="F633">
        <f>-609.762656152116 -9.66325453379932 -401.14766267787</f>
        <v>-1020.5735733637854</v>
      </c>
      <c r="G633">
        <f>-608.242009672171 -15.992187298951 -490.006396449249</f>
        <v>-1114.2405934203709</v>
      </c>
      <c r="H633">
        <f>-601.426849224743 -25.2135799584667 -614.060176693771</f>
        <v>-1240.7006058769807</v>
      </c>
      <c r="I633">
        <f>-565.052456651197 -30.0555754900358 -688.615392679845</f>
        <v>-1283.7234248210777</v>
      </c>
      <c r="J633" t="s">
        <v>5809</v>
      </c>
      <c r="K633" t="s">
        <v>5810</v>
      </c>
      <c r="L633" t="s">
        <v>5811</v>
      </c>
      <c r="M633" t="s">
        <v>5812</v>
      </c>
      <c r="N633">
        <f>-606.146988617687 -48.7419993742458 -557.514251792636</f>
        <v>-1212.4032397845688</v>
      </c>
      <c r="O633">
        <f>-622.628721463523 -179.699155004226 -519.091542450722</f>
        <v>-1321.4194189184709</v>
      </c>
      <c r="P633">
        <f>-660.644321052312 -206.765054353535 -228.551600258475</f>
        <v>-1095.9609756643219</v>
      </c>
      <c r="Q633">
        <f>-459.709064163159 -95.2144275130554 -300.886448677955</f>
        <v>-855.80994035416938</v>
      </c>
      <c r="R633" t="s">
        <v>5813</v>
      </c>
      <c r="S633" t="s">
        <v>5814</v>
      </c>
      <c r="T633" t="s">
        <v>5815</v>
      </c>
      <c r="U633" t="s">
        <v>5816</v>
      </c>
      <c r="V633">
        <f>-566.060757386426 -84.3955298927419 -97.1759683116454</f>
        <v>-747.63225559081332</v>
      </c>
      <c r="W633" t="s">
        <v>5817</v>
      </c>
      <c r="X633" t="s">
        <v>5818</v>
      </c>
      <c r="Y633" t="s">
        <v>5819</v>
      </c>
    </row>
    <row r="634" spans="1:25" x14ac:dyDescent="0.3">
      <c r="A634">
        <v>31650</v>
      </c>
      <c r="B634" t="s">
        <v>5820</v>
      </c>
      <c r="C634" t="s">
        <v>5821</v>
      </c>
      <c r="D634" t="s">
        <v>5822</v>
      </c>
      <c r="E634">
        <f>-606.807692320031 -3.47001462750245 -312.310538338837</f>
        <v>-922.58824528637047</v>
      </c>
      <c r="F634">
        <f>-609.795359397886 -9.54686411906414 -401.149605654546</f>
        <v>-1020.4918291714962</v>
      </c>
      <c r="G634">
        <f>-608.305577565787 -15.8563047052 -490.01030259004</f>
        <v>-1114.1721848610271</v>
      </c>
      <c r="H634">
        <f>-601.538676875204 -25.0459860520809 -614.069035357744</f>
        <v>-1240.6536982850289</v>
      </c>
      <c r="I634">
        <f>-565.170596715529 -29.8837610833484 -688.627677057761</f>
        <v>-1283.6820348566384</v>
      </c>
      <c r="J634" t="s">
        <v>5823</v>
      </c>
      <c r="K634" t="s">
        <v>5824</v>
      </c>
      <c r="L634" t="s">
        <v>5825</v>
      </c>
      <c r="M634" t="s">
        <v>5826</v>
      </c>
      <c r="N634">
        <f>-606.227056487487 -48.5893551054489 -557.526665435107</f>
        <v>-1212.3430770280429</v>
      </c>
      <c r="O634">
        <f>-622.659155567449 -179.558748140187 -519.117487612721</f>
        <v>-1321.3353913203568</v>
      </c>
      <c r="P634">
        <f>-660.711508855756 -206.522513066898 -228.572767604921</f>
        <v>-1095.8067895275751</v>
      </c>
      <c r="Q634">
        <f>-459.745205229099 -95.0484257340242 -300.939332564395</f>
        <v>-855.73296352751822</v>
      </c>
      <c r="R634" t="s">
        <v>5827</v>
      </c>
      <c r="S634" t="s">
        <v>5828</v>
      </c>
      <c r="T634" t="s">
        <v>5829</v>
      </c>
      <c r="U634" t="s">
        <v>5830</v>
      </c>
      <c r="V634">
        <f>-566.051665931715 -84.2599385555989 -97.1794128016138</f>
        <v>-747.49101728892765</v>
      </c>
      <c r="W634" t="s">
        <v>5831</v>
      </c>
      <c r="X634" t="s">
        <v>5832</v>
      </c>
      <c r="Y634" t="s">
        <v>5833</v>
      </c>
    </row>
    <row r="635" spans="1:25" x14ac:dyDescent="0.3">
      <c r="A635">
        <v>31700</v>
      </c>
      <c r="B635" t="s">
        <v>5834</v>
      </c>
      <c r="C635" t="s">
        <v>5835</v>
      </c>
      <c r="D635" t="s">
        <v>5836</v>
      </c>
      <c r="E635">
        <f>-606.739892848363 -3.18023448549116 -312.299210796163</f>
        <v>-922.21933813001715</v>
      </c>
      <c r="F635">
        <f>-609.755141870391 -9.23224183215757 -401.139020412358</f>
        <v>-1020.1264041149066</v>
      </c>
      <c r="G635">
        <f>-608.293791634804 -15.5100596092793 -490.002428207736</f>
        <v>-1113.8062794518194</v>
      </c>
      <c r="H635">
        <f>-601.567113337709 -24.6477556860787 -614.067133638383</f>
        <v>-1240.2820026621707</v>
      </c>
      <c r="I635">
        <f>-565.167740330082 -29.4807679903638 -688.610734962632</f>
        <v>-1283.2592432830779</v>
      </c>
      <c r="J635" t="s">
        <v>5837</v>
      </c>
      <c r="K635" t="s">
        <v>5838</v>
      </c>
      <c r="L635" t="s">
        <v>5839</v>
      </c>
      <c r="M635" t="s">
        <v>5840</v>
      </c>
      <c r="N635">
        <f>-606.226893625145 -48.2153240741513 -557.532503157445</f>
        <v>-1211.9747208567414</v>
      </c>
      <c r="O635">
        <f>-622.610630374543 -179.198454581578 -519.159990227716</f>
        <v>-1320.969075183837</v>
      </c>
      <c r="P635">
        <f>-660.674575400986 -206.313926242589 -228.630955027451</f>
        <v>-1095.619456671026</v>
      </c>
      <c r="Q635">
        <f>-459.949748234642 -94.4563244021404 -301.076029671993</f>
        <v>-855.48210230877544</v>
      </c>
      <c r="R635" t="s">
        <v>5841</v>
      </c>
      <c r="S635" t="s">
        <v>5842</v>
      </c>
      <c r="T635" t="s">
        <v>5843</v>
      </c>
      <c r="U635" t="s">
        <v>5844</v>
      </c>
      <c r="V635">
        <f>-565.890013149412 -83.9481506388211 -97.1894349809734</f>
        <v>-747.02759876920641</v>
      </c>
      <c r="W635" t="s">
        <v>5845</v>
      </c>
      <c r="X635" t="s">
        <v>5846</v>
      </c>
      <c r="Y635" t="s">
        <v>5847</v>
      </c>
    </row>
    <row r="636" spans="1:25" x14ac:dyDescent="0.3">
      <c r="A636">
        <v>31750</v>
      </c>
      <c r="B636" t="s">
        <v>5848</v>
      </c>
      <c r="C636" t="s">
        <v>5849</v>
      </c>
      <c r="D636" t="s">
        <v>5850</v>
      </c>
      <c r="E636">
        <f>-606.772879371733 -3.15718474854884 -312.286891468929</f>
        <v>-922.21695558921078</v>
      </c>
      <c r="F636">
        <f>-609.806838165914 -9.1975005757356 -401.126943640879</f>
        <v>-1020.1312823825285</v>
      </c>
      <c r="G636">
        <f>-608.363512712133 -15.4577137680233 -489.991739727517</f>
        <v>-1113.8129662076733</v>
      </c>
      <c r="H636">
        <f>-601.660756416901 -24.5650039471095 -614.060139155089</f>
        <v>-1240.2858995190995</v>
      </c>
      <c r="I636">
        <f>-565.233242159992 -29.3948180845478 -688.5901401396</f>
        <v>-1283.2182003841397</v>
      </c>
      <c r="J636" t="s">
        <v>5851</v>
      </c>
      <c r="K636" t="s">
        <v>5852</v>
      </c>
      <c r="L636" t="s">
        <v>5853</v>
      </c>
      <c r="M636" t="s">
        <v>5854</v>
      </c>
      <c r="N636">
        <f>-606.300533446532 -48.1469775055166 -557.529887953827</f>
        <v>-1211.9773989058756</v>
      </c>
      <c r="O636">
        <f>-622.628484756901 -179.14779376241 -519.198845796461</f>
        <v>-1320.9751243157721</v>
      </c>
      <c r="P636">
        <f>-660.711503061319 -206.428648841224 -228.687954631128</f>
        <v>-1095.828106533671</v>
      </c>
      <c r="Q636">
        <f>-460.135786404164 -94.2926996513063 -301.11604252161</f>
        <v>-855.54452857708031</v>
      </c>
      <c r="R636" t="s">
        <v>5855</v>
      </c>
      <c r="S636" t="s">
        <v>5856</v>
      </c>
      <c r="T636" t="s">
        <v>5857</v>
      </c>
      <c r="U636" t="s">
        <v>5858</v>
      </c>
      <c r="V636">
        <f>-565.874600596419 -83.9834139764719 -97.1793381851899</f>
        <v>-747.03735275808071</v>
      </c>
      <c r="W636" t="s">
        <v>5859</v>
      </c>
      <c r="X636" t="s">
        <v>5860</v>
      </c>
      <c r="Y636" t="s">
        <v>5861</v>
      </c>
    </row>
    <row r="637" spans="1:25" x14ac:dyDescent="0.3">
      <c r="A637">
        <v>31800</v>
      </c>
      <c r="B637" t="s">
        <v>5862</v>
      </c>
      <c r="C637" t="s">
        <v>5863</v>
      </c>
      <c r="D637" t="s">
        <v>5864</v>
      </c>
      <c r="E637">
        <f>-606.838015006159 -3.17740030738059 -312.256264657721</f>
        <v>-922.2716799712606</v>
      </c>
      <c r="F637">
        <f>-609.91915221548 -9.20252880740918 -401.095772141991</f>
        <v>-1020.2174531648802</v>
      </c>
      <c r="G637">
        <f>-608.526453267548 -15.4382109558765 -489.963063504666</f>
        <v>-1113.9277277280905</v>
      </c>
      <c r="H637">
        <f>-601.897662129352 -24.5014504971884 -614.038628641812</f>
        <v>-1240.4377412683525</v>
      </c>
      <c r="I637">
        <f>-565.429500470927 -29.299261412234 -688.550915687686</f>
        <v>-1283.2796775708471</v>
      </c>
      <c r="J637" t="s">
        <v>5865</v>
      </c>
      <c r="K637" t="s">
        <v>5866</v>
      </c>
      <c r="L637" t="s">
        <v>5867</v>
      </c>
      <c r="M637" t="s">
        <v>5868</v>
      </c>
      <c r="N637">
        <f>-606.473990682945 -48.1053711553307 -557.51225797135</f>
        <v>-1212.0916198096256</v>
      </c>
      <c r="O637">
        <f>-622.65146519394 -179.146224685576 -519.23852307125</f>
        <v>-1321.036212950766</v>
      </c>
      <c r="P637">
        <f>-660.716513128831 -206.586086162657 -228.740139507642</f>
        <v>-1096.0427387991301</v>
      </c>
      <c r="Q637">
        <f>-460.476420830224 -93.7251857558667 -300.970277155475</f>
        <v>-855.17188374156581</v>
      </c>
      <c r="R637" t="s">
        <v>5869</v>
      </c>
      <c r="S637" t="s">
        <v>5870</v>
      </c>
      <c r="T637" t="s">
        <v>5871</v>
      </c>
      <c r="U637" t="s">
        <v>5872</v>
      </c>
      <c r="V637">
        <f>-565.747285582157 -83.9645867037107 -97.1810087020234</f>
        <v>-746.89288098789109</v>
      </c>
      <c r="W637" t="s">
        <v>5873</v>
      </c>
      <c r="X637" t="s">
        <v>5874</v>
      </c>
      <c r="Y637" t="s">
        <v>5875</v>
      </c>
    </row>
    <row r="638" spans="1:25" x14ac:dyDescent="0.3">
      <c r="A638">
        <v>31850</v>
      </c>
      <c r="B638" t="s">
        <v>5876</v>
      </c>
      <c r="C638" t="s">
        <v>5877</v>
      </c>
      <c r="D638" t="s">
        <v>5878</v>
      </c>
      <c r="E638">
        <f>-606.885095642588 -3.20231166807116 -312.240938018258</f>
        <v>-922.32834532891718</v>
      </c>
      <c r="F638">
        <f>-609.988074829318 -9.21775122000099 -401.080163180601</f>
        <v>-1020.28598922992</v>
      </c>
      <c r="G638">
        <f>-608.61664322865 -15.4374726775554 -489.949055943658</f>
        <v>-1114.0031718498635</v>
      </c>
      <c r="H638">
        <f>-602.016913693779 -24.4713831410152 -614.028231380921</f>
        <v>-1240.5165282157152</v>
      </c>
      <c r="I638">
        <f>-565.538031322054 -29.2296943199292 -688.537825332573</f>
        <v>-1283.3055509745564</v>
      </c>
      <c r="J638" t="s">
        <v>5879</v>
      </c>
      <c r="K638" t="s">
        <v>5880</v>
      </c>
      <c r="L638" t="s">
        <v>5881</v>
      </c>
      <c r="M638" t="s">
        <v>5882</v>
      </c>
      <c r="N638">
        <f>-606.557499990679 -48.0897883874914 -557.505199655945</f>
        <v>-1212.1524880341153</v>
      </c>
      <c r="O638">
        <f>-622.631468037203 -179.151860254907 -519.2629095708</f>
        <v>-1321.0462378629099</v>
      </c>
      <c r="P638">
        <f>-660.71679546821 -206.652264597182 -228.772846986051</f>
        <v>-1096.141907051443</v>
      </c>
      <c r="Q638">
        <f>-460.668153872459 -93.3245777790521 -300.802670173237</f>
        <v>-854.79540182474807</v>
      </c>
      <c r="R638" t="s">
        <v>5883</v>
      </c>
      <c r="S638" t="s">
        <v>5884</v>
      </c>
      <c r="T638" t="s">
        <v>5885</v>
      </c>
      <c r="U638" t="s">
        <v>5886</v>
      </c>
      <c r="V638">
        <f>-565.687264528455 -84.0230369171686 -97.1726987725907</f>
        <v>-746.88300021821431</v>
      </c>
      <c r="W638" t="s">
        <v>5887</v>
      </c>
      <c r="X638" t="s">
        <v>5888</v>
      </c>
      <c r="Y638" t="s">
        <v>5889</v>
      </c>
    </row>
    <row r="639" spans="1:25" x14ac:dyDescent="0.3">
      <c r="A639">
        <v>31900</v>
      </c>
      <c r="B639" t="s">
        <v>5890</v>
      </c>
      <c r="C639" t="s">
        <v>5891</v>
      </c>
      <c r="D639" t="s">
        <v>5892</v>
      </c>
      <c r="E639">
        <f>-606.733024031007 -3.48595360721492 -312.25227865465</f>
        <v>-922.47125629287189</v>
      </c>
      <c r="F639">
        <f>-609.829333673238 -9.44890457372253 -401.095339671627</f>
        <v>-1020.3735779185876</v>
      </c>
      <c r="G639">
        <f>-608.446775703902 -15.5935483664132 -489.969386376874</f>
        <v>-1114.0097104471893</v>
      </c>
      <c r="H639">
        <f>-601.826657961848 -24.4975558850829 -614.056843967898</f>
        <v>-1240.3810578148289</v>
      </c>
      <c r="I639">
        <f>-565.321042765112 -29.1245151926669 -688.561537214</f>
        <v>-1283.0070951717789</v>
      </c>
      <c r="J639" t="s">
        <v>5893</v>
      </c>
      <c r="K639" t="s">
        <v>5894</v>
      </c>
      <c r="L639" t="s">
        <v>5895</v>
      </c>
      <c r="M639" t="s">
        <v>5896</v>
      </c>
      <c r="N639">
        <f>-606.318056330216 -48.1783406438437 -557.555756415856</f>
        <v>-1212.0521533899157</v>
      </c>
      <c r="O639">
        <f>-622.197328177023 -179.296234401745 -519.434123596033</f>
        <v>-1320.927686174801</v>
      </c>
      <c r="P639">
        <f>-660.472369312601 -207.038496083091 -228.992007346401</f>
        <v>-1096.5028727420931</v>
      </c>
      <c r="Q639">
        <f>-460.670186611828 -93.0034505313151 -300.588068859725</f>
        <v>-854.2617060028681</v>
      </c>
      <c r="R639" t="s">
        <v>5897</v>
      </c>
      <c r="S639" t="s">
        <v>5898</v>
      </c>
      <c r="T639" t="s">
        <v>5899</v>
      </c>
      <c r="U639" t="s">
        <v>5900</v>
      </c>
      <c r="V639">
        <f>-565.545598093208 -84.2596203423534 -97.1712625198456</f>
        <v>-746.97648095540706</v>
      </c>
      <c r="W639" t="s">
        <v>5901</v>
      </c>
      <c r="X639" t="s">
        <v>5902</v>
      </c>
      <c r="Y639" t="s">
        <v>5903</v>
      </c>
    </row>
    <row r="640" spans="1:25" x14ac:dyDescent="0.3">
      <c r="A640">
        <v>31950</v>
      </c>
      <c r="B640" t="s">
        <v>5904</v>
      </c>
      <c r="C640" t="s">
        <v>5905</v>
      </c>
      <c r="D640" t="s">
        <v>5906</v>
      </c>
      <c r="E640">
        <f>-606.666815653112 -3.65529809871236 -312.285646240597</f>
        <v>-922.60775999242139</v>
      </c>
      <c r="F640">
        <f>-609.708796472177 -9.60206824274951 -401.131733737897</f>
        <v>-1020.4425984528235</v>
      </c>
      <c r="G640">
        <f>-608.280506813677 -15.7277551834341 -490.006252845276</f>
        <v>-1114.0145148423871</v>
      </c>
      <c r="H640">
        <f>-601.604937142269 -24.6008619881034 -614.092981346367</f>
        <v>-1240.2987804767395</v>
      </c>
      <c r="I640">
        <f>-565.037140406108 -29.1197545186394 -688.573895126931</f>
        <v>-1282.7307900516785</v>
      </c>
      <c r="J640" t="s">
        <v>5907</v>
      </c>
      <c r="K640" t="s">
        <v>5908</v>
      </c>
      <c r="L640" t="s">
        <v>5909</v>
      </c>
      <c r="M640" t="s">
        <v>5910</v>
      </c>
      <c r="N640">
        <f>-606.069722534839 -48.2984526865741 -557.596934150494</f>
        <v>-1211.9651093719071</v>
      </c>
      <c r="O640">
        <f>-621.710066558035 -179.45586181197 -519.520928106679</f>
        <v>-1320.6868564766842</v>
      </c>
      <c r="P640">
        <f>-660.168323531386 -207.552979077361 -229.137177910085</f>
        <v>-1096.858480518832</v>
      </c>
      <c r="Q640">
        <f>-460.637167952163 -92.7600804629396 -300.276148807953</f>
        <v>-853.67339722305564</v>
      </c>
      <c r="R640" t="s">
        <v>5911</v>
      </c>
      <c r="S640" t="s">
        <v>5912</v>
      </c>
      <c r="T640" t="s">
        <v>5913</v>
      </c>
      <c r="U640" t="s">
        <v>5914</v>
      </c>
      <c r="V640">
        <f>-565.829545360544 -84.3340376157146 -97.1658774286964</f>
        <v>-747.32946040495494</v>
      </c>
      <c r="W640" t="s">
        <v>5915</v>
      </c>
      <c r="X640" t="s">
        <v>5916</v>
      </c>
      <c r="Y640" t="s">
        <v>5917</v>
      </c>
    </row>
    <row r="641" spans="1:25" x14ac:dyDescent="0.3">
      <c r="A641">
        <v>32000</v>
      </c>
      <c r="B641" t="s">
        <v>5918</v>
      </c>
      <c r="C641" t="s">
        <v>5919</v>
      </c>
      <c r="D641" t="s">
        <v>5920</v>
      </c>
      <c r="E641">
        <f>-606.69225880195 -3.46979526354403 -312.287330828887</f>
        <v>-922.44938489438096</v>
      </c>
      <c r="F641">
        <f>-609.693290294874 -9.4265866806245 -401.133993649993</f>
        <v>-1020.2538706254916</v>
      </c>
      <c r="G641">
        <f>-608.223325527845 -15.5667258598487 -490.006928192466</f>
        <v>-1113.7969795801596</v>
      </c>
      <c r="H641">
        <f>-601.488744257663 -24.4635443006516 -614.088786431511</f>
        <v>-1240.0410749898256</v>
      </c>
      <c r="I641">
        <f>-564.87214395242 -28.9439014294692 -688.548032213344</f>
        <v>-1282.3640775952331</v>
      </c>
      <c r="J641" t="s">
        <v>5921</v>
      </c>
      <c r="K641" t="s">
        <v>5922</v>
      </c>
      <c r="L641" t="s">
        <v>5923</v>
      </c>
      <c r="M641" t="s">
        <v>5924</v>
      </c>
      <c r="N641">
        <f>-605.966884697659 -48.1509912754004 -557.589587860032</f>
        <v>-1211.7074638330914</v>
      </c>
      <c r="O641">
        <f>-621.574212871583 -179.308857718761 -519.485889554201</f>
        <v>-1320.3689601445449</v>
      </c>
      <c r="P641">
        <f>-660.061435114269 -207.442300018197 -229.109526233121</f>
        <v>-1096.6132613655871</v>
      </c>
      <c r="Q641">
        <f>-460.634539425518 -92.4386414892847 -300.20063795827</f>
        <v>-853.27381887307274</v>
      </c>
      <c r="R641" t="s">
        <v>5925</v>
      </c>
      <c r="S641" t="s">
        <v>5926</v>
      </c>
      <c r="T641" t="s">
        <v>5927</v>
      </c>
      <c r="U641" t="s">
        <v>5928</v>
      </c>
      <c r="V641">
        <f>-565.926349165069 -84.0599216931939 -97.1693699100182</f>
        <v>-747.15564076828116</v>
      </c>
      <c r="W641" t="s">
        <v>5929</v>
      </c>
      <c r="X641" t="s">
        <v>5930</v>
      </c>
      <c r="Y641" t="s">
        <v>5931</v>
      </c>
    </row>
    <row r="642" spans="1:25" x14ac:dyDescent="0.3">
      <c r="A642">
        <v>32050</v>
      </c>
      <c r="B642" t="s">
        <v>5932</v>
      </c>
      <c r="C642" t="s">
        <v>5933</v>
      </c>
      <c r="D642" t="s">
        <v>5934</v>
      </c>
      <c r="E642">
        <f>-606.779010874624 -3.44077417805102 -312.289773030302</f>
        <v>-922.50955808297704</v>
      </c>
      <c r="F642">
        <f>-609.727190013099 -9.40990076967068 -401.137492790253</f>
        <v>-1020.2745835730227</v>
      </c>
      <c r="G642">
        <f>-608.199064473203 -15.5667459606823 -490.0082641678</f>
        <v>-1113.7740746016852</v>
      </c>
      <c r="H642">
        <f>-601.378208437782 -24.4914331766672 -614.08329313584</f>
        <v>-1239.9529347502892</v>
      </c>
      <c r="I642">
        <f>-564.695836225666 -28.9468513303882 -688.511601785564</f>
        <v>-1282.1542893416181</v>
      </c>
      <c r="J642" t="s">
        <v>5935</v>
      </c>
      <c r="K642" t="s">
        <v>5936</v>
      </c>
      <c r="L642" t="s">
        <v>5937</v>
      </c>
      <c r="M642" t="s">
        <v>5938</v>
      </c>
      <c r="N642">
        <f>-605.88167705306 -48.1669230607888 -557.581057810904</f>
        <v>-1211.6296579247528</v>
      </c>
      <c r="O642">
        <f>-621.458328115208 -179.316792281251 -519.449791915768</f>
        <v>-1320.2249123122269</v>
      </c>
      <c r="P642">
        <f>-660.049720696905 -207.425481558139 -229.084810277412</f>
        <v>-1096.5600125324561</v>
      </c>
      <c r="Q642">
        <f>-460.722908307848 -92.2487964959344 -300.176526622237</f>
        <v>-853.14823142601938</v>
      </c>
      <c r="R642" t="s">
        <v>5939</v>
      </c>
      <c r="S642" t="s">
        <v>5940</v>
      </c>
      <c r="T642" t="s">
        <v>5941</v>
      </c>
      <c r="U642" t="s">
        <v>5942</v>
      </c>
      <c r="V642">
        <f>-566.114325964237 -84.1408298186161 -97.1786037473231</f>
        <v>-747.43375953017619</v>
      </c>
      <c r="W642" t="s">
        <v>5943</v>
      </c>
      <c r="X642" t="s">
        <v>5944</v>
      </c>
      <c r="Y642" t="s">
        <v>5945</v>
      </c>
    </row>
    <row r="643" spans="1:25" x14ac:dyDescent="0.3">
      <c r="A643">
        <v>32100</v>
      </c>
      <c r="B643" t="s">
        <v>5946</v>
      </c>
      <c r="C643" t="s">
        <v>5947</v>
      </c>
      <c r="D643" t="s">
        <v>5948</v>
      </c>
      <c r="E643">
        <f>-606.925639283808 -3.6378642834668 -312.311238623598</f>
        <v>-922.87474219087278</v>
      </c>
      <c r="F643">
        <f>-609.780344120028 -9.64878798320228 -401.159127168096</f>
        <v>-1020.5882592713263</v>
      </c>
      <c r="G643">
        <f>-608.148110957805 -15.8520308509239 -490.024706241415</f>
        <v>-1114.0248480501439</v>
      </c>
      <c r="H643">
        <f>-601.17102434947 -24.8456690542239 -614.086161322724</f>
        <v>-1240.1028547264179</v>
      </c>
      <c r="I643">
        <f>-564.312460878838 -29.2822712301652 -688.4285947341</f>
        <v>-1282.0233268431032</v>
      </c>
      <c r="J643" t="s">
        <v>5949</v>
      </c>
      <c r="K643" t="s">
        <v>5950</v>
      </c>
      <c r="L643" t="s">
        <v>5951</v>
      </c>
      <c r="M643" t="s">
        <v>5952</v>
      </c>
      <c r="N643">
        <f>-605.708500490284 -48.4915769199254 -557.57429626595</f>
        <v>-1211.7743736761595</v>
      </c>
      <c r="O643">
        <f>-621.156012314601 -179.634247845961 -519.371110955575</f>
        <v>-1320.1613711161369</v>
      </c>
      <c r="P643">
        <f>-660.148094150381 -207.554796238605 -229.041561660652</f>
        <v>-1096.7444520496381</v>
      </c>
      <c r="Q643">
        <f>-460.950649140332 -92.1034708140478 -300.050546260294</f>
        <v>-853.10466621467378</v>
      </c>
      <c r="R643" t="s">
        <v>5953</v>
      </c>
      <c r="S643" t="s">
        <v>5954</v>
      </c>
      <c r="T643" t="s">
        <v>5955</v>
      </c>
      <c r="U643" t="s">
        <v>5956</v>
      </c>
      <c r="V643">
        <f>-566.376482814649 -84.2086952629463 -97.1766447257324</f>
        <v>-747.76182280332773</v>
      </c>
      <c r="W643" t="s">
        <v>5957</v>
      </c>
      <c r="X643" t="s">
        <v>5958</v>
      </c>
      <c r="Y643" t="s">
        <v>5959</v>
      </c>
    </row>
    <row r="644" spans="1:25" x14ac:dyDescent="0.3">
      <c r="A644">
        <v>32150</v>
      </c>
      <c r="B644" t="s">
        <v>5960</v>
      </c>
      <c r="C644" t="s">
        <v>5961</v>
      </c>
      <c r="D644" t="s">
        <v>5962</v>
      </c>
      <c r="E644">
        <f>-607.058161311666 -3.87609500817393 -312.318019781097</f>
        <v>-923.25227610093702</v>
      </c>
      <c r="F644">
        <f>-609.869582353731 -9.90683640464476 -401.166081706864</f>
        <v>-1020.9425004652397</v>
      </c>
      <c r="G644">
        <f>-608.18629575827 -16.1303608954847 -490.029284159785</f>
        <v>-1114.3459408135398</v>
      </c>
      <c r="H644">
        <f>-601.129871540154 -25.1536312369026 -614.084113245732</f>
        <v>-1240.3676160227888</v>
      </c>
      <c r="I644">
        <f>-564.153581730386 -29.5772518572946 -688.368787005811</f>
        <v>-1282.0996205934916</v>
      </c>
      <c r="J644" t="s">
        <v>5963</v>
      </c>
      <c r="K644" t="s">
        <v>5964</v>
      </c>
      <c r="L644" t="s">
        <v>5965</v>
      </c>
      <c r="M644" t="s">
        <v>5966</v>
      </c>
      <c r="N644">
        <f>-605.681432347564 -48.7872091144254 -557.568147240917</f>
        <v>-1212.0367887029065</v>
      </c>
      <c r="O644">
        <f>-621.031382620067 -179.941244896241 -519.341824582683</f>
        <v>-1320.3144520989908</v>
      </c>
      <c r="P644">
        <f>-660.106518562803 -207.888322150251 -229.026075267858</f>
        <v>-1097.0209159809119</v>
      </c>
      <c r="Q644">
        <f>-461.026951840722 -92.1464819186517 -299.891904349238</f>
        <v>-853.06533810861174</v>
      </c>
      <c r="R644" t="s">
        <v>5967</v>
      </c>
      <c r="S644" t="s">
        <v>5968</v>
      </c>
      <c r="T644" t="s">
        <v>5969</v>
      </c>
      <c r="U644" t="s">
        <v>5970</v>
      </c>
      <c r="V644">
        <f>-566.544604370949 -84.4229196167107 -97.1638299162911</f>
        <v>-748.13135390395075</v>
      </c>
      <c r="W644" t="s">
        <v>5971</v>
      </c>
      <c r="X644" t="s">
        <v>5972</v>
      </c>
      <c r="Y644" t="s">
        <v>5973</v>
      </c>
    </row>
    <row r="645" spans="1:25" x14ac:dyDescent="0.3">
      <c r="A645">
        <v>32200</v>
      </c>
      <c r="B645" t="s">
        <v>5974</v>
      </c>
      <c r="C645" t="s">
        <v>5975</v>
      </c>
      <c r="D645" t="s">
        <v>5976</v>
      </c>
      <c r="E645">
        <f>-607.080881400838 -4.16884376785379 -312.330605676343</f>
        <v>-923.58033084503484</v>
      </c>
      <c r="F645">
        <f>-609.752968272486 -10.2167387085949 -401.181773534886</f>
        <v>-1021.1514805159669</v>
      </c>
      <c r="G645">
        <f>-607.901888672751 -16.4527075666219 -490.040760804236</f>
        <v>-1114.395357043609</v>
      </c>
      <c r="H645">
        <f>-600.581115144615 -25.4891955801606 -614.079334919238</f>
        <v>-1240.1496456440136</v>
      </c>
      <c r="I645">
        <f>-563.376935195357 -29.8532235348594 -688.253688978541</f>
        <v>-1281.4838477087574</v>
      </c>
      <c r="J645" t="s">
        <v>5977</v>
      </c>
      <c r="K645" t="s">
        <v>5978</v>
      </c>
      <c r="L645" t="s">
        <v>5979</v>
      </c>
      <c r="M645" t="s">
        <v>5980</v>
      </c>
      <c r="N645">
        <f>-605.200449546716 -49.1191464903079 -557.567442699523</f>
        <v>-1211.8870387365469</v>
      </c>
      <c r="O645">
        <f>-620.325773446182 -180.292011090306 -519.317108832871</f>
        <v>-1319.9348933693591</v>
      </c>
      <c r="P645">
        <f>-659.527454803625 -208.463838008988 -229.0400791735</f>
        <v>-1097.0313719861131</v>
      </c>
      <c r="Q645">
        <f>-460.833748603734 -91.8619711191516 -299.578521923309</f>
        <v>-852.2742416461947</v>
      </c>
      <c r="R645" t="s">
        <v>5981</v>
      </c>
      <c r="S645" t="s">
        <v>5982</v>
      </c>
      <c r="T645" t="s">
        <v>5983</v>
      </c>
      <c r="U645" t="s">
        <v>5984</v>
      </c>
      <c r="V645">
        <f>-566.567266021129 -84.5617123225097 -97.1524411374569</f>
        <v>-748.28141948109555</v>
      </c>
      <c r="W645" t="s">
        <v>5985</v>
      </c>
      <c r="X645" t="s">
        <v>5986</v>
      </c>
      <c r="Y645" t="s">
        <v>5987</v>
      </c>
    </row>
    <row r="646" spans="1:25" x14ac:dyDescent="0.3">
      <c r="A646">
        <v>32250</v>
      </c>
      <c r="B646" t="s">
        <v>5988</v>
      </c>
      <c r="C646" t="s">
        <v>5989</v>
      </c>
      <c r="D646" t="s">
        <v>5990</v>
      </c>
      <c r="E646">
        <f>-607.119553638894 -4.33871993630601 -312.329628023217</f>
        <v>-923.78790159841697</v>
      </c>
      <c r="F646">
        <f>-609.720623821099 -10.4001645589033 -401.181969154068</f>
        <v>-1021.3027575340702</v>
      </c>
      <c r="G646">
        <f>-607.781460806556 -16.6509191270507 -490.03817517237</f>
        <v>-1114.4705551059767</v>
      </c>
      <c r="H646">
        <f>-600.319851567949 -25.7097412328706 -614.066585653905</f>
        <v>-1240.0961784547244</v>
      </c>
      <c r="I646">
        <f>-563.029180498226 -30.0354085180866 -688.199813548348</f>
        <v>-1281.2644025646605</v>
      </c>
      <c r="J646" t="s">
        <v>5991</v>
      </c>
      <c r="K646" t="s">
        <v>5992</v>
      </c>
      <c r="L646" t="s">
        <v>5993</v>
      </c>
      <c r="M646" t="s">
        <v>5994</v>
      </c>
      <c r="N646">
        <f>-604.977902177148 -49.3306331411275 -557.554172649939</f>
        <v>-1211.8627079682146</v>
      </c>
      <c r="O646">
        <f>-619.96702449458 -180.511635815804 -519.303023364918</f>
        <v>-1319.7816836753018</v>
      </c>
      <c r="P646">
        <f>-659.186407743711 -208.767522485823 -229.036518638707</f>
        <v>-1096.9904488682412</v>
      </c>
      <c r="Q646">
        <f>-460.683689610324 -91.8000765678516 -299.507569122092</f>
        <v>-851.99133530026756</v>
      </c>
      <c r="R646" t="s">
        <v>5995</v>
      </c>
      <c r="S646" t="s">
        <v>5996</v>
      </c>
      <c r="T646" t="s">
        <v>5997</v>
      </c>
      <c r="U646" t="s">
        <v>5998</v>
      </c>
      <c r="V646">
        <f>-566.647068006096 -84.6981550927217 -97.1350200319355</f>
        <v>-748.48024313075314</v>
      </c>
      <c r="W646" t="s">
        <v>5999</v>
      </c>
      <c r="X646" t="s">
        <v>6000</v>
      </c>
      <c r="Y646" t="s">
        <v>6001</v>
      </c>
    </row>
    <row r="647" spans="1:25" x14ac:dyDescent="0.3">
      <c r="A647">
        <v>32300</v>
      </c>
      <c r="B647" t="s">
        <v>6002</v>
      </c>
      <c r="C647" t="s">
        <v>6003</v>
      </c>
      <c r="D647" t="s">
        <v>6004</v>
      </c>
      <c r="E647">
        <f>-607.121274331564 -4.62546465594482 -312.31535913823</f>
        <v>-924.06209812573888</v>
      </c>
      <c r="F647">
        <f>-609.666535010328 -10.7029613438635 -401.168158894744</f>
        <v>-1021.5376552489355</v>
      </c>
      <c r="G647">
        <f>-607.660194673094 -16.9713086910879 -490.021517711509</f>
        <v>-1114.653021075691</v>
      </c>
      <c r="H647">
        <f>-600.092653264045 -26.057110032938 -614.04160825527</f>
        <v>-1240.191371552253</v>
      </c>
      <c r="I647">
        <f>-562.743121199662 -30.3449683615013 -688.147392790295</f>
        <v>-1281.2354823514584</v>
      </c>
      <c r="J647" t="s">
        <v>6005</v>
      </c>
      <c r="K647" t="s">
        <v>6006</v>
      </c>
      <c r="L647" t="s">
        <v>6007</v>
      </c>
      <c r="M647" t="s">
        <v>6008</v>
      </c>
      <c r="N647">
        <f>-604.780772076109 -49.6665693897778 -557.526835332483</f>
        <v>-1211.9741767983696</v>
      </c>
      <c r="O647">
        <f>-619.648548071315 -180.861644682759 -519.263943456825</f>
        <v>-1319.7741362108991</v>
      </c>
      <c r="P647">
        <f>-658.795135226076 -209.168767930142 -228.99250036963</f>
        <v>-1096.9564035258481</v>
      </c>
      <c r="Q647">
        <f>-460.340464804524 -92.0776987559427 -299.39353606648</f>
        <v>-851.81169962694673</v>
      </c>
      <c r="R647" t="s">
        <v>6009</v>
      </c>
      <c r="S647" t="s">
        <v>6010</v>
      </c>
      <c r="T647" t="s">
        <v>6011</v>
      </c>
      <c r="U647" t="s">
        <v>6012</v>
      </c>
      <c r="V647">
        <f>-566.664059445791 -84.9884468318921 -97.1225134912099</f>
        <v>-748.77501976889312</v>
      </c>
      <c r="W647" t="s">
        <v>6013</v>
      </c>
      <c r="X647" t="s">
        <v>6014</v>
      </c>
      <c r="Y647" t="s">
        <v>6015</v>
      </c>
    </row>
    <row r="648" spans="1:25" x14ac:dyDescent="0.3">
      <c r="A648">
        <v>32350</v>
      </c>
      <c r="B648" t="s">
        <v>6016</v>
      </c>
      <c r="C648" t="s">
        <v>6017</v>
      </c>
      <c r="D648" t="s">
        <v>6018</v>
      </c>
      <c r="E648">
        <f>-607.006094827598 -5.11168135923731 -312.286010289091</f>
        <v>-924.40378647592627</v>
      </c>
      <c r="F648">
        <f>-609.46510228802 -11.2086740249067 -401.139881833172</f>
        <v>-1021.8136581460988</v>
      </c>
      <c r="G648">
        <f>-607.349220976868 -17.4984725829695 -489.989335923401</f>
        <v>-1114.8370294832384</v>
      </c>
      <c r="H648">
        <f>-599.604820900103 -26.6167669068004 -613.99611940482</f>
        <v>-1240.2177072117233</v>
      </c>
      <c r="I648">
        <f>-562.211374096793 -30.8036431560563 -688.08549937155</f>
        <v>-1281.1005166243992</v>
      </c>
      <c r="J648" t="s">
        <v>6019</v>
      </c>
      <c r="K648" t="s">
        <v>6020</v>
      </c>
      <c r="L648" t="s">
        <v>6021</v>
      </c>
      <c r="M648" t="s">
        <v>6022</v>
      </c>
      <c r="N648">
        <f>-604.347636636134 -50.2127229095447 -557.480253607197</f>
        <v>-1212.0406131528757</v>
      </c>
      <c r="O648">
        <f>-619.001086066151 -181.439718679869 -519.22016178677</f>
        <v>-1319.6609665327899</v>
      </c>
      <c r="P648">
        <f>-658.030339837279 -210.037223975519 -228.961613303028</f>
        <v>-1097.0291771158259</v>
      </c>
      <c r="Q648">
        <f>-459.736435056801 -92.5525590280042 -299.158932020899</f>
        <v>-851.44792610570414</v>
      </c>
      <c r="R648" t="s">
        <v>6023</v>
      </c>
      <c r="S648" t="s">
        <v>6024</v>
      </c>
      <c r="T648" t="s">
        <v>6025</v>
      </c>
      <c r="U648" t="s">
        <v>6026</v>
      </c>
      <c r="V648">
        <f>-566.51335206992 -85.3529352514438 -97.0935901140909</f>
        <v>-748.9598774354547</v>
      </c>
      <c r="W648" t="s">
        <v>6027</v>
      </c>
      <c r="X648" t="s">
        <v>6028</v>
      </c>
      <c r="Y648" t="s">
        <v>6029</v>
      </c>
    </row>
    <row r="649" spans="1:25" x14ac:dyDescent="0.3">
      <c r="A649">
        <v>32400</v>
      </c>
      <c r="B649" t="s">
        <v>6030</v>
      </c>
      <c r="C649" t="s">
        <v>6031</v>
      </c>
      <c r="D649" t="s">
        <v>6032</v>
      </c>
      <c r="E649">
        <f>-606.823415077753 -5.3306124237688 -312.33555490222</f>
        <v>-924.48958240374179</v>
      </c>
      <c r="F649">
        <f>-609.18634428075 -11.4060797488139 -401.193675683379</f>
        <v>-1021.7860997129428</v>
      </c>
      <c r="G649">
        <f>-606.958388065106 -17.6671063207334 -490.042372365335</f>
        <v>-1114.6678667511744</v>
      </c>
      <c r="H649">
        <f>-599.040330575503 -26.7386891128845 -614.04145809751</f>
        <v>-1239.8204777858975</v>
      </c>
      <c r="I649">
        <f>-561.676684034164 -30.7538894093896 -688.155491642001</f>
        <v>-1280.5860650855548</v>
      </c>
      <c r="J649" t="s">
        <v>6033</v>
      </c>
      <c r="K649" t="s">
        <v>6034</v>
      </c>
      <c r="L649" t="s">
        <v>6035</v>
      </c>
      <c r="M649" t="s">
        <v>6036</v>
      </c>
      <c r="N649">
        <f>-603.852473640423 -50.3562014240827 -557.54048204327</f>
        <v>-1211.7491571077758</v>
      </c>
      <c r="O649">
        <f>-618.410756880611 -181.610012982547 -519.335721012422</f>
        <v>-1319.35649087558</v>
      </c>
      <c r="P649">
        <f>-657.42697400143 -210.26071346599 -229.080483609055</f>
        <v>-1096.768171076475</v>
      </c>
      <c r="Q649">
        <f>-458.877086497617 -93.4157115635765 -299.622035700051</f>
        <v>-851.91483376124449</v>
      </c>
      <c r="R649" t="s">
        <v>6037</v>
      </c>
      <c r="S649" t="s">
        <v>6038</v>
      </c>
      <c r="T649" t="s">
        <v>6039</v>
      </c>
      <c r="U649" t="s">
        <v>6040</v>
      </c>
      <c r="V649">
        <f>-566.461662344114 -85.6168005038382 -97.1050826611955</f>
        <v>-749.18354550914773</v>
      </c>
      <c r="W649" t="s">
        <v>6041</v>
      </c>
      <c r="X649" t="s">
        <v>6042</v>
      </c>
      <c r="Y649" t="s">
        <v>6043</v>
      </c>
    </row>
    <row r="650" spans="1:25" x14ac:dyDescent="0.3">
      <c r="A650">
        <v>32450</v>
      </c>
      <c r="B650" t="s">
        <v>6044</v>
      </c>
      <c r="C650" t="s">
        <v>6045</v>
      </c>
      <c r="D650" t="s">
        <v>6046</v>
      </c>
      <c r="E650">
        <f>-606.710940802304 -5.39654926656681 -312.367076665439</f>
        <v>-924.47456673430975</v>
      </c>
      <c r="F650">
        <f>-609.020325729449 -11.4478965001911 -401.228023784491</f>
        <v>-1021.696246014131</v>
      </c>
      <c r="G650">
        <f>-606.7351528191 -17.6808109721619 -490.077206777158</f>
        <v>-1114.4931705684198</v>
      </c>
      <c r="H650">
        <f>-598.733676519571 -26.7088028434976 -614.074284643164</f>
        <v>-1239.5167640062325</v>
      </c>
      <c r="I650">
        <f>-561.396623144965 -30.6120243517219 -688.207594511517</f>
        <v>-1280.2162420082038</v>
      </c>
      <c r="J650" t="s">
        <v>6047</v>
      </c>
      <c r="K650" t="s">
        <v>6048</v>
      </c>
      <c r="L650" t="s">
        <v>6049</v>
      </c>
      <c r="M650" t="s">
        <v>6050</v>
      </c>
      <c r="N650">
        <f>-603.581856808636 -50.3463333589827 -557.584756235586</f>
        <v>-1211.5129464032048</v>
      </c>
      <c r="O650">
        <f>-618.137994943574 -181.60888403846 -519.43031763745</f>
        <v>-1319.177196619484</v>
      </c>
      <c r="P650">
        <f>-657.1238118476 -210.208387279363 -229.166151664075</f>
        <v>-1096.4983507910381</v>
      </c>
      <c r="Q650">
        <f>-458.249933814768 -93.9599476906808 -299.780091522409</f>
        <v>-851.98997302785779</v>
      </c>
      <c r="R650" t="s">
        <v>6051</v>
      </c>
      <c r="S650" t="s">
        <v>6052</v>
      </c>
      <c r="T650" t="s">
        <v>6053</v>
      </c>
      <c r="U650" t="s">
        <v>6054</v>
      </c>
      <c r="V650">
        <f>-566.504235488615 -85.6804218695042 -97.1060738902892</f>
        <v>-749.29073124840841</v>
      </c>
      <c r="W650" t="s">
        <v>6055</v>
      </c>
      <c r="X650" t="s">
        <v>6056</v>
      </c>
      <c r="Y650" t="s">
        <v>6057</v>
      </c>
    </row>
    <row r="651" spans="1:25" x14ac:dyDescent="0.3">
      <c r="A651">
        <v>32500</v>
      </c>
      <c r="B651" t="s">
        <v>6058</v>
      </c>
      <c r="C651" t="s">
        <v>6059</v>
      </c>
      <c r="D651" t="s">
        <v>6060</v>
      </c>
      <c r="E651">
        <f>-606.753996617409 -5.55292593121976 -312.373117536839</f>
        <v>-924.68004008546779</v>
      </c>
      <c r="F651">
        <f>-608.948070473832 -11.5632476648436 -401.239950701707</f>
        <v>-1021.7512688403826</v>
      </c>
      <c r="G651">
        <f>-606.519823023521 -17.7460881332338 -490.08863552673</f>
        <v>-1114.3545466834848</v>
      </c>
      <c r="H651">
        <f>-598.289417393024 -26.6948346231788 -614.076587045014</f>
        <v>-1239.0608390612169</v>
      </c>
      <c r="I651">
        <f>-560.984819535063 -30.361781873848 -688.23823395797</f>
        <v>-1279.5848353668812</v>
      </c>
      <c r="J651" t="s">
        <v>6061</v>
      </c>
      <c r="K651" t="s">
        <v>6062</v>
      </c>
      <c r="L651" t="s">
        <v>6063</v>
      </c>
      <c r="M651" t="s">
        <v>6064</v>
      </c>
      <c r="N651">
        <f>-603.241587591816 -50.3683689837123 -557.611136430038</f>
        <v>-1211.2210930055662</v>
      </c>
      <c r="O651">
        <f>-617.778199327178 -181.661280499412 -519.550718450099</f>
        <v>-1318.9901982766889</v>
      </c>
      <c r="P651">
        <f>-656.786131430439 -210.687298501555 -229.331693064627</f>
        <v>-1096.8051229966211</v>
      </c>
      <c r="Q651">
        <f>-457.694642717713 -94.7038072749331 -299.768139951144</f>
        <v>-852.16658994379009</v>
      </c>
      <c r="R651" t="s">
        <v>6065</v>
      </c>
      <c r="S651" t="s">
        <v>6066</v>
      </c>
      <c r="T651" t="s">
        <v>6067</v>
      </c>
      <c r="U651" t="s">
        <v>6068</v>
      </c>
      <c r="V651">
        <f>-566.739010389699 -85.9031133460567 -97.1044687269459</f>
        <v>-749.74659246270164</v>
      </c>
      <c r="W651" t="s">
        <v>6069</v>
      </c>
      <c r="X651" t="s">
        <v>6070</v>
      </c>
      <c r="Y651" t="s">
        <v>6071</v>
      </c>
    </row>
    <row r="652" spans="1:25" x14ac:dyDescent="0.3">
      <c r="A652">
        <v>32550</v>
      </c>
      <c r="B652" t="s">
        <v>6072</v>
      </c>
      <c r="C652" t="s">
        <v>6073</v>
      </c>
      <c r="D652" t="s">
        <v>6074</v>
      </c>
      <c r="E652">
        <f>-606.871107968646 -5.60781887977623 -312.360476629472</f>
        <v>-924.83940347789417</v>
      </c>
      <c r="F652">
        <f>-608.999685323985 -11.5761194432782 -401.231723864403</f>
        <v>-1021.8075286316662</v>
      </c>
      <c r="G652">
        <f>-606.485924320149 -17.7069585273173 -490.081733865739</f>
        <v>-1114.2746167132054</v>
      </c>
      <c r="H652">
        <f>-598.114214335992 -26.5732119491427 -614.066129166655</f>
        <v>-1238.7535554517895</v>
      </c>
      <c r="I652">
        <f>-560.810143032276 -30.1125207111543 -688.234172508948</f>
        <v>-1279.1568362523781</v>
      </c>
      <c r="J652" t="s">
        <v>6075</v>
      </c>
      <c r="K652" t="s">
        <v>6076</v>
      </c>
      <c r="L652" t="s">
        <v>6077</v>
      </c>
      <c r="M652" t="s">
        <v>6078</v>
      </c>
      <c r="N652">
        <f>-603.118661965554 -50.2847796298015 -557.621259972716</f>
        <v>-1211.0247015680716</v>
      </c>
      <c r="O652">
        <f>-617.621162916656 -181.604982057558 -519.646283582239</f>
        <v>-1318.8724285564531</v>
      </c>
      <c r="P652">
        <f>-656.824408948591 -210.859817031162 -229.476671183064</f>
        <v>-1097.160897162817</v>
      </c>
      <c r="Q652">
        <f>-457.66909320234 -94.8540784540294 -299.695476640572</f>
        <v>-852.21864829694141</v>
      </c>
      <c r="R652" t="s">
        <v>6079</v>
      </c>
      <c r="S652" t="s">
        <v>6080</v>
      </c>
      <c r="T652" t="s">
        <v>6081</v>
      </c>
      <c r="U652" t="s">
        <v>6082</v>
      </c>
      <c r="V652">
        <f>-566.882849658026 -86.0541075576336 -97.1045535678181</f>
        <v>-750.04151078347775</v>
      </c>
      <c r="W652" t="s">
        <v>6083</v>
      </c>
      <c r="X652" t="s">
        <v>6084</v>
      </c>
      <c r="Y652" t="s">
        <v>6085</v>
      </c>
    </row>
    <row r="653" spans="1:25" x14ac:dyDescent="0.3">
      <c r="A653">
        <v>32600</v>
      </c>
      <c r="B653" t="s">
        <v>6086</v>
      </c>
      <c r="C653" t="s">
        <v>6087</v>
      </c>
      <c r="D653" t="s">
        <v>6088</v>
      </c>
      <c r="E653">
        <f>-607.097678484869 -5.67792063746901 -312.363310833479</f>
        <v>-925.13890995581698</v>
      </c>
      <c r="F653">
        <f>-609.117064133753 -11.5309419815108 -401.244853152263</f>
        <v>-1021.8928592675268</v>
      </c>
      <c r="G653">
        <f>-606.456319035717 -17.5129863839109 -490.100699200991</f>
        <v>-1114.0700046206189</v>
      </c>
      <c r="H653">
        <f>-597.839577556175 -26.1369234562462 -614.085398972256</f>
        <v>-1238.0618999846772</v>
      </c>
      <c r="I653">
        <f>-560.513299237042 -29.3961020116619 -688.255070002424</f>
        <v>-1278.1644712511279</v>
      </c>
      <c r="J653" t="s">
        <v>6089</v>
      </c>
      <c r="K653" t="s">
        <v>6090</v>
      </c>
      <c r="L653" t="s">
        <v>6091</v>
      </c>
      <c r="M653" t="s">
        <v>6092</v>
      </c>
      <c r="N653">
        <f>-602.920570069645 -49.9602502849937 -557.694384684957</f>
        <v>-1210.5752050395956</v>
      </c>
      <c r="O653">
        <f>-617.34804359427 -181.356436161562 -519.946576702661</f>
        <v>-1318.651056458493</v>
      </c>
      <c r="P653">
        <f>-656.983669615523 -210.977976927254 -229.872763493946</f>
        <v>-1097.8344100367231</v>
      </c>
      <c r="Q653">
        <f>-457.690636087162 -95.0079730382674 -299.759388421383</f>
        <v>-852.45799754681229</v>
      </c>
      <c r="R653" t="s">
        <v>6093</v>
      </c>
      <c r="S653" t="s">
        <v>6094</v>
      </c>
      <c r="T653" t="s">
        <v>6095</v>
      </c>
      <c r="U653" t="s">
        <v>6096</v>
      </c>
      <c r="V653">
        <f>-567.130909379032 -86.1364707558826 -97.0919812707314</f>
        <v>-750.35936140564593</v>
      </c>
      <c r="W653" t="s">
        <v>6097</v>
      </c>
      <c r="X653" t="s">
        <v>6098</v>
      </c>
      <c r="Y653" t="s">
        <v>6099</v>
      </c>
    </row>
    <row r="654" spans="1:25" x14ac:dyDescent="0.3">
      <c r="A654">
        <v>32650</v>
      </c>
      <c r="B654" t="s">
        <v>6100</v>
      </c>
      <c r="C654" t="s">
        <v>6101</v>
      </c>
      <c r="D654" t="s">
        <v>6102</v>
      </c>
      <c r="E654">
        <f>-607.127564698769 -5.65695707979262 -312.366199374214</f>
        <v>-925.15072115277553</v>
      </c>
      <c r="F654">
        <f>-609.093888223413 -11.4586087468572 -401.252193855103</f>
        <v>-1021.8046908253732</v>
      </c>
      <c r="G654">
        <f>-606.367731278458 -17.3734122543099 -490.110623061821</f>
        <v>-1113.8517665945888</v>
      </c>
      <c r="H654">
        <f>-597.646303324751 -25.887350429568 -614.095557095917</f>
        <v>-1237.6292108502359</v>
      </c>
      <c r="I654">
        <f>-560.292276157142 -29.0183735138378 -688.256863819281</f>
        <v>-1277.5675134902608</v>
      </c>
      <c r="J654" t="s">
        <v>6103</v>
      </c>
      <c r="K654" t="s">
        <v>6104</v>
      </c>
      <c r="L654" t="s">
        <v>6105</v>
      </c>
      <c r="M654" t="s">
        <v>6106</v>
      </c>
      <c r="N654">
        <f>-602.759135163269 -49.7614257044079 -557.728949055912</f>
        <v>-1210.2495099235889</v>
      </c>
      <c r="O654">
        <f>-617.150263006789 -181.188430856753 -520.092599207627</f>
        <v>-1318.431293071169</v>
      </c>
      <c r="P654">
        <f>-656.88219068851 -211.110075035823 -230.062831952792</f>
        <v>-1098.0550976771251</v>
      </c>
      <c r="Q654">
        <f>-457.606676037626 -95.026682218207 -299.810860106062</f>
        <v>-852.44421836189508</v>
      </c>
      <c r="R654" t="s">
        <v>6107</v>
      </c>
      <c r="S654" t="s">
        <v>6108</v>
      </c>
      <c r="T654" t="s">
        <v>6109</v>
      </c>
      <c r="U654" t="s">
        <v>6110</v>
      </c>
      <c r="V654">
        <f>-567.173392079771 -86.1603766173246 -97.0856368844408</f>
        <v>-750.41940558153635</v>
      </c>
      <c r="W654" t="s">
        <v>6111</v>
      </c>
      <c r="X654" t="s">
        <v>6112</v>
      </c>
      <c r="Y654" t="s">
        <v>6113</v>
      </c>
    </row>
    <row r="655" spans="1:25" x14ac:dyDescent="0.3">
      <c r="A655">
        <v>32700</v>
      </c>
      <c r="B655" t="s">
        <v>6114</v>
      </c>
      <c r="C655" t="s">
        <v>6115</v>
      </c>
      <c r="D655" t="s">
        <v>6116</v>
      </c>
      <c r="E655">
        <f>-607.293669097803 -5.61836122684895 -312.324438774595</f>
        <v>-925.23646909924696</v>
      </c>
      <c r="F655">
        <f>-609.146025105078 -11.3433035634157 -401.217876562212</f>
        <v>-1021.7072052307058</v>
      </c>
      <c r="G655">
        <f>-606.271870400038 -17.1661162034302 -490.077736000899</f>
        <v>-1113.5157226043671</v>
      </c>
      <c r="H655">
        <f>-597.307529127194 -25.5362280392392 -614.055120161547</f>
        <v>-1236.8988773279802</v>
      </c>
      <c r="I655">
        <f>-559.842494734427 -28.4544447374899 -688.169053130629</f>
        <v>-1276.4659926025458</v>
      </c>
      <c r="J655" t="s">
        <v>6117</v>
      </c>
      <c r="K655" t="s">
        <v>6118</v>
      </c>
      <c r="L655" t="s">
        <v>6119</v>
      </c>
      <c r="M655" t="s">
        <v>6120</v>
      </c>
      <c r="N655">
        <f>-602.508051839395 -49.4766322051503 -557.724637257483</f>
        <v>-1209.7093213020282</v>
      </c>
      <c r="O655">
        <f>-616.882193293827 -180.958680922368 -520.266654799883</f>
        <v>-1318.1075290160779</v>
      </c>
      <c r="P655">
        <f>-656.680149091697 -211.370717481605 -230.297017124646</f>
        <v>-1098.347883697948</v>
      </c>
      <c r="Q655">
        <f>-457.372364761086 -95.2116740481506 -299.826138674359</f>
        <v>-852.41017748359559</v>
      </c>
      <c r="R655" t="s">
        <v>6121</v>
      </c>
      <c r="S655" t="s">
        <v>6122</v>
      </c>
      <c r="T655" t="s">
        <v>6123</v>
      </c>
      <c r="U655" t="s">
        <v>6124</v>
      </c>
      <c r="V655">
        <f>-567.447327921748 -86.2606686838787 -97.065430398605</f>
        <v>-750.77342700423173</v>
      </c>
      <c r="W655" t="s">
        <v>6125</v>
      </c>
      <c r="X655" t="s">
        <v>6126</v>
      </c>
      <c r="Y655" t="s">
        <v>6127</v>
      </c>
    </row>
    <row r="656" spans="1:25" x14ac:dyDescent="0.3">
      <c r="A656">
        <v>32750</v>
      </c>
      <c r="B656" t="s">
        <v>6128</v>
      </c>
      <c r="C656" t="s">
        <v>6129</v>
      </c>
      <c r="D656" t="s">
        <v>6130</v>
      </c>
      <c r="E656">
        <f>-607.400351811528 -5.40761157354859 -312.294455322292</f>
        <v>-925.10241870736854</v>
      </c>
      <c r="F656">
        <f>-609.205395794908 -11.090896984942 -401.191662877227</f>
        <v>-1021.487955657077</v>
      </c>
      <c r="G656">
        <f>-606.260164957043 -16.861351911042 -490.0524738929</f>
        <v>-1113.1739907609849</v>
      </c>
      <c r="H656">
        <f>-597.171458208814 -25.1476453314033 -614.026597572539</f>
        <v>-1236.3457011127562</v>
      </c>
      <c r="I656">
        <f>-559.631496044759 -27.9882196142762 -688.105579612079</f>
        <v>-1275.7252952711142</v>
      </c>
      <c r="J656" t="s">
        <v>6131</v>
      </c>
      <c r="K656" t="s">
        <v>6132</v>
      </c>
      <c r="L656" t="s">
        <v>6133</v>
      </c>
      <c r="M656" t="s">
        <v>6134</v>
      </c>
      <c r="N656">
        <f>-602.416930161413 -49.1264509395107 -557.716698805664</f>
        <v>-1209.2600799065876</v>
      </c>
      <c r="O656">
        <f>-616.796289748063 -180.63189858806 -520.319908641625</f>
        <v>-1317.748096977748</v>
      </c>
      <c r="P656">
        <f>-656.687037314275 -211.205055021439 -230.379871829112</f>
        <v>-1098.2719641648259</v>
      </c>
      <c r="Q656">
        <f>-457.334783297352 -95.0467150279499 -299.782972957467</f>
        <v>-852.16447128276889</v>
      </c>
      <c r="R656" t="s">
        <v>6135</v>
      </c>
      <c r="S656" t="s">
        <v>6136</v>
      </c>
      <c r="T656" t="s">
        <v>6137</v>
      </c>
      <c r="U656" t="s">
        <v>6138</v>
      </c>
      <c r="V656">
        <f>-567.521270749217 -86.0299078409007 -97.0536961140182</f>
        <v>-750.60487470413591</v>
      </c>
      <c r="W656" t="s">
        <v>6139</v>
      </c>
      <c r="X656" t="s">
        <v>6140</v>
      </c>
      <c r="Y656" t="s">
        <v>6141</v>
      </c>
    </row>
    <row r="657" spans="1:25" x14ac:dyDescent="0.3">
      <c r="A657">
        <v>32800</v>
      </c>
      <c r="B657" t="s">
        <v>6142</v>
      </c>
      <c r="C657" t="s">
        <v>6143</v>
      </c>
      <c r="D657" t="s">
        <v>6144</v>
      </c>
      <c r="E657">
        <f>-607.635724010073 -5.06876474245905 -312.249662347593</f>
        <v>-924.95415110012505</v>
      </c>
      <c r="F657">
        <f>-609.348145312034 -10.6668061094974 -401.15402008128</f>
        <v>-1021.1689715028115</v>
      </c>
      <c r="G657">
        <f>-606.271040800923 -16.3307950110232 -490.017395276623</f>
        <v>-1112.619231088569</v>
      </c>
      <c r="H657">
        <f>-596.956826493345 -24.4470156205541 -613.985712152918</f>
        <v>-1235.3895542668172</v>
      </c>
      <c r="I657">
        <f>-559.221095154844 -27.2110421366474 -687.968205574865</f>
        <v>-1274.4003428663564</v>
      </c>
      <c r="J657" t="s">
        <v>6145</v>
      </c>
      <c r="K657" t="s">
        <v>6146</v>
      </c>
      <c r="L657" t="s">
        <v>6147</v>
      </c>
      <c r="M657" t="s">
        <v>6148</v>
      </c>
      <c r="N657">
        <f>-602.293667507618 -48.5035993277133 -557.717639554491</f>
        <v>-1208.5149063898225</v>
      </c>
      <c r="O657">
        <f>-616.729047271816 -180.036823236248 -520.462265413145</f>
        <v>-1317.2281359212088</v>
      </c>
      <c r="P657">
        <f>-656.905353503518 -210.782960170435 -230.580114520875</f>
        <v>-1098.2684281948279</v>
      </c>
      <c r="Q657">
        <f>-457.338683400585 -94.797020159082 -299.654288643762</f>
        <v>-851.78999220342905</v>
      </c>
      <c r="R657" t="s">
        <v>6149</v>
      </c>
      <c r="S657" t="s">
        <v>6150</v>
      </c>
      <c r="T657" t="s">
        <v>6151</v>
      </c>
      <c r="U657" t="s">
        <v>6152</v>
      </c>
      <c r="V657">
        <f>-567.794836350662 -85.8934657769744 -97.0239480323625</f>
        <v>-750.7122501599988</v>
      </c>
      <c r="W657" t="s">
        <v>6153</v>
      </c>
      <c r="X657" t="s">
        <v>6154</v>
      </c>
      <c r="Y657" t="s">
        <v>6155</v>
      </c>
    </row>
    <row r="658" spans="1:25" x14ac:dyDescent="0.3">
      <c r="A658">
        <v>32850</v>
      </c>
      <c r="B658" t="s">
        <v>6156</v>
      </c>
      <c r="C658" t="s">
        <v>6157</v>
      </c>
      <c r="D658" t="s">
        <v>6158</v>
      </c>
      <c r="E658">
        <f>-607.696412735944 -4.84349012138046 -312.228482770681</f>
        <v>-924.76838562800549</v>
      </c>
      <c r="F658">
        <f>-609.378275874884 -10.4241503832486 -401.134454774642</f>
        <v>-1020.9368810327746</v>
      </c>
      <c r="G658">
        <f>-606.252797994196 -16.0651336647716 -489.997638250229</f>
        <v>-1112.3155699091967</v>
      </c>
      <c r="H658">
        <f>-596.851907072784 -24.1438035431765 -613.961958743199</f>
        <v>-1234.9576693591596</v>
      </c>
      <c r="I658">
        <f>-559.012699552103 -26.9140430509576 -687.89134633009</f>
        <v>-1273.8180889331506</v>
      </c>
      <c r="J658" t="s">
        <v>6159</v>
      </c>
      <c r="K658" t="s">
        <v>6160</v>
      </c>
      <c r="L658" t="s">
        <v>6161</v>
      </c>
      <c r="M658" t="s">
        <v>6162</v>
      </c>
      <c r="N658">
        <f>-602.233418884897 -48.2172033230486 -557.705232465219</f>
        <v>-1208.1558546731644</v>
      </c>
      <c r="O658">
        <f>-616.72822564791 -179.755272011369 -520.503133771582</f>
        <v>-1316.9866314308611</v>
      </c>
      <c r="P658">
        <f>-657.012147093219 -210.658021264317 -230.652375074338</f>
        <v>-1098.322543431874</v>
      </c>
      <c r="Q658">
        <f>-457.396276738942 -94.6438852489696 -299.537498826608</f>
        <v>-851.5776608145195</v>
      </c>
      <c r="R658" t="s">
        <v>6163</v>
      </c>
      <c r="S658" t="s">
        <v>6164</v>
      </c>
      <c r="T658" t="s">
        <v>6165</v>
      </c>
      <c r="U658" t="s">
        <v>6166</v>
      </c>
      <c r="V658">
        <f>-567.827049446659 -85.5811357849398 -97.0176180695244</f>
        <v>-750.4258033011231</v>
      </c>
      <c r="W658" t="s">
        <v>6167</v>
      </c>
      <c r="X658" t="s">
        <v>6168</v>
      </c>
      <c r="Y658" t="s">
        <v>6169</v>
      </c>
    </row>
    <row r="659" spans="1:25" x14ac:dyDescent="0.3">
      <c r="A659">
        <v>32900</v>
      </c>
      <c r="B659" t="s">
        <v>6170</v>
      </c>
      <c r="C659" t="s">
        <v>6171</v>
      </c>
      <c r="D659" t="s">
        <v>6172</v>
      </c>
      <c r="E659">
        <f>-607.904656426897 -4.28308289935262 -312.1949337577</f>
        <v>-924.38267308394961</v>
      </c>
      <c r="F659">
        <f>-609.536878449936 -9.84693720503583 -401.102806253491</f>
        <v>-1020.4866219084629</v>
      </c>
      <c r="G659">
        <f>-606.328253964648 -15.4786537987879 -489.963500964588</f>
        <v>-1111.770408728024</v>
      </c>
      <c r="H659">
        <f>-596.776613320462 -23.552399070335 -613.916714790715</f>
        <v>-1234.2457271815119</v>
      </c>
      <c r="I659">
        <f>-558.770976151162 -26.3813383416909 -687.758360257587</f>
        <v>-1272.91067475044</v>
      </c>
      <c r="J659" t="s">
        <v>6173</v>
      </c>
      <c r="K659" t="s">
        <v>6174</v>
      </c>
      <c r="L659" t="s">
        <v>6175</v>
      </c>
      <c r="M659" t="s">
        <v>6176</v>
      </c>
      <c r="N659">
        <f>-602.244499988708 -47.6273113508646 -557.668907191195</f>
        <v>-1207.5407185307677</v>
      </c>
      <c r="O659">
        <f>-616.912419813487 -179.156979022667 -520.489921519971</f>
        <v>-1316.5593203561248</v>
      </c>
      <c r="P659">
        <f>-657.38530042069 -210.288365006993 -230.690024071981</f>
        <v>-1098.3636894996639</v>
      </c>
      <c r="Q659">
        <f>-457.673613194945 -94.3034695210558 -299.345760056635</f>
        <v>-851.32284277263579</v>
      </c>
      <c r="R659" t="s">
        <v>6177</v>
      </c>
      <c r="S659" t="s">
        <v>6178</v>
      </c>
      <c r="T659" t="s">
        <v>6179</v>
      </c>
      <c r="U659" t="s">
        <v>6180</v>
      </c>
      <c r="V659">
        <f>-568.023585252678 -85.1172768802978 -97.0063741616508</f>
        <v>-750.14723629462662</v>
      </c>
      <c r="W659" t="s">
        <v>6181</v>
      </c>
      <c r="X659" t="s">
        <v>6182</v>
      </c>
      <c r="Y659" t="s">
        <v>6183</v>
      </c>
    </row>
    <row r="660" spans="1:25" x14ac:dyDescent="0.3">
      <c r="A660">
        <v>32950</v>
      </c>
      <c r="B660" t="s">
        <v>6184</v>
      </c>
      <c r="C660" t="s">
        <v>6185</v>
      </c>
      <c r="D660" t="s">
        <v>6186</v>
      </c>
      <c r="E660">
        <f>-608.011552017997 -4.09247078601334 -312.188032228823</f>
        <v>-924.29205503283333</v>
      </c>
      <c r="F660">
        <f>-609.612338024694 -9.64859274767173 -401.097069759391</f>
        <v>-1020.3580005317567</v>
      </c>
      <c r="G660">
        <f>-606.357299790076 -15.2795258904027 -489.956106516448</f>
        <v>-1111.5929321969268</v>
      </c>
      <c r="H660">
        <f>-596.725200729577 -23.3597000549237 -613.902811228751</f>
        <v>-1233.9877120132517</v>
      </c>
      <c r="I660">
        <f>-558.662987262903 -26.2277072092659 -687.713712777177</f>
        <v>-1272.604407249346</v>
      </c>
      <c r="J660" t="s">
        <v>6187</v>
      </c>
      <c r="K660" t="s">
        <v>6188</v>
      </c>
      <c r="L660" t="s">
        <v>6189</v>
      </c>
      <c r="M660" t="s">
        <v>6190</v>
      </c>
      <c r="N660">
        <f>-602.244042317314 -47.4311844648944 -557.658438428563</f>
        <v>-1207.3336652107714</v>
      </c>
      <c r="O660">
        <f>-617.03225863063 -178.945434270173 -520.474403872311</f>
        <v>-1316.4520967731141</v>
      </c>
      <c r="P660">
        <f>-657.568595620672 -210.051717756978 -230.680721502494</f>
        <v>-1098.301034880144</v>
      </c>
      <c r="Q660">
        <f>-457.789786758305 -94.1520253155938 -299.284918077838</f>
        <v>-851.22673015173677</v>
      </c>
      <c r="R660" t="s">
        <v>6191</v>
      </c>
      <c r="S660" t="s">
        <v>6192</v>
      </c>
      <c r="T660" t="s">
        <v>6193</v>
      </c>
      <c r="U660" t="s">
        <v>6194</v>
      </c>
      <c r="V660">
        <f>-568.216540145618 -85.0513006903975 -97.0036860868225</f>
        <v>-750.27152692283801</v>
      </c>
      <c r="W660" t="s">
        <v>6195</v>
      </c>
      <c r="X660" t="s">
        <v>6196</v>
      </c>
      <c r="Y660" t="s">
        <v>6197</v>
      </c>
    </row>
    <row r="661" spans="1:25" x14ac:dyDescent="0.3">
      <c r="A661">
        <v>33000</v>
      </c>
      <c r="B661" t="s">
        <v>6198</v>
      </c>
      <c r="C661" t="s">
        <v>6199</v>
      </c>
      <c r="D661" t="s">
        <v>6200</v>
      </c>
      <c r="E661">
        <f>-607.945416302842 -3.65885609948714 -312.174170992201</f>
        <v>-923.77844339453009</v>
      </c>
      <c r="F661">
        <f>-609.430801433947 -9.19695822851213 -401.086336826625</f>
        <v>-1019.7140964890841</v>
      </c>
      <c r="G661">
        <f>-606.022858672033 -14.8228548485383 -489.940087457635</f>
        <v>-1110.7858009782062</v>
      </c>
      <c r="H661">
        <f>-596.138932140269 -22.9103302038452 -613.866334292178</f>
        <v>-1232.9155966362923</v>
      </c>
      <c r="I661">
        <f>-557.971584997058 -25.8641196447886 -687.619557474946</f>
        <v>-1271.4552621167927</v>
      </c>
      <c r="J661" t="s">
        <v>6201</v>
      </c>
      <c r="K661" t="s">
        <v>6202</v>
      </c>
      <c r="L661" t="s">
        <v>6203</v>
      </c>
      <c r="M661" t="s">
        <v>6204</v>
      </c>
      <c r="N661">
        <f>-601.815183086565 -46.9765657059916 -557.635527435767</f>
        <v>-1206.4272762283235</v>
      </c>
      <c r="O661">
        <f>-616.870908179526 -178.466487800187 -520.463632330761</f>
        <v>-1315.8010283104741</v>
      </c>
      <c r="P661">
        <f>-657.541275564636 -209.553879979579 -230.686620763295</f>
        <v>-1097.78177630751</v>
      </c>
      <c r="Q661">
        <f>-457.742292764858 -93.5998351344601 -299.139756135986</f>
        <v>-850.48188403530412</v>
      </c>
      <c r="R661" t="s">
        <v>6205</v>
      </c>
      <c r="S661" t="s">
        <v>6206</v>
      </c>
      <c r="T661" t="s">
        <v>6207</v>
      </c>
      <c r="U661" t="s">
        <v>6208</v>
      </c>
      <c r="V661">
        <f>-568.397464235151 -84.6184703760225 -96.9969952798741</f>
        <v>-750.01292989104763</v>
      </c>
      <c r="W661" t="s">
        <v>6209</v>
      </c>
      <c r="X661" t="s">
        <v>6210</v>
      </c>
      <c r="Y661" t="s">
        <v>6211</v>
      </c>
    </row>
    <row r="662" spans="1:25" x14ac:dyDescent="0.3">
      <c r="A662">
        <v>33050</v>
      </c>
      <c r="B662" t="s">
        <v>6212</v>
      </c>
      <c r="C662" t="s">
        <v>6213</v>
      </c>
      <c r="D662" t="s">
        <v>6214</v>
      </c>
      <c r="E662">
        <f>-607.797667418161 -3.34288686301852 -312.16798695006</f>
        <v>-923.30854123123959</v>
      </c>
      <c r="F662">
        <f>-609.223684713175 -8.8761903950442 -401.081489120107</f>
        <v>-1019.1813642283262</v>
      </c>
      <c r="G662">
        <f>-605.743772934498 -14.503955479204 -489.932210761523</f>
        <v>-1110.1799391752249</v>
      </c>
      <c r="H662">
        <f>-595.746380210139 -22.6014544704913 -613.848737759616</f>
        <v>-1232.1965724402462</v>
      </c>
      <c r="I662">
        <f>-557.534117771711 -25.5947821509355 -687.577273678592</f>
        <v>-1270.7061736012383</v>
      </c>
      <c r="J662" t="s">
        <v>6215</v>
      </c>
      <c r="K662" t="s">
        <v>6216</v>
      </c>
      <c r="L662" t="s">
        <v>6217</v>
      </c>
      <c r="M662" t="s">
        <v>6218</v>
      </c>
      <c r="N662">
        <f>-601.501412824442 -46.6620136170161 -557.623380605244</f>
        <v>-1205.7868070467021</v>
      </c>
      <c r="O662">
        <f>-616.711340529664 -178.137291875835 -520.459894694443</f>
        <v>-1315.308527099942</v>
      </c>
      <c r="P662">
        <f>-657.495720096376 -209.252176617881 -230.701931249376</f>
        <v>-1097.449827963633</v>
      </c>
      <c r="Q662">
        <f>-457.640405924244 -93.3437047574514 -299.06807418949</f>
        <v>-850.05218487118555</v>
      </c>
      <c r="R662" t="s">
        <v>6219</v>
      </c>
      <c r="S662" t="s">
        <v>6220</v>
      </c>
      <c r="T662" t="s">
        <v>6221</v>
      </c>
      <c r="U662" t="s">
        <v>6222</v>
      </c>
      <c r="V662">
        <f>-568.350330169355 -84.2728533295424 -96.9987101263606</f>
        <v>-749.62189362525794</v>
      </c>
      <c r="W662" t="s">
        <v>6223</v>
      </c>
      <c r="X662" t="s">
        <v>6224</v>
      </c>
      <c r="Y662" t="s">
        <v>6225</v>
      </c>
    </row>
    <row r="663" spans="1:25" x14ac:dyDescent="0.3">
      <c r="A663">
        <v>33100</v>
      </c>
      <c r="B663" t="s">
        <v>6226</v>
      </c>
      <c r="C663" t="s">
        <v>6227</v>
      </c>
      <c r="D663" t="s">
        <v>6228</v>
      </c>
      <c r="E663">
        <f>-607.737728480097 -2.79741825903284 -312.130859559089</f>
        <v>-922.6660062982188</v>
      </c>
      <c r="F663">
        <f>-609.080476394997 -8.31019078641748 -401.046795125597</f>
        <v>-1018.4374623070115</v>
      </c>
      <c r="G663">
        <f>-605.491853023843 -13.927543387005 -489.893872198289</f>
        <v>-1109.3132686091369</v>
      </c>
      <c r="H663">
        <f>-595.316452396855 -22.0222779347157 -613.796160285331</f>
        <v>-1231.1348906169017</v>
      </c>
      <c r="I663">
        <f>-557.022169945293 -25.0833255694995 -687.47911360954</f>
        <v>-1269.5846091243325</v>
      </c>
      <c r="J663" t="s">
        <v>6229</v>
      </c>
      <c r="K663" t="s">
        <v>6230</v>
      </c>
      <c r="L663" t="s">
        <v>6231</v>
      </c>
      <c r="M663" t="s">
        <v>6232</v>
      </c>
      <c r="N663">
        <f>-601.211873063619 -46.0815179526151 -557.584745725635</f>
        <v>-1204.8781367418692</v>
      </c>
      <c r="O663">
        <f>-616.766900858085 -177.52509380336 -520.452860674573</f>
        <v>-1314.744855336018</v>
      </c>
      <c r="P663">
        <f>-657.71442957364 -208.723030917673 -230.726755597548</f>
        <v>-1097.1642160888609</v>
      </c>
      <c r="Q663">
        <f>-457.633573998612 -93.0651903921328 -298.857629601221</f>
        <v>-849.55639399196582</v>
      </c>
      <c r="R663" t="s">
        <v>6233</v>
      </c>
      <c r="S663" t="s">
        <v>6234</v>
      </c>
      <c r="T663" t="s">
        <v>6235</v>
      </c>
      <c r="U663" t="s">
        <v>6236</v>
      </c>
      <c r="V663">
        <f>-568.496103163344 -83.9910866187552 -96.9879103442987</f>
        <v>-749.47510012639782</v>
      </c>
      <c r="W663" t="s">
        <v>6237</v>
      </c>
      <c r="X663" t="s">
        <v>6238</v>
      </c>
      <c r="Y663" t="s">
        <v>6239</v>
      </c>
    </row>
    <row r="664" spans="1:25" x14ac:dyDescent="0.3">
      <c r="A664">
        <v>33150</v>
      </c>
      <c r="B664" t="s">
        <v>6240</v>
      </c>
      <c r="C664" t="s">
        <v>6241</v>
      </c>
      <c r="D664" t="s">
        <v>6242</v>
      </c>
      <c r="E664">
        <f>-607.714107811323 -2.523658902232 -312.118208102577</f>
        <v>-922.35597481613195</v>
      </c>
      <c r="F664">
        <f>-609.031150468028 -8.02223441489309 -401.035388454999</f>
        <v>-1018.0887733379202</v>
      </c>
      <c r="G664">
        <f>-605.405962633772 -13.6278978453602 -489.881707097108</f>
        <v>-1108.9155675762402</v>
      </c>
      <c r="H664">
        <f>-595.168432115195 -21.7093613398338 -613.779647987405</f>
        <v>-1230.6574414424338</v>
      </c>
      <c r="I664">
        <f>-556.820566986594 -24.8106894868909 -687.43331154076</f>
        <v>-1269.0645680142447</v>
      </c>
      <c r="J664" t="s">
        <v>6243</v>
      </c>
      <c r="K664" t="s">
        <v>6244</v>
      </c>
      <c r="L664" t="s">
        <v>6245</v>
      </c>
      <c r="M664" t="s">
        <v>6246</v>
      </c>
      <c r="N664">
        <f>-601.121667000921 -45.7732067250809 -557.576364045722</f>
        <v>-1204.4712377717237</v>
      </c>
      <c r="O664">
        <f>-616.847929586115 -177.199846785 -520.462856573677</f>
        <v>-1314.510632944792</v>
      </c>
      <c r="P664">
        <f>-657.837381366302 -208.445676948461 -230.747923896775</f>
        <v>-1097.030982211538</v>
      </c>
      <c r="Q664">
        <f>-457.647243178045 -92.9276737101495 -298.794897769499</f>
        <v>-849.3698146576935</v>
      </c>
      <c r="R664" t="s">
        <v>6247</v>
      </c>
      <c r="S664" t="s">
        <v>6248</v>
      </c>
      <c r="T664" t="s">
        <v>6249</v>
      </c>
      <c r="U664" t="s">
        <v>6250</v>
      </c>
      <c r="V664">
        <f>-568.531052041875 -83.7586421932299 -96.9865600201199</f>
        <v>-749.27625425522479</v>
      </c>
      <c r="W664" t="s">
        <v>6251</v>
      </c>
      <c r="X664" t="s">
        <v>6252</v>
      </c>
      <c r="Y664" t="s">
        <v>6253</v>
      </c>
    </row>
    <row r="665" spans="1:25" x14ac:dyDescent="0.3">
      <c r="A665">
        <v>33200</v>
      </c>
      <c r="B665" t="s">
        <v>6254</v>
      </c>
      <c r="C665" t="s">
        <v>6255</v>
      </c>
      <c r="D665" t="s">
        <v>6256</v>
      </c>
      <c r="E665">
        <f>-607.631969231138 -2.20855756596757 -312.111054279107</f>
        <v>-921.95158107621251</v>
      </c>
      <c r="F665">
        <f>-608.924900493696 -7.69167406005568 -401.029576713339</f>
        <v>-1017.6461512670907</v>
      </c>
      <c r="G665">
        <f>-605.264095471646 -13.2865334800774 -489.875082216017</f>
        <v>-1108.4257111677405</v>
      </c>
      <c r="H665">
        <f>-594.965302996966 -21.3584434503887 -613.768677009821</f>
        <v>-1230.0924234571758</v>
      </c>
      <c r="I665">
        <f>-556.556705405913 -24.4999148745178 -687.388783270884</f>
        <v>-1268.4454035513149</v>
      </c>
      <c r="J665" t="s">
        <v>6257</v>
      </c>
      <c r="K665" t="s">
        <v>6258</v>
      </c>
      <c r="L665" t="s">
        <v>6259</v>
      </c>
      <c r="M665" t="s">
        <v>6260</v>
      </c>
      <c r="N665">
        <f>-600.974423458485 -45.4251000652168 -557.572657427315</f>
        <v>-1203.972180951017</v>
      </c>
      <c r="O665">
        <f>-616.853073905775 -176.839771078581 -520.486495343484</f>
        <v>-1314.17934032784</v>
      </c>
      <c r="P665">
        <f>-657.957151888787 -208.094324199448 -230.78872609902</f>
        <v>-1096.840202187255</v>
      </c>
      <c r="Q665">
        <f>-457.67678281348 -92.6330556802372 -298.666047676979</f>
        <v>-848.97588617069619</v>
      </c>
      <c r="R665" t="s">
        <v>6261</v>
      </c>
      <c r="S665" t="s">
        <v>6262</v>
      </c>
      <c r="T665" t="s">
        <v>6263</v>
      </c>
      <c r="U665" t="s">
        <v>6264</v>
      </c>
      <c r="V665">
        <f>-568.488401073502 -83.4823338492993 -96.9855709695873</f>
        <v>-748.95630589238863</v>
      </c>
      <c r="W665" t="s">
        <v>6265</v>
      </c>
      <c r="X665" t="s">
        <v>6266</v>
      </c>
      <c r="Y665" t="s">
        <v>6267</v>
      </c>
    </row>
    <row r="666" spans="1:25" x14ac:dyDescent="0.3">
      <c r="A666">
        <v>33250</v>
      </c>
      <c r="B666" t="s">
        <v>6268</v>
      </c>
      <c r="C666" t="s">
        <v>6269</v>
      </c>
      <c r="D666" t="s">
        <v>6270</v>
      </c>
      <c r="E666">
        <f>-607.578408926689 -2.04633628933766 -312.090861401413</f>
        <v>-921.71560661743968</v>
      </c>
      <c r="F666">
        <f>-608.845360613901 -7.49764263907832 -401.011801269192</f>
        <v>-1017.3548045221713</v>
      </c>
      <c r="G666">
        <f>-605.140134355489 -13.0574544101821 -489.857637470756</f>
        <v>-1108.0552262364272</v>
      </c>
      <c r="H666">
        <f>-594.759121883308 -21.077509395516 -613.747673716728</f>
        <v>-1229.584304995552</v>
      </c>
      <c r="I666">
        <f>-556.279406431195 -24.2391834558364 -687.329940763448</f>
        <v>-1267.8485306504795</v>
      </c>
      <c r="J666" t="s">
        <v>6271</v>
      </c>
      <c r="K666" t="s">
        <v>6272</v>
      </c>
      <c r="L666" t="s">
        <v>6273</v>
      </c>
      <c r="M666" t="s">
        <v>6274</v>
      </c>
      <c r="N666">
        <f>-600.827277555735 -45.1667861256526 -557.567610626808</f>
        <v>-1203.5616743081955</v>
      </c>
      <c r="O666">
        <f>-616.833182996999 -176.583582092055 -520.518736019528</f>
        <v>-1313.935501108582</v>
      </c>
      <c r="P666">
        <f>-658.081981382892 -207.914732634043 -230.849839052856</f>
        <v>-1096.8465530697908</v>
      </c>
      <c r="Q666">
        <f>-457.757895052957 -92.4598218410388 -298.60855111588</f>
        <v>-848.82626800987578</v>
      </c>
      <c r="R666" t="s">
        <v>6275</v>
      </c>
      <c r="S666" t="s">
        <v>6276</v>
      </c>
      <c r="T666" t="s">
        <v>6277</v>
      </c>
      <c r="U666" t="s">
        <v>6278</v>
      </c>
      <c r="V666">
        <f>-568.464960824451 -83.4263342973381 -96.9791433309359</f>
        <v>-748.87043845272512</v>
      </c>
      <c r="W666" t="s">
        <v>6279</v>
      </c>
      <c r="X666" t="s">
        <v>6280</v>
      </c>
      <c r="Y666" t="s">
        <v>6281</v>
      </c>
    </row>
    <row r="667" spans="1:25" x14ac:dyDescent="0.3">
      <c r="A667">
        <v>33300</v>
      </c>
      <c r="B667" t="s">
        <v>6282</v>
      </c>
      <c r="C667" t="s">
        <v>6283</v>
      </c>
      <c r="D667" t="s">
        <v>6284</v>
      </c>
      <c r="E667">
        <f>-607.426205020568 -1.65368549481946 -312.043208502222</f>
        <v>-921.12309901760943</v>
      </c>
      <c r="F667">
        <f>-608.644941541401 -7.04454200390001 -400.968530653052</f>
        <v>-1016.6580141983529</v>
      </c>
      <c r="G667">
        <f>-604.853247944147 -12.5433321735418 -489.814479388049</f>
        <v>-1107.2110595057379</v>
      </c>
      <c r="H667">
        <f>-594.312040072223 -20.4776339557791 -613.696445313897</f>
        <v>-1228.4861193418992</v>
      </c>
      <c r="I667">
        <f>-555.486470692218 -23.700444547085 -687.094181565934</f>
        <v>-1266.281096805237</v>
      </c>
      <c r="J667" t="s">
        <v>6285</v>
      </c>
      <c r="K667" t="s">
        <v>6286</v>
      </c>
      <c r="L667" t="s">
        <v>6287</v>
      </c>
      <c r="M667" t="s">
        <v>6288</v>
      </c>
      <c r="N667">
        <f>-600.481857160804 -44.6043430584575 -557.543683216542</f>
        <v>-1202.6298834358035</v>
      </c>
      <c r="O667">
        <f>-616.706248613779 -176.021727178614 -520.620703814877</f>
        <v>-1313.34867960727</v>
      </c>
      <c r="P667">
        <f>-658.233417278521 -207.831539791164 -231.043778818586</f>
        <v>-1097.108735888271</v>
      </c>
      <c r="Q667">
        <f>-458.070287704616 -91.9256159082649 -298.507922132992</f>
        <v>-848.50382574587297</v>
      </c>
      <c r="R667" t="s">
        <v>6289</v>
      </c>
      <c r="S667" t="s">
        <v>6290</v>
      </c>
      <c r="T667" t="s">
        <v>6291</v>
      </c>
      <c r="U667" t="s">
        <v>6292</v>
      </c>
      <c r="V667">
        <f>-568.337008955193 -83.110286359715 -96.9666491199474</f>
        <v>-748.41394443485547</v>
      </c>
      <c r="W667" t="s">
        <v>6293</v>
      </c>
      <c r="X667" t="s">
        <v>6294</v>
      </c>
      <c r="Y667" t="s">
        <v>6295</v>
      </c>
    </row>
    <row r="668" spans="1:25" x14ac:dyDescent="0.3">
      <c r="A668">
        <v>33350</v>
      </c>
      <c r="B668" t="s">
        <v>6296</v>
      </c>
      <c r="C668" t="s">
        <v>6297</v>
      </c>
      <c r="D668" t="s">
        <v>6298</v>
      </c>
      <c r="E668">
        <f>-607.437238530406 -1.6239861131553 -312.025831723425</f>
        <v>-921.0870563669863</v>
      </c>
      <c r="F668">
        <f>-608.636481448903 -7.0311345520704 -400.950215495509</f>
        <v>-1016.6178314964825</v>
      </c>
      <c r="G668">
        <f>-604.814604511449 -12.5538756031399 -489.79370186957</f>
        <v>-1107.1621819841589</v>
      </c>
      <c r="H668">
        <f>-594.22027788098 -20.5296377877721 -613.66832561899</f>
        <v>-1228.4182412877421</v>
      </c>
      <c r="I668">
        <f>-555.236036621249 -23.7901724245912 -686.980271275116</f>
        <v>-1266.0064803209561</v>
      </c>
      <c r="J668" t="s">
        <v>6299</v>
      </c>
      <c r="K668" t="s">
        <v>6300</v>
      </c>
      <c r="L668" t="s">
        <v>6301</v>
      </c>
      <c r="M668" t="s">
        <v>6302</v>
      </c>
      <c r="N668">
        <f>-600.418681241094 -44.6372524752769 -557.510387899197</f>
        <v>-1202.5663216155679</v>
      </c>
      <c r="O668">
        <f>-616.686695433943 -176.043635344528 -520.570147043828</f>
        <v>-1313.3004778222989</v>
      </c>
      <c r="P668">
        <f>-658.13141944082 -207.939476235439 -230.990826018064</f>
        <v>-1097.0617216943228</v>
      </c>
      <c r="Q668">
        <f>-458.161644639135 -91.6712837392633 -298.404763277518</f>
        <v>-848.23769165591625</v>
      </c>
      <c r="R668" t="s">
        <v>6303</v>
      </c>
      <c r="S668" t="s">
        <v>6304</v>
      </c>
      <c r="T668" t="s">
        <v>6305</v>
      </c>
      <c r="U668" t="s">
        <v>6306</v>
      </c>
      <c r="V668">
        <f>-568.358125551699 -83.1494065761362 -96.9579919168415</f>
        <v>-748.46552404467673</v>
      </c>
      <c r="W668" t="s">
        <v>6307</v>
      </c>
      <c r="X668" t="s">
        <v>6308</v>
      </c>
      <c r="Y668" t="s">
        <v>6309</v>
      </c>
    </row>
    <row r="669" spans="1:25" x14ac:dyDescent="0.3">
      <c r="A669">
        <v>33400</v>
      </c>
      <c r="B669" t="s">
        <v>6310</v>
      </c>
      <c r="C669" t="s">
        <v>6311</v>
      </c>
      <c r="D669" t="s">
        <v>6312</v>
      </c>
      <c r="E669">
        <f>-607.451364580334 -1.44854681191214 -312.048314702004</f>
        <v>-920.94822609425023</v>
      </c>
      <c r="F669">
        <f>-608.574475941955 -6.90207789167403 -400.970927505548</f>
        <v>-1016.4474813391771</v>
      </c>
      <c r="G669">
        <f>-604.654459308565 -12.4874689445389 -489.80617266294</f>
        <v>-1106.948100916044</v>
      </c>
      <c r="H669">
        <f>-593.900793043515 -20.567894913449 -613.660350277827</f>
        <v>-1228.1290382347911</v>
      </c>
      <c r="I669">
        <f>-554.62217741116 -23.9176878792621 -686.810937844202</f>
        <v>-1265.3508031346241</v>
      </c>
      <c r="J669" t="s">
        <v>6313</v>
      </c>
      <c r="K669" t="s">
        <v>6314</v>
      </c>
      <c r="L669" t="s">
        <v>6315</v>
      </c>
      <c r="M669" t="s">
        <v>6316</v>
      </c>
      <c r="N669">
        <f>-600.190306031218 -44.6270325758028 -557.49185971177</f>
        <v>-1202.3091983187908</v>
      </c>
      <c r="O669">
        <f>-616.554642957889 -175.999592770676 -520.451700403688</f>
        <v>-1313.0059361322531</v>
      </c>
      <c r="P669">
        <f>-657.866564325027 -208.147124385435 -230.881260903994</f>
        <v>-1096.894949614456</v>
      </c>
      <c r="Q669">
        <f>-458.618657944031 -90.7059451658088 -298.399042397872</f>
        <v>-847.72364550771181</v>
      </c>
      <c r="R669" t="s">
        <v>6317</v>
      </c>
      <c r="S669" t="s">
        <v>6318</v>
      </c>
      <c r="T669" t="s">
        <v>6319</v>
      </c>
      <c r="U669" t="s">
        <v>6320</v>
      </c>
      <c r="V669">
        <f>-568.47489757904 -82.851360035623 -96.9630813943634</f>
        <v>-748.28933900902632</v>
      </c>
      <c r="W669" t="s">
        <v>6321</v>
      </c>
      <c r="X669" t="s">
        <v>6322</v>
      </c>
      <c r="Y669" t="s">
        <v>6323</v>
      </c>
    </row>
    <row r="670" spans="1:25" x14ac:dyDescent="0.3">
      <c r="A670">
        <v>33450</v>
      </c>
      <c r="B670" t="s">
        <v>6324</v>
      </c>
      <c r="C670" t="s">
        <v>6325</v>
      </c>
      <c r="D670" t="s">
        <v>6326</v>
      </c>
      <c r="E670">
        <f>-607.435525544319 -1.4335237560374 -312.068661707411</f>
        <v>-920.93771100776746</v>
      </c>
      <c r="F670">
        <f>-608.511438190782 -6.92452193950226 -400.989687654394</f>
        <v>-1016.4256477846782</v>
      </c>
      <c r="G670">
        <f>-604.537557192443 -12.5592269793185 -489.819257682749</f>
        <v>-1106.9160418545107</v>
      </c>
      <c r="H670">
        <f>-593.70240587101 -20.7213796301994 -613.661091893735</f>
        <v>-1228.0848773949444</v>
      </c>
      <c r="I670">
        <f>-554.302124436931 -24.1267828301618 -686.743585943017</f>
        <v>-1265.1724932101097</v>
      </c>
      <c r="J670" t="s">
        <v>6327</v>
      </c>
      <c r="K670" t="s">
        <v>6328</v>
      </c>
      <c r="L670" t="s">
        <v>6329</v>
      </c>
      <c r="M670" t="s">
        <v>6330</v>
      </c>
      <c r="N670">
        <f>-600.040180363804 -44.7429660548473 -557.481812804567</f>
        <v>-1202.2649592232183</v>
      </c>
      <c r="O670">
        <f>-616.479152712389 -176.085664281805 -520.383571213202</f>
        <v>-1312.948388207396</v>
      </c>
      <c r="P670">
        <f>-657.809409528741 -208.350960776996 -230.828676387653</f>
        <v>-1096.9890466933898</v>
      </c>
      <c r="Q670">
        <f>-458.998129361933 -90.2123725360743 -298.41701436461</f>
        <v>-847.62751626261729</v>
      </c>
      <c r="R670" t="s">
        <v>6331</v>
      </c>
      <c r="S670" t="s">
        <v>6332</v>
      </c>
      <c r="T670" t="s">
        <v>6333</v>
      </c>
      <c r="U670" t="s">
        <v>6334</v>
      </c>
      <c r="V670">
        <f>-568.551144224569 -82.8617929274574 -96.9649275228045</f>
        <v>-748.3778646748309</v>
      </c>
      <c r="W670" t="s">
        <v>6335</v>
      </c>
      <c r="X670" t="s">
        <v>6336</v>
      </c>
      <c r="Y670" t="s">
        <v>6337</v>
      </c>
    </row>
    <row r="671" spans="1:25" x14ac:dyDescent="0.3">
      <c r="A671">
        <v>33500</v>
      </c>
      <c r="B671" t="s">
        <v>6338</v>
      </c>
      <c r="C671" t="s">
        <v>6339</v>
      </c>
      <c r="D671" t="s">
        <v>6340</v>
      </c>
      <c r="E671">
        <f>-607.351660118416 -1.46949231975441 -312.088063825895</f>
        <v>-920.90921626406544</v>
      </c>
      <c r="F671">
        <f>-608.304827323615 -7.06154031648794 -401.00406980912</f>
        <v>-1016.3704374492229</v>
      </c>
      <c r="G671">
        <f>-604.196984316135 -12.8301878137718 -489.819045239463</f>
        <v>-1106.8462173693697</v>
      </c>
      <c r="H671">
        <f>-593.163962495749 -21.2148062955321 -613.628518473443</f>
        <v>-1228.0072872647243</v>
      </c>
      <c r="I671">
        <f>-553.550796678451 -24.7534458057403 -686.58935204487</f>
        <v>-1264.8935945290614</v>
      </c>
      <c r="J671" t="s">
        <v>6341</v>
      </c>
      <c r="K671" t="s">
        <v>6342</v>
      </c>
      <c r="L671" t="s">
        <v>6343</v>
      </c>
      <c r="M671" t="s">
        <v>6344</v>
      </c>
      <c r="N671">
        <f>-599.622943402649 -45.1337845595017 -557.419285175539</f>
        <v>-1202.1760131376896</v>
      </c>
      <c r="O671">
        <f>-616.260080189199 -176.40516479462 -520.158979648836</f>
        <v>-1312.8242246326549</v>
      </c>
      <c r="P671">
        <f>-657.436914321135 -208.986087995469 -230.6176241986</f>
        <v>-1097.0406265152039</v>
      </c>
      <c r="Q671">
        <f>-459.752297036524 -89.2824899870495 -298.75473651912</f>
        <v>-847.78952354269347</v>
      </c>
      <c r="R671" t="s">
        <v>6345</v>
      </c>
      <c r="S671" t="s">
        <v>6346</v>
      </c>
      <c r="T671" t="s">
        <v>6347</v>
      </c>
      <c r="U671" t="s">
        <v>6348</v>
      </c>
      <c r="V671">
        <f>-568.78648206867 -82.8380430589887 -96.9523356847758</f>
        <v>-748.57686081243446</v>
      </c>
      <c r="W671" t="s">
        <v>6349</v>
      </c>
      <c r="X671" t="s">
        <v>6350</v>
      </c>
      <c r="Y671" t="s">
        <v>6351</v>
      </c>
    </row>
    <row r="672" spans="1:25" x14ac:dyDescent="0.3">
      <c r="A672">
        <v>33550</v>
      </c>
      <c r="B672" t="s">
        <v>6352</v>
      </c>
      <c r="C672" t="s">
        <v>6353</v>
      </c>
      <c r="D672" t="s">
        <v>6354</v>
      </c>
      <c r="E672">
        <f>-607.307417896347 -1.49338665265191 -312.098923119315</f>
        <v>-920.89972766831397</v>
      </c>
      <c r="F672">
        <f>-608.194686350507 -7.14106879457836 -401.012086000121</f>
        <v>-1016.3478411452063</v>
      </c>
      <c r="G672">
        <f>-604.013429274033 -12.981300173368 -489.818959954955</f>
        <v>-1106.813689402356</v>
      </c>
      <c r="H672">
        <f>-592.87064953578 -21.4829757459991 -613.610472701203</f>
        <v>-1227.9640979829819</v>
      </c>
      <c r="I672">
        <f>-553.162660332294 -25.098087251776 -686.516182910109</f>
        <v>-1264.7769304941789</v>
      </c>
      <c r="J672" t="s">
        <v>6355</v>
      </c>
      <c r="K672" t="s">
        <v>6356</v>
      </c>
      <c r="L672" t="s">
        <v>6357</v>
      </c>
      <c r="M672" t="s">
        <v>6358</v>
      </c>
      <c r="N672">
        <f>-599.393640708311 -45.348084936343 -557.385778230947</f>
        <v>-1202.127503875601</v>
      </c>
      <c r="O672">
        <f>-616.121415272931 -176.583782877744 -520.026409201186</f>
        <v>-1312.7316073518609</v>
      </c>
      <c r="P672">
        <f>-657.107009284672 -209.433893944334 -230.488341395263</f>
        <v>-1097.029244624269</v>
      </c>
      <c r="Q672">
        <f>-460.05759903873 -88.8304970731037 -298.87850562511</f>
        <v>-847.76660173694381</v>
      </c>
      <c r="R672" t="s">
        <v>6359</v>
      </c>
      <c r="S672" t="s">
        <v>6360</v>
      </c>
      <c r="T672" t="s">
        <v>6361</v>
      </c>
      <c r="U672" t="s">
        <v>6362</v>
      </c>
      <c r="V672">
        <f>-568.895861554898 -82.6972962964549 -96.9380820718299</f>
        <v>-748.53123992318274</v>
      </c>
      <c r="W672" t="s">
        <v>6363</v>
      </c>
      <c r="X672" t="s">
        <v>6364</v>
      </c>
      <c r="Y672" t="s">
        <v>6365</v>
      </c>
    </row>
    <row r="673" spans="1:25" x14ac:dyDescent="0.3">
      <c r="A673">
        <v>33600</v>
      </c>
      <c r="B673" t="s">
        <v>6366</v>
      </c>
      <c r="C673" t="s">
        <v>6367</v>
      </c>
      <c r="D673" t="s">
        <v>6368</v>
      </c>
      <c r="E673">
        <f>-607.183917739541 -1.45256844756182 -312.135513360155</f>
        <v>-920.77199954725779</v>
      </c>
      <c r="F673">
        <f>-607.908986821542 -7.18222842872524 -401.045011759709</f>
        <v>-1016.1362270099762</v>
      </c>
      <c r="G673">
        <f>-603.550335851262 -13.1304154620341 -489.836022057021</f>
        <v>-1106.5167733703172</v>
      </c>
      <c r="H673">
        <f>-592.144825277868 -21.8105257009886 -613.591428597896</f>
        <v>-1227.5467795767527</v>
      </c>
      <c r="I673">
        <f>-552.281206400188 -25.5582519211471 -686.405382164464</f>
        <v>-1264.2448404857992</v>
      </c>
      <c r="J673" t="s">
        <v>6369</v>
      </c>
      <c r="K673" t="s">
        <v>6370</v>
      </c>
      <c r="L673" t="s">
        <v>6371</v>
      </c>
      <c r="M673" t="s">
        <v>6372</v>
      </c>
      <c r="N673">
        <f>-598.790892677804 -45.5943485841713 -557.346701649169</f>
        <v>-1201.7319429111442</v>
      </c>
      <c r="O673">
        <f>-615.592455404744 -176.764771529726 -519.809551647753</f>
        <v>-1312.1667785822228</v>
      </c>
      <c r="P673">
        <f>-656.327950174426 -210.30053954237 -230.314922798346</f>
        <v>-1096.943412515142</v>
      </c>
      <c r="Q673">
        <f>-460.713494760725 -87.6792719224775 -299.23422869355</f>
        <v>-847.62699537675246</v>
      </c>
      <c r="R673" t="s">
        <v>6373</v>
      </c>
      <c r="S673" t="s">
        <v>6374</v>
      </c>
      <c r="T673" t="s">
        <v>6375</v>
      </c>
      <c r="U673" t="s">
        <v>6376</v>
      </c>
      <c r="V673">
        <f>-569.094139582869 -82.6033582535133 -96.9333247996608</f>
        <v>-748.63082263604315</v>
      </c>
      <c r="W673" t="s">
        <v>6377</v>
      </c>
      <c r="X673" t="s">
        <v>6378</v>
      </c>
      <c r="Y673" t="s">
        <v>6379</v>
      </c>
    </row>
    <row r="674" spans="1:25" x14ac:dyDescent="0.3">
      <c r="A674">
        <v>33650</v>
      </c>
      <c r="B674" t="s">
        <v>6380</v>
      </c>
      <c r="C674" t="s">
        <v>6381</v>
      </c>
      <c r="D674" t="s">
        <v>6382</v>
      </c>
      <c r="E674">
        <f>-607.159052744415 -1.5177459992708 -312.160571301416</f>
        <v>-920.83737004510181</v>
      </c>
      <c r="F674">
        <f>-607.793700031856 -7.28234213037422 -401.068466597073</f>
        <v>-1016.1445087593032</v>
      </c>
      <c r="G674">
        <f>-603.334046330564 -13.2819267993552 -489.851121689711</f>
        <v>-1106.4670948196303</v>
      </c>
      <c r="H674">
        <f>-591.777297355742 -22.0509164443708 -613.586184350383</f>
        <v>-1227.4143981504958</v>
      </c>
      <c r="I674">
        <f>-551.860312437678 -25.8430098992585 -686.3685415495</f>
        <v>-1264.0718638864364</v>
      </c>
      <c r="J674" t="s">
        <v>6383</v>
      </c>
      <c r="K674" t="s">
        <v>6384</v>
      </c>
      <c r="L674" t="s">
        <v>6385</v>
      </c>
      <c r="M674" t="s">
        <v>6386</v>
      </c>
      <c r="N674">
        <f>-598.485899519216 -45.7946850488511 -557.331941776483</f>
        <v>-1201.6125263445501</v>
      </c>
      <c r="O674">
        <f>-615.289471101513 -176.949626526114 -519.731076590196</f>
        <v>-1311.9701742178231</v>
      </c>
      <c r="P674">
        <f>-656.100778498969 -210.675429628788 -230.269112722692</f>
        <v>-1097.0453208504491</v>
      </c>
      <c r="Q674">
        <f>-461.04252141712 -87.2835755788726 -299.389272115342</f>
        <v>-847.71536911133455</v>
      </c>
      <c r="R674" t="s">
        <v>6387</v>
      </c>
      <c r="S674" t="s">
        <v>6388</v>
      </c>
      <c r="T674" t="s">
        <v>6389</v>
      </c>
      <c r="U674" t="s">
        <v>6390</v>
      </c>
      <c r="V674">
        <f>-569.335785269748 -82.7186676211338 -96.9303744629079</f>
        <v>-748.9848273537898</v>
      </c>
      <c r="W674" t="s">
        <v>6391</v>
      </c>
      <c r="X674" t="s">
        <v>6392</v>
      </c>
      <c r="Y674" t="s">
        <v>6393</v>
      </c>
    </row>
    <row r="675" spans="1:25" x14ac:dyDescent="0.3">
      <c r="A675">
        <v>33700</v>
      </c>
      <c r="B675" t="s">
        <v>6394</v>
      </c>
      <c r="C675" t="s">
        <v>6395</v>
      </c>
      <c r="D675" t="s">
        <v>6396</v>
      </c>
      <c r="E675">
        <f>-607.080704906208 -1.61256503591812 -312.18885153147</f>
        <v>-920.88212147359604</v>
      </c>
      <c r="F675">
        <f>-607.571736633074 -7.41780657645745 -401.095030352302</f>
        <v>-1016.0845735618334</v>
      </c>
      <c r="G675">
        <f>-602.96588151015 -13.4743519453727 -489.866375266189</f>
        <v>-1106.3066087217117</v>
      </c>
      <c r="H675">
        <f>-591.202477399891 -22.339705630241 -613.575028134149</f>
        <v>-1227.1172111642809</v>
      </c>
      <c r="I675">
        <f>-551.241673039625 -26.1470474190101 -686.332641842053</f>
        <v>-1263.721362300688</v>
      </c>
      <c r="J675" t="s">
        <v>6397</v>
      </c>
      <c r="K675" t="s">
        <v>6398</v>
      </c>
      <c r="L675" t="s">
        <v>6399</v>
      </c>
      <c r="M675" t="s">
        <v>6400</v>
      </c>
      <c r="N675">
        <f>-597.998594995841 -46.0398519201567 -557.312927775373</f>
        <v>-1201.3513746913709</v>
      </c>
      <c r="O675">
        <f>-614.835916739907 -177.177273468327 -519.6719686417</f>
        <v>-1311.6851588499339</v>
      </c>
      <c r="P675">
        <f>-655.831004153682 -211.398141212123 -230.294129597955</f>
        <v>-1097.5232749637598</v>
      </c>
      <c r="Q675">
        <f>-461.72838330586 -86.5690479262998 -299.523746654477</f>
        <v>-847.82117788663686</v>
      </c>
      <c r="R675" t="s">
        <v>6401</v>
      </c>
      <c r="S675" t="s">
        <v>6402</v>
      </c>
      <c r="T675" t="s">
        <v>6403</v>
      </c>
      <c r="U675" t="s">
        <v>6404</v>
      </c>
      <c r="V675">
        <f>-569.638921737009 -82.7261852188851 -96.9233251273203</f>
        <v>-749.28843208321439</v>
      </c>
      <c r="W675" t="s">
        <v>6405</v>
      </c>
      <c r="X675" t="s">
        <v>6406</v>
      </c>
      <c r="Y675" t="s">
        <v>6407</v>
      </c>
    </row>
    <row r="676" spans="1:25" x14ac:dyDescent="0.3">
      <c r="A676">
        <v>33750</v>
      </c>
      <c r="B676" t="s">
        <v>6408</v>
      </c>
      <c r="C676" t="s">
        <v>6409</v>
      </c>
      <c r="D676" t="s">
        <v>6410</v>
      </c>
      <c r="E676">
        <f>-607.073075739458 -1.66371639859085 -312.19116828713</f>
        <v>-920.92796042517875</v>
      </c>
      <c r="F676">
        <f>-607.510104962445 -7.46653854788497 -401.097704796958</f>
        <v>-1016.0743483072879</v>
      </c>
      <c r="G676">
        <f>-602.853673733282 -13.5202421737526 -489.866609998055</f>
        <v>-1106.2405259050897</v>
      </c>
      <c r="H676">
        <f>-591.023463682786 -22.381217264392 -613.569273622391</f>
        <v>-1226.9739545695691</v>
      </c>
      <c r="I676">
        <f>-551.058470510794 -26.1596229502572 -686.326029555659</f>
        <v>-1263.5441230167103</v>
      </c>
      <c r="J676" t="s">
        <v>6411</v>
      </c>
      <c r="K676" t="s">
        <v>6412</v>
      </c>
      <c r="L676" t="s">
        <v>6413</v>
      </c>
      <c r="M676" t="s">
        <v>6414</v>
      </c>
      <c r="N676">
        <f>-597.845244877414 -46.083804253472 -557.31110417735</f>
        <v>-1201.2401533082359</v>
      </c>
      <c r="O676">
        <f>-614.67782870408 -177.230720815522 -519.672278064879</f>
        <v>-1311.5808275844811</v>
      </c>
      <c r="P676">
        <f>-655.885744584738 -211.552765134993 -230.336581497038</f>
        <v>-1097.7750912167689</v>
      </c>
      <c r="Q676">
        <f>-462.149307644077 -86.1811369661525 -299.611365957731</f>
        <v>-847.94181056796049</v>
      </c>
      <c r="R676" t="s">
        <v>6415</v>
      </c>
      <c r="S676" t="s">
        <v>6416</v>
      </c>
      <c r="T676" t="s">
        <v>6417</v>
      </c>
      <c r="U676" t="s">
        <v>6418</v>
      </c>
      <c r="V676">
        <f>-569.776511073738 -82.7131075659611 -96.9104672597229</f>
        <v>-749.40008589942204</v>
      </c>
      <c r="W676" t="s">
        <v>6419</v>
      </c>
      <c r="X676" t="s">
        <v>6420</v>
      </c>
      <c r="Y676" t="s">
        <v>6421</v>
      </c>
    </row>
    <row r="677" spans="1:25" x14ac:dyDescent="0.3">
      <c r="A677">
        <v>33800</v>
      </c>
      <c r="B677" t="s">
        <v>6422</v>
      </c>
      <c r="C677" t="s">
        <v>6423</v>
      </c>
      <c r="D677" t="s">
        <v>6424</v>
      </c>
      <c r="E677">
        <f>-607.033436005383 -1.67060434323025 -312.238081001242</f>
        <v>-920.94212134985526</v>
      </c>
      <c r="F677">
        <f>-607.338766041324 -7.45491930673302 -401.146372317162</f>
        <v>-1015.940057665219</v>
      </c>
      <c r="G677">
        <f>-602.55324138722 -13.4816851029159 -489.910182757124</f>
        <v>-1105.94510924726</v>
      </c>
      <c r="H677">
        <f>-590.545600432584 -22.297015859974 -613.59902319559</f>
        <v>-1226.441639488148</v>
      </c>
      <c r="I677">
        <f>-550.593866823912 -25.9696321052336 -686.368528121349</f>
        <v>-1262.9320270504945</v>
      </c>
      <c r="J677" t="s">
        <v>6425</v>
      </c>
      <c r="K677" t="s">
        <v>6426</v>
      </c>
      <c r="L677" t="s">
        <v>6427</v>
      </c>
      <c r="M677" t="s">
        <v>6428</v>
      </c>
      <c r="N677">
        <f>-597.443010956134 -46.0204965214248 -557.359082716444</f>
        <v>-1200.8225901940027</v>
      </c>
      <c r="O677">
        <f>-614.320290635922 -177.195550215266 -519.855828277857</f>
        <v>-1311.3716691290449</v>
      </c>
      <c r="P677">
        <f>-656.299584945933 -211.814217976981 -230.666398174082</f>
        <v>-1098.7802010969961</v>
      </c>
      <c r="Q677">
        <f>-462.561338656725 -86.1415032343448 -299.388761975265</f>
        <v>-848.09160386633494</v>
      </c>
      <c r="R677" t="s">
        <v>6429</v>
      </c>
      <c r="S677" t="s">
        <v>6430</v>
      </c>
      <c r="T677" t="s">
        <v>6431</v>
      </c>
      <c r="U677" t="s">
        <v>6432</v>
      </c>
      <c r="V677">
        <f>-570.001766934703 -82.805844808272 -96.8928792900085</f>
        <v>-749.70049103298356</v>
      </c>
      <c r="W677" t="s">
        <v>6433</v>
      </c>
      <c r="X677" t="s">
        <v>6434</v>
      </c>
      <c r="Y677" t="s">
        <v>6435</v>
      </c>
    </row>
    <row r="678" spans="1:25" x14ac:dyDescent="0.3">
      <c r="A678">
        <v>33850</v>
      </c>
      <c r="B678" t="s">
        <v>6436</v>
      </c>
      <c r="C678" t="s">
        <v>6437</v>
      </c>
      <c r="D678" t="s">
        <v>6438</v>
      </c>
      <c r="E678">
        <f>-606.954099223984 -1.72263055300596 -312.2598652229</f>
        <v>-920.93659499988996</v>
      </c>
      <c r="F678">
        <f>-607.199111100089 -7.50772834993859 -401.168168014489</f>
        <v>-1015.8750074645166</v>
      </c>
      <c r="G678">
        <f>-602.360558855351 -13.534221014218 -489.92919515366</f>
        <v>-1105.823975023229</v>
      </c>
      <c r="H678">
        <f>-590.286250407141 -22.3478505920968 -613.611731786906</f>
        <v>-1226.2458327861439</v>
      </c>
      <c r="I678">
        <f>-550.375533317737 -25.9690521559141 -686.406105777192</f>
        <v>-1262.7506912508431</v>
      </c>
      <c r="J678" t="s">
        <v>6439</v>
      </c>
      <c r="K678" t="s">
        <v>6440</v>
      </c>
      <c r="L678" t="s">
        <v>6441</v>
      </c>
      <c r="M678" t="s">
        <v>6442</v>
      </c>
      <c r="N678">
        <f>-597.21811358809 -46.0719202398695 -557.376193401341</f>
        <v>-1200.6662272293006</v>
      </c>
      <c r="O678">
        <f>-614.098972808075 -177.25950375318 -519.92138046778</f>
        <v>-1311.2798570290349</v>
      </c>
      <c r="P678">
        <f>-656.442158977909 -212.242216117107 -230.828863672292</f>
        <v>-1099.5132387673079</v>
      </c>
      <c r="Q678">
        <f>-462.745247066155 -86.2677876465571 -299.113997582212</f>
        <v>-848.12703229492399</v>
      </c>
      <c r="R678" t="s">
        <v>6443</v>
      </c>
      <c r="S678" t="s">
        <v>6444</v>
      </c>
      <c r="T678" t="s">
        <v>6445</v>
      </c>
      <c r="U678" t="s">
        <v>6446</v>
      </c>
      <c r="V678">
        <f>-570.130496963102 -82.8868118619732 -96.8844496606463</f>
        <v>-749.90175848572153</v>
      </c>
      <c r="W678" t="s">
        <v>6447</v>
      </c>
      <c r="X678" t="s">
        <v>6448</v>
      </c>
      <c r="Y678" t="s">
        <v>6449</v>
      </c>
    </row>
    <row r="679" spans="1:25" x14ac:dyDescent="0.3">
      <c r="A679">
        <v>33900</v>
      </c>
      <c r="B679" t="s">
        <v>6450</v>
      </c>
      <c r="C679" t="s">
        <v>6451</v>
      </c>
      <c r="D679" t="s">
        <v>6452</v>
      </c>
      <c r="E679">
        <f>-606.846603753891 -1.77904403257025 -312.262732928275</f>
        <v>-920.88838071473629</v>
      </c>
      <c r="F679">
        <f>-607.045900789724 -7.56236088788182 -401.171332593698</f>
        <v>-1015.7795942713038</v>
      </c>
      <c r="G679">
        <f>-602.169212152034 -13.5850233199212 -489.930486926127</f>
        <v>-1105.6847223980822</v>
      </c>
      <c r="H679">
        <f>-590.049579001419 -22.3911904854888 -613.609046976336</f>
        <v>-1226.0498164632438</v>
      </c>
      <c r="I679">
        <f>-550.202411221491 -25.9501250404242 -686.44157407981</f>
        <v>-1262.5941103417254</v>
      </c>
      <c r="J679" t="s">
        <v>6453</v>
      </c>
      <c r="K679" t="s">
        <v>6454</v>
      </c>
      <c r="L679" t="s">
        <v>6455</v>
      </c>
      <c r="M679" t="s">
        <v>6456</v>
      </c>
      <c r="N679">
        <f>-597.006224938415 -46.1185396554524 -557.377938530448</f>
        <v>-1200.5027031243153</v>
      </c>
      <c r="O679">
        <f>-613.887564420242 -177.318238101021 -519.971929889013</f>
        <v>-1311.1777324102759</v>
      </c>
      <c r="P679">
        <f>-656.546180612954 -212.505176553338 -230.950642924445</f>
        <v>-1100.0020000907371</v>
      </c>
      <c r="Q679">
        <f>-462.779639380026 -86.4393568189969 -298.868154926603</f>
        <v>-848.08715112562595</v>
      </c>
      <c r="R679" t="s">
        <v>6457</v>
      </c>
      <c r="S679" t="s">
        <v>6458</v>
      </c>
      <c r="T679" t="s">
        <v>6459</v>
      </c>
      <c r="U679" t="s">
        <v>6460</v>
      </c>
      <c r="V679">
        <f>-570.16998759542 -82.9109579684196 -96.8759436082939</f>
        <v>-749.95688917213351</v>
      </c>
      <c r="W679" t="s">
        <v>6461</v>
      </c>
      <c r="X679" t="s">
        <v>6462</v>
      </c>
      <c r="Y679" t="s">
        <v>6463</v>
      </c>
    </row>
    <row r="680" spans="1:25" x14ac:dyDescent="0.3">
      <c r="A680">
        <v>33950</v>
      </c>
      <c r="B680" t="s">
        <v>6464</v>
      </c>
      <c r="C680" t="s">
        <v>6465</v>
      </c>
      <c r="D680" t="s">
        <v>6466</v>
      </c>
      <c r="E680">
        <f>-606.706793369585 -1.70428678620488 -312.273475217348</f>
        <v>-920.68455537313775</v>
      </c>
      <c r="F680">
        <f>-606.882394343344 -7.47883796256474 -401.182872509182</f>
        <v>-1015.5441048150908</v>
      </c>
      <c r="G680">
        <f>-601.989286687207 -13.4909919604302 -489.941757466462</f>
        <v>-1105.4220361140992</v>
      </c>
      <c r="H680">
        <f>-589.854720491559 -22.2807321609696 -613.620018521166</f>
        <v>-1225.7554711736946</v>
      </c>
      <c r="I680">
        <f>-550.093750859431 -25.7581750567083 -686.503450031402</f>
        <v>-1262.3553759475412</v>
      </c>
      <c r="J680" t="s">
        <v>6467</v>
      </c>
      <c r="K680" t="s">
        <v>6468</v>
      </c>
      <c r="L680" t="s">
        <v>6469</v>
      </c>
      <c r="M680" t="s">
        <v>6470</v>
      </c>
      <c r="N680">
        <f>-596.827200835719 -46.0149730683013 -557.393808872624</f>
        <v>-1200.2359827766445</v>
      </c>
      <c r="O680">
        <f>-613.722582734575 -177.222334810035 -520.018278671882</f>
        <v>-1310.963196216492</v>
      </c>
      <c r="P680">
        <f>-656.51540210286 -212.572406121481 -231.036703621486</f>
        <v>-1100.1245118458269</v>
      </c>
      <c r="Q680">
        <f>-462.762794962006 -86.3911991613743 -298.779505089403</f>
        <v>-847.93349921278332</v>
      </c>
      <c r="R680" t="s">
        <v>6471</v>
      </c>
      <c r="S680" t="s">
        <v>6472</v>
      </c>
      <c r="T680" t="s">
        <v>6473</v>
      </c>
      <c r="U680" t="s">
        <v>6474</v>
      </c>
      <c r="V680">
        <f>-570.113466256528 -82.7977185509928 -96.876284506351</f>
        <v>-749.78746931387184</v>
      </c>
      <c r="W680" t="s">
        <v>6475</v>
      </c>
      <c r="X680" t="s">
        <v>6476</v>
      </c>
      <c r="Y680" t="s">
        <v>6477</v>
      </c>
    </row>
    <row r="681" spans="1:25" x14ac:dyDescent="0.3">
      <c r="A681">
        <v>34000</v>
      </c>
      <c r="B681" t="s">
        <v>6478</v>
      </c>
      <c r="C681" t="s">
        <v>6479</v>
      </c>
      <c r="D681" t="s">
        <v>6480</v>
      </c>
      <c r="E681">
        <f>-606.272981182844 -1.87202747250944 -312.328890531186</f>
        <v>-920.47389918653948</v>
      </c>
      <c r="F681">
        <f>-606.398968119333 -7.6105141221376 -401.240657512859</f>
        <v>-1015.2501397543296</v>
      </c>
      <c r="G681">
        <f>-601.491932272741 -13.576516293462 -490.002011091685</f>
        <v>-1105.070459657888</v>
      </c>
      <c r="H681">
        <f>-589.374439736362 -22.2914647139826 -613.687243897258</f>
        <v>-1225.3531483476027</v>
      </c>
      <c r="I681">
        <f>-550.053138813872 -25.4660541837857 -686.822584938112</f>
        <v>-1262.3417779357696</v>
      </c>
      <c r="J681" t="s">
        <v>6481</v>
      </c>
      <c r="K681" t="s">
        <v>6482</v>
      </c>
      <c r="L681" t="s">
        <v>6483</v>
      </c>
      <c r="M681" t="s">
        <v>6484</v>
      </c>
      <c r="N681">
        <f>-596.370379804815 -46.0580543589713 -557.477629796397</f>
        <v>-1199.9060639601832</v>
      </c>
      <c r="O681">
        <f>-613.28410240817 -177.288773381011 -520.204620327155</f>
        <v>-1310.7774961163359</v>
      </c>
      <c r="P681">
        <f>-656.165674154217 -212.41450356663 -231.208804072919</f>
        <v>-1099.788981793766</v>
      </c>
      <c r="Q681">
        <f>-462.180380109791 -86.6691505761833 -299.095713431762</f>
        <v>-847.94524411773637</v>
      </c>
      <c r="R681" t="s">
        <v>6485</v>
      </c>
      <c r="S681" t="s">
        <v>6486</v>
      </c>
      <c r="T681" t="s">
        <v>6487</v>
      </c>
      <c r="U681" t="s">
        <v>6488</v>
      </c>
      <c r="V681">
        <f>-569.986989822291 -83.009867477278 -96.8631845860843</f>
        <v>-749.86004188565335</v>
      </c>
      <c r="W681" t="s">
        <v>6489</v>
      </c>
      <c r="X681" t="s">
        <v>6490</v>
      </c>
      <c r="Y681" t="s">
        <v>6491</v>
      </c>
    </row>
    <row r="682" spans="1:25" x14ac:dyDescent="0.3">
      <c r="A682">
        <v>34050</v>
      </c>
      <c r="B682" t="s">
        <v>6492</v>
      </c>
      <c r="C682" t="s">
        <v>6493</v>
      </c>
      <c r="D682" t="s">
        <v>6494</v>
      </c>
      <c r="E682">
        <f>-606.112458636514 -1.94972409970842 -312.371334268235</f>
        <v>-920.43351700445737</v>
      </c>
      <c r="F682">
        <f>-606.202263979424 -7.68608003856207 -401.283195728262</f>
        <v>-1015.1715397462481</v>
      </c>
      <c r="G682">
        <f>-601.26540199942 -13.6427761640186 -490.043497245237</f>
        <v>-1104.9516754086756</v>
      </c>
      <c r="H682">
        <f>-589.112710313841 -22.3381292357083 -613.726650746135</f>
        <v>-1225.1774902956843</v>
      </c>
      <c r="I682">
        <f>-550.001759650783 -25.3724109718955 -686.98061455117</f>
        <v>-1262.3547851738485</v>
      </c>
      <c r="J682" t="s">
        <v>6495</v>
      </c>
      <c r="K682" t="s">
        <v>6496</v>
      </c>
      <c r="L682" t="s">
        <v>6497</v>
      </c>
      <c r="M682" t="s">
        <v>6498</v>
      </c>
      <c r="N682">
        <f>-596.128761181354 -46.113425690048 -557.523207878881</f>
        <v>-1199.7653947502829</v>
      </c>
      <c r="O682">
        <f>-612.995925773024 -177.360993912397 -520.294910428432</f>
        <v>-1310.6518301138531</v>
      </c>
      <c r="P682">
        <f>-655.902054334141 -212.584718299493 -231.314659741974</f>
        <v>-1099.8014323756081</v>
      </c>
      <c r="Q682">
        <f>-461.816260113719 -86.9911783108969 -299.195754402474</f>
        <v>-848.00319282708995</v>
      </c>
      <c r="R682" t="s">
        <v>6499</v>
      </c>
      <c r="S682" t="s">
        <v>6500</v>
      </c>
      <c r="T682" t="s">
        <v>6501</v>
      </c>
      <c r="U682" t="s">
        <v>6502</v>
      </c>
      <c r="V682">
        <f>-569.859933981248 -82.9817676447287 -96.8677603959051</f>
        <v>-749.70946202188179</v>
      </c>
      <c r="W682" t="s">
        <v>6503</v>
      </c>
      <c r="X682" t="s">
        <v>6504</v>
      </c>
      <c r="Y682" t="s">
        <v>6505</v>
      </c>
    </row>
    <row r="683" spans="1:25" x14ac:dyDescent="0.3">
      <c r="A683">
        <v>34100</v>
      </c>
      <c r="B683" t="s">
        <v>6506</v>
      </c>
      <c r="C683" t="s">
        <v>6507</v>
      </c>
      <c r="D683" t="s">
        <v>6508</v>
      </c>
      <c r="E683">
        <f>-606.541204600096 -2.08289373986258 -312.468074326999</f>
        <v>-921.09217266695759</v>
      </c>
      <c r="F683">
        <f>-606.619347593195 -7.78954836084358 -401.381923641265</f>
        <v>-1015.7908195953037</v>
      </c>
      <c r="G683">
        <f>-601.646200577492 -13.6682388901775 -490.145397336085</f>
        <v>-1105.4598368037546</v>
      </c>
      <c r="H683">
        <f>-589.416474643033 -22.2094096422552 -613.831585462836</f>
        <v>-1225.4574697481241</v>
      </c>
      <c r="I683">
        <f>-550.855890886049 -24.8944987817347 -687.390436578921</f>
        <v>-1263.1408262467048</v>
      </c>
      <c r="J683" t="s">
        <v>6509</v>
      </c>
      <c r="K683" t="s">
        <v>6510</v>
      </c>
      <c r="L683" t="s">
        <v>6511</v>
      </c>
      <c r="M683" t="s">
        <v>6512</v>
      </c>
      <c r="N683">
        <f>-596.445693459228 -46.0559491751217 -557.660031817398</f>
        <v>-1200.1616744517478</v>
      </c>
      <c r="O683">
        <f>-612.939642012749 -177.410719991023 -520.629339944342</f>
        <v>-1310.9797019481139</v>
      </c>
      <c r="P683">
        <f>-655.935416025344 -213.171233278817 -231.728398288278</f>
        <v>-1100.835047592439</v>
      </c>
      <c r="Q683">
        <f>-461.723967400569 -87.6697164718769 -299.420179260235</f>
        <v>-848.81386313268081</v>
      </c>
      <c r="R683" t="s">
        <v>6513</v>
      </c>
      <c r="S683" t="s">
        <v>6514</v>
      </c>
      <c r="T683" t="s">
        <v>6515</v>
      </c>
      <c r="U683" t="s">
        <v>6516</v>
      </c>
      <c r="V683">
        <f>-569.512919906138 -82.5011586132498 -96.9513652418027</f>
        <v>-748.9654437611905</v>
      </c>
      <c r="W683" t="s">
        <v>6517</v>
      </c>
      <c r="X683" t="s">
        <v>6518</v>
      </c>
      <c r="Y683" t="s">
        <v>6519</v>
      </c>
    </row>
    <row r="684" spans="1:25" x14ac:dyDescent="0.3">
      <c r="A684">
        <v>34150</v>
      </c>
      <c r="B684" t="s">
        <v>6520</v>
      </c>
      <c r="C684" t="s">
        <v>6521</v>
      </c>
      <c r="D684" t="s">
        <v>6522</v>
      </c>
      <c r="E684">
        <f>-607.071591712026 -2.05479516152263 -312.5086298285</f>
        <v>-921.63501670204869</v>
      </c>
      <c r="F684">
        <f>-607.149988944591 -7.71082810822509 -401.425783125483</f>
        <v>-1016.2866001782991</v>
      </c>
      <c r="G684">
        <f>-602.175206258257 -13.5001238078253 -490.194917372195</f>
        <v>-1105.8702474382774</v>
      </c>
      <c r="H684">
        <f>-589.940493536546 -21.8809432106755 -613.891669881348</f>
        <v>-1225.7131066285694</v>
      </c>
      <c r="I684">
        <f>-551.730165777442 -24.3552408040434 -687.640506280569</f>
        <v>-1263.7259128620544</v>
      </c>
      <c r="J684" t="s">
        <v>6523</v>
      </c>
      <c r="K684" t="s">
        <v>6524</v>
      </c>
      <c r="L684" t="s">
        <v>6525</v>
      </c>
      <c r="M684" t="s">
        <v>6526</v>
      </c>
      <c r="N684">
        <f>-596.940968828826 -45.8018501670215 -557.748262067668</f>
        <v>-1200.4910810635156</v>
      </c>
      <c r="O684">
        <f>-613.137027945981 -177.266797792345 -520.976249631564</f>
        <v>-1311.3800753698899</v>
      </c>
      <c r="P684">
        <f>-656.072453500122 -213.561507231252 -232.133041604785</f>
        <v>-1101.7670023361591</v>
      </c>
      <c r="Q684">
        <f>-461.99496276633 -87.7962701319061 -299.718938149122</f>
        <v>-849.51017104735809</v>
      </c>
      <c r="R684" t="s">
        <v>6527</v>
      </c>
      <c r="S684" t="s">
        <v>6528</v>
      </c>
      <c r="T684" t="s">
        <v>6529</v>
      </c>
      <c r="U684" t="s">
        <v>6530</v>
      </c>
      <c r="V684">
        <f>-569.302987966119 -82.2489935609376 -96.9669948599474</f>
        <v>-748.51897638700393</v>
      </c>
      <c r="W684" t="s">
        <v>6531</v>
      </c>
      <c r="X684" t="s">
        <v>6532</v>
      </c>
      <c r="Y684" t="s">
        <v>6533</v>
      </c>
    </row>
    <row r="685" spans="1:25" x14ac:dyDescent="0.3">
      <c r="A685">
        <v>34200</v>
      </c>
      <c r="B685" t="s">
        <v>6534</v>
      </c>
      <c r="C685" t="s">
        <v>6535</v>
      </c>
      <c r="D685" t="s">
        <v>6536</v>
      </c>
      <c r="E685">
        <f>-607.715367633047 -2.97171460902428 -312.538892087344</f>
        <v>-923.22597432941529</v>
      </c>
      <c r="F685">
        <f>-607.858334265111 -8.46836491989757 -401.465866188895</f>
        <v>-1017.7925653739036</v>
      </c>
      <c r="G685">
        <f>-602.989943474684 -14.0055611896671 -490.257108308925</f>
        <v>-1107.252612973276</v>
      </c>
      <c r="H685">
        <f>-590.944567975945 -21.9464893962452 -614.001480113406</f>
        <v>-1226.8925374855962</v>
      </c>
      <c r="I685">
        <f>-553.617125039783 -23.9241121267064 -688.215795190088</f>
        <v>-1265.7570323565774</v>
      </c>
      <c r="J685" t="s">
        <v>6537</v>
      </c>
      <c r="K685" t="s">
        <v>6538</v>
      </c>
      <c r="L685" t="s">
        <v>6539</v>
      </c>
      <c r="M685" t="s">
        <v>6540</v>
      </c>
      <c r="N685">
        <f>-597.75991794722 -46.071898677458 -557.922716343622</f>
        <v>-1201.7545329682998</v>
      </c>
      <c r="O685">
        <f>-613.115655747403 -177.84447686214 -521.883162497534</f>
        <v>-1312.8432951070772</v>
      </c>
      <c r="P685">
        <f>-655.728062561772 -215.533194400446 -233.170548087174</f>
        <v>-1104.4318050493921</v>
      </c>
      <c r="Q685">
        <f>-461.996024892695 -89.1811360089862 -300.653012545028</f>
        <v>-851.83017344670918</v>
      </c>
      <c r="R685" t="s">
        <v>6541</v>
      </c>
      <c r="S685" t="s">
        <v>6542</v>
      </c>
      <c r="T685" t="s">
        <v>6543</v>
      </c>
      <c r="U685" t="s">
        <v>6544</v>
      </c>
      <c r="V685">
        <f>-568.814524492614 -83.208772437478 -97.0252664976908</f>
        <v>-749.04856342778294</v>
      </c>
      <c r="W685" t="s">
        <v>6545</v>
      </c>
      <c r="X685" t="s">
        <v>6546</v>
      </c>
      <c r="Y685" t="s">
        <v>6547</v>
      </c>
    </row>
    <row r="686" spans="1:25" x14ac:dyDescent="0.3">
      <c r="A686">
        <v>34250</v>
      </c>
      <c r="B686" t="s">
        <v>6548</v>
      </c>
      <c r="C686" t="s">
        <v>6549</v>
      </c>
      <c r="D686" t="s">
        <v>6550</v>
      </c>
      <c r="E686">
        <f>-608.036045648989 -3.91229013722545 -312.521952821635</f>
        <v>-924.4702886078494</v>
      </c>
      <c r="F686">
        <f>-608.224278926858 -9.33578431428805 -401.453285256403</f>
        <v>-1019.013348497549</v>
      </c>
      <c r="G686">
        <f>-603.429893122623 -14.7516062565926 -490.256145140504</f>
        <v>-1108.4376445197195</v>
      </c>
      <c r="H686">
        <f>-591.516060272565 -22.4739919029703 -614.027035849353</f>
        <v>-1228.0170880248884</v>
      </c>
      <c r="I686">
        <f>-554.697619957798 -24.163772066616 -688.502322882088</f>
        <v>-1267.3637149065021</v>
      </c>
      <c r="J686" t="s">
        <v>6551</v>
      </c>
      <c r="K686" t="s">
        <v>6552</v>
      </c>
      <c r="L686" t="s">
        <v>6553</v>
      </c>
      <c r="M686" t="s">
        <v>6554</v>
      </c>
      <c r="N686">
        <f>-598.203253310698 -46.7016884356594 -557.976888635708</f>
        <v>-1202.8818303820653</v>
      </c>
      <c r="O686">
        <f>-613.057070713109 -178.619082524022 -522.254102768921</f>
        <v>-1313.9302560060521</v>
      </c>
      <c r="P686">
        <f>-655.477026308703 -217.110371371715 -233.619156783475</f>
        <v>-1106.2065544638931</v>
      </c>
      <c r="Q686">
        <f>-462.046654150922 -90.3713180357809 -301.241280396037</f>
        <v>-853.65925258273978</v>
      </c>
      <c r="R686" t="s">
        <v>6555</v>
      </c>
      <c r="S686" t="s">
        <v>6556</v>
      </c>
      <c r="T686" t="s">
        <v>6557</v>
      </c>
      <c r="U686" t="s">
        <v>6558</v>
      </c>
      <c r="V686">
        <f>-568.981163685869 -84.2312138879333 -96.9992487243618</f>
        <v>-750.21162629816411</v>
      </c>
      <c r="W686" t="s">
        <v>6559</v>
      </c>
      <c r="X686" t="s">
        <v>6560</v>
      </c>
      <c r="Y686" t="s">
        <v>6561</v>
      </c>
    </row>
    <row r="687" spans="1:25" x14ac:dyDescent="0.3">
      <c r="A687">
        <v>34300</v>
      </c>
      <c r="B687" t="s">
        <v>6562</v>
      </c>
      <c r="C687" t="s">
        <v>6563</v>
      </c>
      <c r="D687" t="s">
        <v>6564</v>
      </c>
      <c r="E687">
        <f>-608.729655512017 -5.4005046231689 -312.405426802921</f>
        <v>-926.53558693810692</v>
      </c>
      <c r="F687">
        <f>-609.033997579368 -10.6139740346616 -401.349069943288</f>
        <v>-1020.9970415573176</v>
      </c>
      <c r="G687">
        <f>-604.373650949279 -15.7422046280008 -490.176015152021</f>
        <v>-1110.2918707293006</v>
      </c>
      <c r="H687">
        <f>-592.662572186719 -22.9799315939194 -613.995515754233</f>
        <v>-1229.6380195348715</v>
      </c>
      <c r="I687">
        <f>-556.923128115243 -23.9790649418051 -689.006984099271</f>
        <v>-1269.9091771563189</v>
      </c>
      <c r="J687" t="s">
        <v>6565</v>
      </c>
      <c r="K687" t="s">
        <v>6566</v>
      </c>
      <c r="L687" t="s">
        <v>6567</v>
      </c>
      <c r="M687" t="s">
        <v>6568</v>
      </c>
      <c r="N687">
        <f>-599.068074449068 -47.4351282003956 -558.01148140236</f>
        <v>-1204.5146840518237</v>
      </c>
      <c r="O687">
        <f>-612.86804436185 -179.602623993088 -522.768307623332</f>
        <v>-1315.23897597827</v>
      </c>
      <c r="P687">
        <f>-654.889183397448 -219.428178562426 -234.255966326616</f>
        <v>-1108.5733282864901</v>
      </c>
      <c r="Q687">
        <f>-461.911303307679 -92.4743168157513 -302.76237749979</f>
        <v>-857.14799762322025</v>
      </c>
      <c r="R687" t="s">
        <v>6569</v>
      </c>
      <c r="S687" t="s">
        <v>6570</v>
      </c>
      <c r="T687" t="s">
        <v>6571</v>
      </c>
      <c r="U687" t="s">
        <v>6572</v>
      </c>
      <c r="V687">
        <f>-569.378596292428 -85.5419716778272 -96.9427942834296</f>
        <v>-751.86336225368484</v>
      </c>
      <c r="W687" t="s">
        <v>6573</v>
      </c>
      <c r="X687" t="s">
        <v>6574</v>
      </c>
      <c r="Y687" t="s">
        <v>6575</v>
      </c>
    </row>
    <row r="688" spans="1:25" x14ac:dyDescent="0.3">
      <c r="A688">
        <v>34350</v>
      </c>
      <c r="B688" t="s">
        <v>6576</v>
      </c>
      <c r="C688" t="s">
        <v>6577</v>
      </c>
      <c r="D688" t="s">
        <v>6578</v>
      </c>
      <c r="E688">
        <f>-609.033719413481 -5.80561698559632 -312.342515507438</f>
        <v>-927.18185190651525</v>
      </c>
      <c r="F688">
        <f>-609.356604683141 -10.8908888900567 -401.293405351567</f>
        <v>-1021.5408989247646</v>
      </c>
      <c r="G688">
        <f>-604.697883666573 -15.8368659702057 -490.13072984454</f>
        <v>-1110.6654794813187</v>
      </c>
      <c r="H688">
        <f>-592.9694539543 -22.7613700575039 -613.966547150075</f>
        <v>-1229.6973711618789</v>
      </c>
      <c r="I688">
        <f>-557.733119538117 -23.3491340351543 -689.220094138092</f>
        <v>-1270.3023477113634</v>
      </c>
      <c r="J688" t="s">
        <v>6579</v>
      </c>
      <c r="K688" t="s">
        <v>6580</v>
      </c>
      <c r="L688" t="s">
        <v>6581</v>
      </c>
      <c r="M688" t="s">
        <v>6582</v>
      </c>
      <c r="N688">
        <f>-599.259232023342 -47.3629024571553 -558.033444927478</f>
        <v>-1204.6555794079752</v>
      </c>
      <c r="O688">
        <f>-612.503123198671 -179.647110844359 -523.035331473575</f>
        <v>-1315.185565516605</v>
      </c>
      <c r="P688">
        <f>-654.237774312375 -220.451231310587 -234.618219597269</f>
        <v>-1109.307225220231</v>
      </c>
      <c r="Q688">
        <f>-461.555792628581 -93.5133017826604 -303.981877358989</f>
        <v>-859.05097177023038</v>
      </c>
      <c r="R688" t="s">
        <v>6583</v>
      </c>
      <c r="S688" t="s">
        <v>6584</v>
      </c>
      <c r="T688" t="s">
        <v>6585</v>
      </c>
      <c r="U688" t="s">
        <v>6586</v>
      </c>
      <c r="V688">
        <f>-569.393905366516 -85.8917633974311 -96.923334760182</f>
        <v>-752.20900352412912</v>
      </c>
      <c r="W688" t="s">
        <v>6587</v>
      </c>
      <c r="X688" t="s">
        <v>6588</v>
      </c>
      <c r="Y688" t="s">
        <v>6589</v>
      </c>
    </row>
    <row r="689" spans="1:25" x14ac:dyDescent="0.3">
      <c r="A689">
        <v>34400</v>
      </c>
      <c r="B689" t="s">
        <v>6590</v>
      </c>
      <c r="C689" t="s">
        <v>6591</v>
      </c>
      <c r="D689">
        <f>-604.022174586144 -1.07831171897692 -213.873637944544</f>
        <v>-818.97412424966501</v>
      </c>
      <c r="E689">
        <f>-609.662986781636 -6.81304950205504 -312.168865289299</f>
        <v>-928.64490157299008</v>
      </c>
      <c r="F689">
        <f>-610.113660197615 -11.554498959089 -401.138222921287</f>
        <v>-1022.806382077991</v>
      </c>
      <c r="G689">
        <f>-605.551140129542 -15.999533742287 -490.00701853585</f>
        <v>-1111.557692407679</v>
      </c>
      <c r="H689">
        <f>-593.918883874185 -22.0570164635878 -613.897295554748</f>
        <v>-1229.8731958925209</v>
      </c>
      <c r="I689">
        <f>-559.575698604053 -21.7646626363976 -689.564354849336</f>
        <v>-1270.9047160897867</v>
      </c>
      <c r="J689" t="s">
        <v>6592</v>
      </c>
      <c r="K689" t="s">
        <v>6593</v>
      </c>
      <c r="L689" t="s">
        <v>6594</v>
      </c>
      <c r="M689" t="s">
        <v>6595</v>
      </c>
      <c r="N689">
        <f>-599.9093286511 -47.0575335545013 -558.108475544609</f>
        <v>-1205.0753377502103</v>
      </c>
      <c r="O689">
        <f>-611.831429539781 -179.675863677504 -523.933894742675</f>
        <v>-1315.44118795996</v>
      </c>
      <c r="P689">
        <f>-652.197041546853 -224.10170613528 -235.857289296452</f>
        <v>-1112.156036978585</v>
      </c>
      <c r="Q689">
        <f>-460.666528470735 -96.567025516641 -307.283966813053</f>
        <v>-864.517520800429</v>
      </c>
      <c r="R689" t="s">
        <v>6596</v>
      </c>
      <c r="S689" t="s">
        <v>6597</v>
      </c>
      <c r="T689" t="s">
        <v>6598</v>
      </c>
      <c r="U689" t="s">
        <v>6599</v>
      </c>
      <c r="V689">
        <f>-569.152854378954 -86.9860782633145 -96.8088864666739</f>
        <v>-752.94781910894244</v>
      </c>
      <c r="W689" t="s">
        <v>6600</v>
      </c>
      <c r="X689" t="s">
        <v>6601</v>
      </c>
      <c r="Y689" t="s">
        <v>6602</v>
      </c>
    </row>
    <row r="690" spans="1:25" x14ac:dyDescent="0.3">
      <c r="A690">
        <v>34450</v>
      </c>
      <c r="B690" t="s">
        <v>6603</v>
      </c>
      <c r="C690" t="s">
        <v>6604</v>
      </c>
      <c r="D690">
        <f>-604.136588299845 -1.94049139658159 -213.805706750485</f>
        <v>-819.88278644691161</v>
      </c>
      <c r="E690">
        <f>-609.916866407865 -7.56568404181894 -312.099223773628</f>
        <v>-929.58177422331187</v>
      </c>
      <c r="F690">
        <f>-610.49403516758 -12.112064813281 -401.07808698864</f>
        <v>-1023.6841869695011</v>
      </c>
      <c r="G690">
        <f>-606.054562920522 -16.2652292681178 -489.967180111732</f>
        <v>-1112.2869723003719</v>
      </c>
      <c r="H690">
        <f>-594.587794960057 -21.8136796105525 -613.896845713484</f>
        <v>-1230.2983202840935</v>
      </c>
      <c r="I690">
        <f>-560.668922918012 -21.0946467683145 -689.752174315735</f>
        <v>-1271.5157440020616</v>
      </c>
      <c r="J690" t="s">
        <v>6605</v>
      </c>
      <c r="K690" t="s">
        <v>6606</v>
      </c>
      <c r="L690" t="s">
        <v>6607</v>
      </c>
      <c r="M690" t="s">
        <v>6608</v>
      </c>
      <c r="N690">
        <f>-600.385223371138 -47.0460527770611 -558.192071062248</f>
        <v>-1205.623347210447</v>
      </c>
      <c r="O690">
        <f>-611.611640646315 -179.85059501238 -524.543816407124</f>
        <v>-1316.0060520658189</v>
      </c>
      <c r="P690">
        <f>-650.16234945311 -227.922354457065 -236.804012617383</f>
        <v>-1114.888716527558</v>
      </c>
      <c r="Q690">
        <f>-459.823427233822 -99.3350502792871 -309.517811918875</f>
        <v>-868.67628943198406</v>
      </c>
      <c r="R690" t="s">
        <v>6609</v>
      </c>
      <c r="S690" t="s">
        <v>6610</v>
      </c>
      <c r="T690" t="s">
        <v>6611</v>
      </c>
      <c r="U690" t="s">
        <v>6612</v>
      </c>
      <c r="V690">
        <f>-568.727880638421 -87.7135070167074 -96.7652916359289</f>
        <v>-753.20667929105718</v>
      </c>
      <c r="W690" t="s">
        <v>6613</v>
      </c>
      <c r="X690" t="s">
        <v>6614</v>
      </c>
      <c r="Y690" t="s">
        <v>6615</v>
      </c>
    </row>
    <row r="691" spans="1:25" x14ac:dyDescent="0.3">
      <c r="A691">
        <v>34500</v>
      </c>
      <c r="B691" t="s">
        <v>6616</v>
      </c>
      <c r="C691" t="s">
        <v>6617</v>
      </c>
      <c r="D691">
        <f>-604.386777693948 -3.30176349219232 -213.797821400408</f>
        <v>-821.48636258654835</v>
      </c>
      <c r="E691">
        <f>-610.491688886765 -8.75022431413527 -312.081499185778</f>
        <v>-931.32341238667823</v>
      </c>
      <c r="F691">
        <f>-611.394303916777 -12.9555102760144 -401.074544921546</f>
        <v>-1025.4243591143372</v>
      </c>
      <c r="G691">
        <f>-607.304987483004 -16.5853918906221 -490.003275191993</f>
        <v>-1113.893654565619</v>
      </c>
      <c r="H691">
        <f>-596.346165736265 -21.2142379660922 -614.016570491641</f>
        <v>-1231.5769741939982</v>
      </c>
      <c r="I691">
        <f>-563.160170391179 -19.6870082949499 -690.183447083857</f>
        <v>-1273.0306257699858</v>
      </c>
      <c r="J691" t="s">
        <v>6618</v>
      </c>
      <c r="K691" t="s">
        <v>6619</v>
      </c>
      <c r="L691" t="s">
        <v>6620</v>
      </c>
      <c r="M691" t="s">
        <v>6621</v>
      </c>
      <c r="N691">
        <f>-601.726736093053 -46.8631686348194 -558.460366574156</f>
        <v>-1207.0502713020282</v>
      </c>
      <c r="O691">
        <f>-611.702974520831 -180.038952683144 -525.868901011634</f>
        <v>-1317.610828215609</v>
      </c>
      <c r="P691">
        <f>-643.359450408565 -239.601491146572 -239.440196254764</f>
        <v>-1122.401137809901</v>
      </c>
      <c r="Q691">
        <f>-457.167410897513 -106.779901234604 -315.214885438439</f>
        <v>-879.16219757055592</v>
      </c>
      <c r="R691" t="s">
        <v>6622</v>
      </c>
      <c r="S691" t="s">
        <v>6623</v>
      </c>
      <c r="T691" t="s">
        <v>6624</v>
      </c>
      <c r="U691" t="s">
        <v>6625</v>
      </c>
      <c r="V691">
        <f>-567.983156274335 -88.6942253545062 -96.7525276422344</f>
        <v>-753.42990927107564</v>
      </c>
      <c r="W691" t="s">
        <v>6626</v>
      </c>
      <c r="X691" t="s">
        <v>6627</v>
      </c>
      <c r="Y691" t="s">
        <v>6628</v>
      </c>
    </row>
    <row r="692" spans="1:25" x14ac:dyDescent="0.3">
      <c r="A692">
        <v>34550</v>
      </c>
      <c r="B692" t="s">
        <v>6629</v>
      </c>
      <c r="C692" t="s">
        <v>6630</v>
      </c>
      <c r="D692">
        <f>-604.550267330988 -3.88105487766256 -213.814499052654</f>
        <v>-822.24582126130463</v>
      </c>
      <c r="E692">
        <f>-610.799605073967 -9.25166970802525 -312.093564434782</f>
        <v>-932.14483921677424</v>
      </c>
      <c r="F692">
        <f>-611.846479093184 -13.322435924222 -401.091206747871</f>
        <v>-1026.2601217652771</v>
      </c>
      <c r="G692">
        <f>-607.912456839694 -16.7525477226459 -490.035026664983</f>
        <v>-1114.7000312273228</v>
      </c>
      <c r="H692">
        <f>-597.179737401408 -21.0342146041894 -614.080541719739</f>
        <v>-1232.2944937253365</v>
      </c>
      <c r="I692">
        <f>-564.30612947941 -19.1077383784364 -690.373684158994</f>
        <v>-1273.7875520168404</v>
      </c>
      <c r="J692" t="s">
        <v>6631</v>
      </c>
      <c r="K692" t="s">
        <v>6632</v>
      </c>
      <c r="L692" t="s">
        <v>6633</v>
      </c>
      <c r="M692" t="s">
        <v>6634</v>
      </c>
      <c r="N692">
        <f>-602.387982085431 -46.8398524302661 -558.580415612129</f>
        <v>-1207.8082501278259</v>
      </c>
      <c r="O692">
        <f>-611.908950012879 -180.160202709982 -526.442647495118</f>
        <v>-1318.5118002179788</v>
      </c>
      <c r="P692">
        <f>-638.562513099597 -247.015006196199 -241.116109580683</f>
        <v>-1126.6936288764791</v>
      </c>
      <c r="Q692">
        <f>-455.404973681894 -110.938669701953 -318.49472891927</f>
        <v>-884.83837230311701</v>
      </c>
      <c r="R692" t="s">
        <v>6635</v>
      </c>
      <c r="S692" t="s">
        <v>6636</v>
      </c>
      <c r="T692" t="s">
        <v>6637</v>
      </c>
      <c r="U692" t="s">
        <v>6638</v>
      </c>
      <c r="V692">
        <f>-567.763664634246 -89.2593208488174 -96.7728542173122</f>
        <v>-753.79583970037561</v>
      </c>
      <c r="W692" t="s">
        <v>6639</v>
      </c>
      <c r="X692" t="s">
        <v>6640</v>
      </c>
      <c r="Y692" t="s">
        <v>6641</v>
      </c>
    </row>
    <row r="693" spans="1:25" x14ac:dyDescent="0.3">
      <c r="A693">
        <v>34600</v>
      </c>
      <c r="B693" t="s">
        <v>6642</v>
      </c>
      <c r="C693" t="s">
        <v>6643</v>
      </c>
      <c r="D693">
        <f>-604.582095561903 -5.24762103979128 -213.900618803728</f>
        <v>-823.73033540542224</v>
      </c>
      <c r="E693">
        <f>-611.038945431312 -10.4542764936627 -312.175091815063</f>
        <v>-933.66831374003777</v>
      </c>
      <c r="F693">
        <f>-612.276499274519 -14.265822572597 -401.181563024785</f>
        <v>-1027.723884871901</v>
      </c>
      <c r="G693">
        <f>-608.532087091484 -17.3214514595963 -490.14732625438</f>
        <v>-1116.0008648054604</v>
      </c>
      <c r="H693">
        <f>-598.059350609446 -20.957047628654 -614.23569449479</f>
        <v>-1233.2520927328901</v>
      </c>
      <c r="I693">
        <f>-565.723194573349 -18.1784741155782 -690.731968795206</f>
        <v>-1274.633637484133</v>
      </c>
      <c r="J693" t="s">
        <v>6644</v>
      </c>
      <c r="K693" t="s">
        <v>6645</v>
      </c>
      <c r="L693" t="s">
        <v>6646</v>
      </c>
      <c r="M693" t="s">
        <v>6647</v>
      </c>
      <c r="N693">
        <f>-603.003223729799 -47.0531721666864 -558.847311263061</f>
        <v>-1208.9037071595462</v>
      </c>
      <c r="O693">
        <f>-611.490897509649 -180.600843975738 -527.379107046732</f>
        <v>-1319.4708485321189</v>
      </c>
      <c r="P693">
        <f>-627.019843891629 -261.856453419817 -244.983107397721</f>
        <v>-1133.8594047091669</v>
      </c>
      <c r="Q693">
        <f>-451.502037814065 -117.947204106671 -325.81922895132</f>
        <v>-895.26847087205601</v>
      </c>
      <c r="R693" t="s">
        <v>6648</v>
      </c>
      <c r="S693" t="s">
        <v>6649</v>
      </c>
      <c r="T693" t="s">
        <v>6650</v>
      </c>
      <c r="U693" t="s">
        <v>6651</v>
      </c>
      <c r="V693">
        <f>-567.325496888644 -90.5474017357883 -96.8712037339551</f>
        <v>-754.74410235838741</v>
      </c>
      <c r="W693" t="s">
        <v>6652</v>
      </c>
      <c r="X693" t="s">
        <v>6653</v>
      </c>
      <c r="Y693" t="s">
        <v>6654</v>
      </c>
    </row>
    <row r="694" spans="1:25" x14ac:dyDescent="0.3">
      <c r="A694">
        <v>34650</v>
      </c>
      <c r="B694" t="s">
        <v>6655</v>
      </c>
      <c r="C694" t="s">
        <v>6656</v>
      </c>
      <c r="D694">
        <f>-604.563240373326 -5.82692153757284 -213.91206060375</f>
        <v>-824.30222251464886</v>
      </c>
      <c r="E694">
        <f>-611.092407594958 -10.9613579954705 -312.185525330223</f>
        <v>-934.23929092065146</v>
      </c>
      <c r="F694">
        <f>-612.379129382343 -14.6632630878153 -401.196009597455</f>
        <v>-1028.2384020676132</v>
      </c>
      <c r="G694">
        <f>-608.666784495037 -17.5632947078807 -490.168238404784</f>
        <v>-1116.3983176077018</v>
      </c>
      <c r="H694">
        <f>-598.219186793776 -20.9315340597773 -614.266286981966</f>
        <v>-1233.4170078355191</v>
      </c>
      <c r="I694">
        <f>-566.081965635257 -17.7240584349597 -690.829492472966</f>
        <v>-1274.6355165431828</v>
      </c>
      <c r="J694" t="s">
        <v>6657</v>
      </c>
      <c r="K694" t="s">
        <v>6658</v>
      </c>
      <c r="L694" t="s">
        <v>6659</v>
      </c>
      <c r="M694" t="s">
        <v>6660</v>
      </c>
      <c r="N694">
        <f>-603.061993284692 -47.147641435633 -558.925668150388</f>
        <v>-1209.1353028707131</v>
      </c>
      <c r="O694">
        <f>-610.959543014227 -180.790978805066 -527.740515495583</f>
        <v>-1319.4910373148759</v>
      </c>
      <c r="P694">
        <f>-620.875745442619 -269.076126437997 -247.207736759276</f>
        <v>-1137.159608639892</v>
      </c>
      <c r="Q694">
        <f>-449.917266791753 -120.487115908189 -329.337648545266</f>
        <v>-899.74203124520795</v>
      </c>
      <c r="R694" t="s">
        <v>6661</v>
      </c>
      <c r="S694" t="s">
        <v>6662</v>
      </c>
      <c r="T694" t="s">
        <v>6663</v>
      </c>
      <c r="U694" t="s">
        <v>6664</v>
      </c>
      <c r="V694">
        <f>-567.066234001854 -90.9974801071273 -96.9104506664272</f>
        <v>-754.97416477540855</v>
      </c>
      <c r="W694" t="s">
        <v>6665</v>
      </c>
      <c r="X694" t="s">
        <v>6666</v>
      </c>
      <c r="Y694" t="s">
        <v>6667</v>
      </c>
    </row>
    <row r="695" spans="1:25" x14ac:dyDescent="0.3">
      <c r="A695">
        <v>34700</v>
      </c>
      <c r="B695" t="s">
        <v>6668</v>
      </c>
      <c r="C695" t="s">
        <v>6669</v>
      </c>
      <c r="D695">
        <f>-604.513242219838 -6.75402003627073 -213.836926708531</f>
        <v>-825.10418896463977</v>
      </c>
      <c r="E695">
        <f>-611.209702244947 -11.8007631707446 -312.103509887049</f>
        <v>-935.11397530274064</v>
      </c>
      <c r="F695">
        <f>-612.593073347862 -15.3403026403114 -401.119223574727</f>
        <v>-1029.0525995629005</v>
      </c>
      <c r="G695">
        <f>-608.919881684306 -17.9914428609638 -490.100803143644</f>
        <v>-1117.0121276889138</v>
      </c>
      <c r="H695">
        <f>-598.465025334291 -20.9202186947362 -614.209344905579</f>
        <v>-1233.5945889346062</v>
      </c>
      <c r="I695">
        <f>-566.627175633786 -16.8510500255084 -690.856678501872</f>
        <v>-1274.3349041611664</v>
      </c>
      <c r="J695" t="s">
        <v>6670</v>
      </c>
      <c r="K695" t="s">
        <v>6671</v>
      </c>
      <c r="L695" t="s">
        <v>6672</v>
      </c>
      <c r="M695" t="s">
        <v>6673</v>
      </c>
      <c r="N695">
        <f>-603.117629599422 -47.3327306462731 -558.945963317359</f>
        <v>-1209.396323563054</v>
      </c>
      <c r="O695">
        <f>-609.763883105822 -181.186219334852 -528.340910694168</f>
        <v>-1319.2910131348419</v>
      </c>
      <c r="P695">
        <f>-608.036108094829 -282.045176594425 -251.907036294302</f>
        <v>-1141.9883209835562</v>
      </c>
      <c r="Q695">
        <f>-447.046697870362 -123.809836511398 -336.137892720411</f>
        <v>-906.9944271021709</v>
      </c>
      <c r="R695" t="s">
        <v>6674</v>
      </c>
      <c r="S695" t="s">
        <v>6675</v>
      </c>
      <c r="T695" t="s">
        <v>6676</v>
      </c>
      <c r="U695" t="s">
        <v>6677</v>
      </c>
      <c r="V695">
        <f>-566.237555233908 -91.7438521954573 -96.9454391276897</f>
        <v>-754.926846557055</v>
      </c>
      <c r="W695" t="s">
        <v>6678</v>
      </c>
      <c r="X695" t="s">
        <v>6679</v>
      </c>
      <c r="Y695" t="s">
        <v>6680</v>
      </c>
    </row>
    <row r="696" spans="1:25" x14ac:dyDescent="0.3">
      <c r="A696">
        <v>34750</v>
      </c>
      <c r="B696" t="s">
        <v>6668</v>
      </c>
      <c r="C696" t="s">
        <v>6669</v>
      </c>
      <c r="D696">
        <f>-604.513242219838 -6.75402003627073 -213.836926708531</f>
        <v>-825.10418896463977</v>
      </c>
      <c r="E696">
        <f>-611.209702244947 -11.8007631707446 -312.103509887049</f>
        <v>-935.11397530274064</v>
      </c>
      <c r="F696">
        <f>-612.593073347862 -15.3403026403114 -401.119223574727</f>
        <v>-1029.0525995629005</v>
      </c>
      <c r="G696">
        <f>-608.919881684306 -17.9914428609638 -490.100803143644</f>
        <v>-1117.0121276889138</v>
      </c>
      <c r="H696">
        <f>-598.465025334291 -20.9202186947362 -614.209344905579</f>
        <v>-1233.5945889346062</v>
      </c>
      <c r="I696">
        <f>-566.627175633786 -16.8510500255084 -690.856678501872</f>
        <v>-1274.3349041611664</v>
      </c>
      <c r="J696" t="s">
        <v>6670</v>
      </c>
      <c r="K696" t="s">
        <v>6671</v>
      </c>
      <c r="L696" t="s">
        <v>6672</v>
      </c>
      <c r="M696" t="s">
        <v>6673</v>
      </c>
      <c r="N696">
        <f>-603.117629599422 -47.3327306462731 -558.945963317359</f>
        <v>-1209.396323563054</v>
      </c>
      <c r="O696">
        <f>-609.763883105822 -181.186219334852 -528.340910694168</f>
        <v>-1319.2910131348419</v>
      </c>
      <c r="P696">
        <f>-608.036108094829 -282.045176594425 -251.907036294302</f>
        <v>-1141.9883209835562</v>
      </c>
      <c r="Q696">
        <f>-447.046697870362 -123.809836511398 -336.137892720411</f>
        <v>-906.9944271021709</v>
      </c>
      <c r="R696" t="s">
        <v>6674</v>
      </c>
      <c r="S696" t="s">
        <v>6675</v>
      </c>
      <c r="T696" t="s">
        <v>6676</v>
      </c>
      <c r="U696" t="s">
        <v>6677</v>
      </c>
      <c r="V696">
        <f>-566.237555233908 -91.7438521954573 -96.9454391276897</f>
        <v>-754.926846557055</v>
      </c>
      <c r="W696" t="s">
        <v>6678</v>
      </c>
      <c r="X696" t="s">
        <v>6679</v>
      </c>
      <c r="Y696" t="s">
        <v>6680</v>
      </c>
    </row>
    <row r="697" spans="1:25" x14ac:dyDescent="0.3">
      <c r="A697">
        <v>34800</v>
      </c>
      <c r="B697" t="s">
        <v>6681</v>
      </c>
      <c r="C697" t="s">
        <v>6682</v>
      </c>
      <c r="D697">
        <f>-604.051995991357 -9.2492451145074 -213.758163483063</f>
        <v>-827.05940458892735</v>
      </c>
      <c r="E697">
        <f>-611.190793178853 -14.2621406458975 -311.99533267881</f>
        <v>-937.44826650356049</v>
      </c>
      <c r="F697">
        <f>-612.938489058321 -17.6440577045662 -401.010838728607</f>
        <v>-1031.5933854914942</v>
      </c>
      <c r="G697">
        <f>-609.589339513574 -20.0083131966976 -490.013390451606</f>
        <v>-1119.6110431618777</v>
      </c>
      <c r="H697">
        <f>-599.540338863052 -22.4008724499649 -614.166903135965</f>
        <v>-1236.108114448982</v>
      </c>
      <c r="I697">
        <f>-568.073178732827 -17.3835468238783 -690.911056964779</f>
        <v>-1276.3677825214845</v>
      </c>
      <c r="J697" t="s">
        <v>6683</v>
      </c>
      <c r="K697" t="s">
        <v>6684</v>
      </c>
      <c r="L697" t="s">
        <v>6685</v>
      </c>
      <c r="M697" t="s">
        <v>6686</v>
      </c>
      <c r="N697">
        <f>-603.768469395806 -49.0508313285652 -558.983544362331</f>
        <v>-1211.8028450867023</v>
      </c>
      <c r="O697">
        <f>-608.748656328594 -183.175660226872 -529.248820169019</f>
        <v>-1321.1731367244852</v>
      </c>
      <c r="P697">
        <f>-585.158800570383 -301.859857605585 -261.016084065375</f>
        <v>-1148.0347422413431</v>
      </c>
      <c r="Q697">
        <f>-439.271660412365 -130.449213375458 -346.958989990915</f>
        <v>-916.67986377873785</v>
      </c>
      <c r="R697" t="s">
        <v>6687</v>
      </c>
      <c r="S697" t="s">
        <v>6688</v>
      </c>
      <c r="T697" t="s">
        <v>6689</v>
      </c>
      <c r="U697" t="s">
        <v>6690</v>
      </c>
      <c r="V697">
        <f>-564.37633440121 -94.061959080065 -96.954006875381</f>
        <v>-755.39230035665594</v>
      </c>
      <c r="W697" t="s">
        <v>6691</v>
      </c>
      <c r="X697" t="s">
        <v>6692</v>
      </c>
      <c r="Y697" t="s">
        <v>6693</v>
      </c>
    </row>
    <row r="698" spans="1:25" x14ac:dyDescent="0.3">
      <c r="A698">
        <v>34850</v>
      </c>
      <c r="B698" t="s">
        <v>6694</v>
      </c>
      <c r="C698" t="s">
        <v>6695</v>
      </c>
      <c r="D698">
        <f>-603.998960765313 -10.1990636488651 -213.760532643891</f>
        <v>-827.95855705806912</v>
      </c>
      <c r="E698">
        <f>-611.267090012653 -15.1541121686766 -311.991295938698</f>
        <v>-938.41249812002752</v>
      </c>
      <c r="F698">
        <f>-613.128724993073 -18.4205580347445 -401.008694109384</f>
        <v>-1032.5579771372015</v>
      </c>
      <c r="G698">
        <f>-609.887924023089 -20.6047964004113 -490.019796255149</f>
        <v>-1120.5125166786493</v>
      </c>
      <c r="H698">
        <f>-599.982674176267 -22.6781618051987 -614.190617714093</f>
        <v>-1236.8514536955586</v>
      </c>
      <c r="I698">
        <f>-568.626558775331 -17.3212663260788 -690.957386006827</f>
        <v>-1276.9052111082369</v>
      </c>
      <c r="J698" t="s">
        <v>6696</v>
      </c>
      <c r="K698" t="s">
        <v>6697</v>
      </c>
      <c r="L698" t="s">
        <v>6698</v>
      </c>
      <c r="M698" t="s">
        <v>6699</v>
      </c>
      <c r="N698">
        <f>-604.039164933205 -49.4688991412031 -559.06235764536</f>
        <v>-1212.5704217197681</v>
      </c>
      <c r="O698">
        <f>-608.412003975541 -183.719249746085 -529.769637871787</f>
        <v>-1321.900891593413</v>
      </c>
      <c r="P698">
        <f>-576.493667029001 -308.067100198672 -264.986593675071</f>
        <v>-1149.547360902744</v>
      </c>
      <c r="Q698">
        <f>-436.144777315268 -131.770292885048 -350.265615147794</f>
        <v>-918.18068534811005</v>
      </c>
      <c r="R698" t="s">
        <v>6700</v>
      </c>
      <c r="S698" t="s">
        <v>6701</v>
      </c>
      <c r="T698" t="s">
        <v>6702</v>
      </c>
      <c r="U698" t="s">
        <v>6703</v>
      </c>
      <c r="V698">
        <f>-563.89197393811 -94.834057067827 -96.9646676746913</f>
        <v>-755.69069868062832</v>
      </c>
      <c r="W698" t="s">
        <v>6704</v>
      </c>
      <c r="X698" t="s">
        <v>6705</v>
      </c>
      <c r="Y698" t="s">
        <v>6706</v>
      </c>
    </row>
    <row r="699" spans="1:25" x14ac:dyDescent="0.3">
      <c r="A699">
        <v>34900</v>
      </c>
      <c r="B699" t="s">
        <v>6707</v>
      </c>
      <c r="C699">
        <f>-580.087682539133 -1.34192590734938 -100.869179966744</f>
        <v>-682.29878841322636</v>
      </c>
      <c r="D699">
        <f>-603.904958314384 -11.8173711762618 -213.737384248889</f>
        <v>-829.45971373953466</v>
      </c>
      <c r="E699">
        <f>-611.347790284939 -16.5836725359954 -311.964329290025</f>
        <v>-939.89579211095952</v>
      </c>
      <c r="F699">
        <f>-613.358099689773 -19.537770531012 -400.989411298285</f>
        <v>-1033.8852815190701</v>
      </c>
      <c r="G699">
        <f>-610.252744476174 -21.262317992592 -490.015433202783</f>
        <v>-1121.530495671549</v>
      </c>
      <c r="H699">
        <f>-600.518594260356 -22.5368764145653 -614.210528599477</f>
        <v>-1237.2659992743984</v>
      </c>
      <c r="I699">
        <f>-569.371245225771 -16.3866291806823 -691.002809472176</f>
        <v>-1276.7606838786292</v>
      </c>
      <c r="J699" t="s">
        <v>6708</v>
      </c>
      <c r="K699" t="s">
        <v>6709</v>
      </c>
      <c r="L699" t="s">
        <v>6710</v>
      </c>
      <c r="M699" t="s">
        <v>6711</v>
      </c>
      <c r="N699">
        <f>-604.204915289282 -49.6766659910163 -559.2273125574</f>
        <v>-1213.1088938376984</v>
      </c>
      <c r="O699">
        <f>-606.918678839397 -184.175376645627 -530.952099677453</f>
        <v>-1322.0461551624771</v>
      </c>
      <c r="P699">
        <f>-557.873443030144 -318.77341573734 -273.913029801928</f>
        <v>-1150.5598885694121</v>
      </c>
      <c r="Q699">
        <f>-429.01059891872 -133.04682136647 -357.284952365593</f>
        <v>-919.34237265078309</v>
      </c>
      <c r="R699" t="s">
        <v>6712</v>
      </c>
      <c r="S699" t="s">
        <v>6713</v>
      </c>
      <c r="T699" t="s">
        <v>6714</v>
      </c>
      <c r="U699" t="s">
        <v>6715</v>
      </c>
      <c r="V699">
        <f>-562.841546293193 -96.1832345891978 -97.0217678965867</f>
        <v>-756.04654877897747</v>
      </c>
      <c r="W699" t="s">
        <v>6716</v>
      </c>
      <c r="X699" t="s">
        <v>6717</v>
      </c>
      <c r="Y699" t="s">
        <v>6718</v>
      </c>
    </row>
    <row r="700" spans="1:25" x14ac:dyDescent="0.3">
      <c r="A700">
        <v>34950</v>
      </c>
      <c r="B700" t="s">
        <v>6719</v>
      </c>
      <c r="C700">
        <f>-580.034231496812 -2.18443662066602 -100.86862403519</f>
        <v>-683.08729215266806</v>
      </c>
      <c r="D700">
        <f>-603.970079667209 -12.8053367997056 -213.69816130474</f>
        <v>-830.47357777165462</v>
      </c>
      <c r="E700">
        <f>-611.509322078888 -17.4736326157561 -311.922419521372</f>
        <v>-940.90537421601607</v>
      </c>
      <c r="F700">
        <f>-613.599921703471 -20.2484454790863 -400.951638540291</f>
        <v>-1034.8000057228483</v>
      </c>
      <c r="G700">
        <f>-610.566160274275 -21.6984465579687 -489.98491559244</f>
        <v>-1122.2495224246838</v>
      </c>
      <c r="H700">
        <f>-600.920122137442 -22.487273043175 -614.190867002722</f>
        <v>-1237.5982621833391</v>
      </c>
      <c r="I700">
        <f>-569.884523039939 -15.8573568686354 -690.988509209645</f>
        <v>-1276.7303891182196</v>
      </c>
      <c r="J700" t="s">
        <v>6720</v>
      </c>
      <c r="K700" t="s">
        <v>6721</v>
      </c>
      <c r="L700" t="s">
        <v>6722</v>
      </c>
      <c r="M700" t="s">
        <v>6723</v>
      </c>
      <c r="N700">
        <f>-604.373155926814 -49.8367134871685 -559.296577909669</f>
        <v>-1213.5064473236516</v>
      </c>
      <c r="O700">
        <f>-606.01927331263 -184.447773525723 -531.528769622647</f>
        <v>-1321.9958164610002</v>
      </c>
      <c r="P700">
        <f>-549.040242549271 -322.215839814771 -277.827151017259</f>
        <v>-1149.0832333813009</v>
      </c>
      <c r="Q700">
        <f>-425.321526695677 -132.838609167318 -360.777945036954</f>
        <v>-918.938080899949</v>
      </c>
      <c r="R700" t="s">
        <v>6724</v>
      </c>
      <c r="S700" t="s">
        <v>6725</v>
      </c>
      <c r="T700" t="s">
        <v>6726</v>
      </c>
      <c r="U700" t="s">
        <v>6727</v>
      </c>
      <c r="V700">
        <f>-562.501535614202 -97.0227952469572 -97.0141306337902</f>
        <v>-756.53846149494939</v>
      </c>
      <c r="W700" t="s">
        <v>6728</v>
      </c>
      <c r="X700" t="s">
        <v>6729</v>
      </c>
      <c r="Y700" t="s">
        <v>6730</v>
      </c>
    </row>
    <row r="701" spans="1:25" x14ac:dyDescent="0.3">
      <c r="A701">
        <v>35000</v>
      </c>
      <c r="B701" t="s">
        <v>6731</v>
      </c>
      <c r="C701">
        <f>-579.879426425653 -4.16841323244034 -100.848264666236</f>
        <v>-684.89610432432937</v>
      </c>
      <c r="D701">
        <f>-603.964456296461 -15.1061768620309 -213.615675904783</f>
        <v>-832.68630906327485</v>
      </c>
      <c r="E701">
        <f>-611.665888029132 -19.6275566324914 -311.834310115645</f>
        <v>-943.12775477726836</v>
      </c>
      <c r="F701">
        <f>-613.908295512345 -22.1011715746099 -400.868632026437</f>
        <v>-1036.878099113392</v>
      </c>
      <c r="G701">
        <f>-611.027012529375 -23.0728635849014 -489.913511473249</f>
        <v>-1124.0133875875254</v>
      </c>
      <c r="H701">
        <f>-601.59073088222 -23.0039835559514 -614.138203589008</f>
        <v>-1238.7329180271795</v>
      </c>
      <c r="I701">
        <f>-570.805527135145 -15.4086063463144 -690.947122142193</f>
        <v>-1277.1612556236523</v>
      </c>
      <c r="J701" t="s">
        <v>6732</v>
      </c>
      <c r="K701" t="s">
        <v>6733</v>
      </c>
      <c r="L701" t="s">
        <v>6734</v>
      </c>
      <c r="M701" t="s">
        <v>6735</v>
      </c>
      <c r="N701">
        <f>-604.529794944037 -50.7166347921768 -559.39620341399</f>
        <v>-1214.6426331502039</v>
      </c>
      <c r="O701">
        <f>-603.788674560434 -185.499696924804 -532.420783607831</f>
        <v>-1321.7091550930691</v>
      </c>
      <c r="P701">
        <f>-533.157376740071 -325.387879783513 -283.355181620849</f>
        <v>-1141.9004381444329</v>
      </c>
      <c r="Q701">
        <f>-417.581580782931 -131.576347534538 -367.795144293626</f>
        <v>-916.95307261109497</v>
      </c>
      <c r="R701" t="s">
        <v>6736</v>
      </c>
      <c r="S701" t="s">
        <v>6737</v>
      </c>
      <c r="T701" t="s">
        <v>6738</v>
      </c>
      <c r="U701" t="s">
        <v>6739</v>
      </c>
      <c r="V701">
        <f>-561.362172441902 -98.7810803844588 -96.9944636409582</f>
        <v>-757.13771646731902</v>
      </c>
      <c r="W701" t="s">
        <v>6740</v>
      </c>
      <c r="X701" t="s">
        <v>6741</v>
      </c>
      <c r="Y701" t="s">
        <v>6742</v>
      </c>
    </row>
    <row r="702" spans="1:25" x14ac:dyDescent="0.3">
      <c r="A702">
        <v>35050</v>
      </c>
      <c r="B702" t="s">
        <v>6743</v>
      </c>
      <c r="C702">
        <f>-579.814940466669 -5.32344220219875 -100.840281790046</f>
        <v>-685.97866445891373</v>
      </c>
      <c r="D702">
        <f>-603.945369775884 -16.435455384029 -213.580959865398</f>
        <v>-833.96178502531097</v>
      </c>
      <c r="E702">
        <f>-611.721792731403 -20.9155625251342 -311.79565981093</f>
        <v>-944.43301506746707</v>
      </c>
      <c r="F702">
        <f>-614.042391412167 -23.2761683795252 -400.830985777876</f>
        <v>-1038.1495455695681</v>
      </c>
      <c r="G702">
        <f>-611.247874867324 -24.054805570305 -489.880478632161</f>
        <v>-1125.18315906979</v>
      </c>
      <c r="H702">
        <f>-601.939520626877 -23.630777860192 -614.114135650906</f>
        <v>-1239.6844341379749</v>
      </c>
      <c r="I702">
        <f>-571.289656863195 -15.5535992319694 -690.928132026732</f>
        <v>-1277.7713881218965</v>
      </c>
      <c r="J702" t="s">
        <v>6744</v>
      </c>
      <c r="K702" t="s">
        <v>6745</v>
      </c>
      <c r="L702" t="s">
        <v>6746</v>
      </c>
      <c r="M702" t="s">
        <v>6747</v>
      </c>
      <c r="N702">
        <f>-604.594993631829 -51.488947093583 -559.431519058141</f>
        <v>-1215.5154597835531</v>
      </c>
      <c r="O702">
        <f>-602.571249222453 -186.323339240175 -532.756244670556</f>
        <v>-1321.6508331331841</v>
      </c>
      <c r="P702">
        <f>-526.551492646554 -325.126716417786 -284.671975884688</f>
        <v>-1136.3501849490281</v>
      </c>
      <c r="Q702">
        <f>-413.449658646409 -130.90331477458 -371.48246890348</f>
        <v>-915.835442324469</v>
      </c>
      <c r="R702" t="s">
        <v>6748</v>
      </c>
      <c r="S702" t="s">
        <v>6749</v>
      </c>
      <c r="T702" t="s">
        <v>6750</v>
      </c>
      <c r="U702" t="s">
        <v>6751</v>
      </c>
      <c r="V702">
        <f>-560.778582976265 -99.9158621983704 -96.9869088134652</f>
        <v>-757.68135398810068</v>
      </c>
      <c r="W702" t="s">
        <v>6752</v>
      </c>
      <c r="X702" t="s">
        <v>6753</v>
      </c>
      <c r="Y702" t="s">
        <v>6754</v>
      </c>
    </row>
    <row r="703" spans="1:25" x14ac:dyDescent="0.3">
      <c r="A703">
        <v>35100</v>
      </c>
      <c r="B703" t="s">
        <v>6755</v>
      </c>
      <c r="C703">
        <f>-579.641416962201 -7.9890228145498 -100.803509397817</f>
        <v>-688.43394917456783</v>
      </c>
      <c r="D703">
        <f>-603.834068328971 -19.52817771777 -213.487967134502</f>
        <v>-836.85021318124291</v>
      </c>
      <c r="E703">
        <f>-611.768224719258 -23.979109971956 -311.691269923511</f>
        <v>-947.43860461472491</v>
      </c>
      <c r="F703">
        <f>-614.26364226049 -26.1594060937882 -400.726477399524</f>
        <v>-1041.1495257538022</v>
      </c>
      <c r="G703">
        <f>-611.672030537729 -26.5960906534872 -489.784436762887</f>
        <v>-1128.0525579541031</v>
      </c>
      <c r="H703">
        <f>-602.672187101929 -25.523147143288 -614.036961586719</f>
        <v>-1242.232295831936</v>
      </c>
      <c r="I703">
        <f>-572.325186631095 -16.4992653148458 -690.865685543135</f>
        <v>-1279.6901374890758</v>
      </c>
      <c r="J703" t="s">
        <v>6756</v>
      </c>
      <c r="K703" t="s">
        <v>6757</v>
      </c>
      <c r="L703" t="s">
        <v>6758</v>
      </c>
      <c r="M703" t="s">
        <v>6759</v>
      </c>
      <c r="N703">
        <f>-604.729777062316 -53.6387549555986 -559.460465554239</f>
        <v>-1217.8289975721536</v>
      </c>
      <c r="O703">
        <f>-600.106203409574 -188.512221907452 -533.282678090652</f>
        <v>-1321.901103407678</v>
      </c>
      <c r="P703">
        <f>-515.708231829887 -323.268385611258 -285.676226220348</f>
        <v>-1124.6528436614931</v>
      </c>
      <c r="Q703">
        <f>-406.23609329767 -130.405373222372 -379.859757930899</f>
        <v>-916.50122445094098</v>
      </c>
      <c r="R703" t="s">
        <v>6760</v>
      </c>
      <c r="S703" t="s">
        <v>6761</v>
      </c>
      <c r="T703" t="s">
        <v>6762</v>
      </c>
      <c r="U703" t="s">
        <v>6763</v>
      </c>
      <c r="V703">
        <f>-559.427524312821 -102.475493821129 -96.9361993609649</f>
        <v>-758.83921749491492</v>
      </c>
      <c r="W703" t="s">
        <v>6764</v>
      </c>
      <c r="X703" t="s">
        <v>6765</v>
      </c>
      <c r="Y703" t="s">
        <v>6766</v>
      </c>
    </row>
    <row r="704" spans="1:25" x14ac:dyDescent="0.3">
      <c r="A704">
        <v>35150</v>
      </c>
      <c r="B704" t="s">
        <v>6767</v>
      </c>
      <c r="C704">
        <f>-579.428203644086 -9.29036578545993 -100.775281149244</f>
        <v>-689.49385057878999</v>
      </c>
      <c r="D704">
        <f>-603.666930517955 -21.0686542209312 -213.425166898984</f>
        <v>-838.16075163787025</v>
      </c>
      <c r="E704">
        <f>-611.68998323752 -25.5221104150792 -311.621147655485</f>
        <v>-948.8332413080841</v>
      </c>
      <c r="F704">
        <f>-614.280405424199 -27.6263136685864 -400.655381753084</f>
        <v>-1042.5621008458693</v>
      </c>
      <c r="G704">
        <f>-611.796372507161 -27.9047712556994 -489.71711015055</f>
        <v>-1129.4182539134104</v>
      </c>
      <c r="H704">
        <f>-602.95752538477 -26.5245233374196 -613.97810912529</f>
        <v>-1243.4601578474794</v>
      </c>
      <c r="I704">
        <f>-572.765231504681 -17.0506938229612 -690.813633277299</f>
        <v>-1280.6295586049412</v>
      </c>
      <c r="J704" t="s">
        <v>6768</v>
      </c>
      <c r="K704" t="s">
        <v>6769</v>
      </c>
      <c r="L704" t="s">
        <v>6770</v>
      </c>
      <c r="M704" t="s">
        <v>6771</v>
      </c>
      <c r="N704">
        <f>-604.703939413485 -54.7575923793404 -559.451404819969</f>
        <v>-1218.9129366127945</v>
      </c>
      <c r="O704">
        <f>-598.716272880936 -189.625888058784 -533.494416907075</f>
        <v>-1321.8365778467951</v>
      </c>
      <c r="P704">
        <f>-510.700212985954 -322.133753081192 -285.934265764777</f>
        <v>-1118.768231831923</v>
      </c>
      <c r="Q704">
        <f>-403.301673631119 -130.232971302919 -384.374798755858</f>
        <v>-917.90944368989597</v>
      </c>
      <c r="R704" t="s">
        <v>6772</v>
      </c>
      <c r="S704" t="s">
        <v>6773</v>
      </c>
      <c r="T704" t="s">
        <v>6774</v>
      </c>
      <c r="U704" t="s">
        <v>6775</v>
      </c>
      <c r="V704">
        <f>-558.462957844493 -103.609312836354 -96.9035543441223</f>
        <v>-758.97582502496925</v>
      </c>
      <c r="W704" t="s">
        <v>6776</v>
      </c>
      <c r="X704" t="s">
        <v>6777</v>
      </c>
      <c r="Y704" t="s">
        <v>6778</v>
      </c>
    </row>
    <row r="705" spans="1:25" x14ac:dyDescent="0.3">
      <c r="A705">
        <v>35200</v>
      </c>
      <c r="B705" t="s">
        <v>6779</v>
      </c>
      <c r="C705">
        <f>-579.057505098873 -12.1037024301781 -100.665916991335</f>
        <v>-691.82712452038618</v>
      </c>
      <c r="D705">
        <f>-603.437586433428 -24.3679502634009 -213.233266660999</f>
        <v>-841.03880335782787</v>
      </c>
      <c r="E705">
        <f>-611.674408994314 -28.8546242268251 -311.410092727013</f>
        <v>-951.9391259481522</v>
      </c>
      <c r="F705">
        <f>-614.485018411135 -30.8409868962297 -400.440364953641</f>
        <v>-1045.7663702610057</v>
      </c>
      <c r="G705">
        <f>-612.243880324064 -30.846703431074 -489.50906125786</f>
        <v>-1132.5996450129981</v>
      </c>
      <c r="H705">
        <f>-603.764138459903 -28.9210399786164 -613.787688001128</f>
        <v>-1246.4728664396475</v>
      </c>
      <c r="I705">
        <f>-573.886443159781 -18.5914471453655 -690.636042717478</f>
        <v>-1283.1139330226245</v>
      </c>
      <c r="J705">
        <f>-610.113686093589 -2.18450789880512 -558.850047553219</f>
        <v>-1171.148241545613</v>
      </c>
      <c r="K705" t="s">
        <v>6780</v>
      </c>
      <c r="L705" t="s">
        <v>6781</v>
      </c>
      <c r="M705" t="s">
        <v>6782</v>
      </c>
      <c r="N705">
        <f>-604.8776818553 -57.3524137523434 -559.34753342596</f>
        <v>-1221.5776290336034</v>
      </c>
      <c r="O705">
        <f>-596.230827186818 -192.150254237217 -533.778052344687</f>
        <v>-1322.1591337687221</v>
      </c>
      <c r="P705">
        <f>-501.037095890523 -321.21228838323 -287.054869555428</f>
        <v>-1109.3042538291811</v>
      </c>
      <c r="Q705">
        <f>-398.606690365929 -131.347192494539 -394.340149302093</f>
        <v>-924.29403216256094</v>
      </c>
      <c r="R705" t="s">
        <v>6783</v>
      </c>
      <c r="S705" t="s">
        <v>6784</v>
      </c>
      <c r="T705" t="s">
        <v>6785</v>
      </c>
      <c r="U705" t="s">
        <v>6786</v>
      </c>
      <c r="V705">
        <f>-556.781107908539 -106.307990030021 -96.7831186608404</f>
        <v>-759.8722165994003</v>
      </c>
      <c r="W705" t="s">
        <v>6787</v>
      </c>
      <c r="X705" t="s">
        <v>6788</v>
      </c>
      <c r="Y705" t="s">
        <v>6789</v>
      </c>
    </row>
    <row r="706" spans="1:25" x14ac:dyDescent="0.3">
      <c r="A706">
        <v>35250</v>
      </c>
      <c r="B706" t="s">
        <v>6790</v>
      </c>
      <c r="C706">
        <f>-578.915588414042 -13.4142899420597 -100.623120209555</f>
        <v>-692.95299856565657</v>
      </c>
      <c r="D706">
        <f>-603.374283601315 -25.9018113916666 -213.148916858238</f>
        <v>-842.42501185121955</v>
      </c>
      <c r="E706">
        <f>-611.704693857705 -30.3878218077004 -311.317846052739</f>
        <v>-953.41036171814449</v>
      </c>
      <c r="F706">
        <f>-614.606070476901 -32.2975297579296 -400.346940140261</f>
        <v>-1047.2505403750915</v>
      </c>
      <c r="G706">
        <f>-612.460627853 -32.1457980755802 -489.417724621197</f>
        <v>-1134.0241505497772</v>
      </c>
      <c r="H706">
        <f>-604.117656381291 -29.9137937629448 -613.700516898114</f>
        <v>-1247.7319670423499</v>
      </c>
      <c r="I706">
        <f>-574.379601625346 -19.1401717690342 -690.542002937538</f>
        <v>-1284.0617763319183</v>
      </c>
      <c r="J706">
        <f>-610.666520581666 -3.33845598510675 -558.708113690499</f>
        <v>-1172.7130902572717</v>
      </c>
      <c r="K706" t="s">
        <v>6791</v>
      </c>
      <c r="L706" t="s">
        <v>6792</v>
      </c>
      <c r="M706" t="s">
        <v>6793</v>
      </c>
      <c r="N706">
        <f>-604.911418416913 -58.4535904621437 -559.311530658161</f>
        <v>-1222.6765395372176</v>
      </c>
      <c r="O706">
        <f>-594.932308259478 -193.198370031073 -533.909512575618</f>
        <v>-1322.040190866169</v>
      </c>
      <c r="P706">
        <f>-495.937420126783 -320.908396335041 -287.979679558222</f>
        <v>-1104.8254960200461</v>
      </c>
      <c r="Q706">
        <f>-396.689914499641 -132.543552138724 -400.760419805572</f>
        <v>-929.99388644393707</v>
      </c>
      <c r="R706" t="s">
        <v>6794</v>
      </c>
      <c r="S706" t="s">
        <v>6795</v>
      </c>
      <c r="T706" t="s">
        <v>6796</v>
      </c>
      <c r="U706" t="s">
        <v>6797</v>
      </c>
      <c r="V706">
        <f>-555.943907610009 -107.564623135369 -96.7281799804688</f>
        <v>-760.23671072584682</v>
      </c>
      <c r="W706" t="s">
        <v>6798</v>
      </c>
      <c r="X706" t="s">
        <v>6799</v>
      </c>
      <c r="Y706" t="s">
        <v>6800</v>
      </c>
    </row>
    <row r="707" spans="1:25" x14ac:dyDescent="0.3">
      <c r="A707">
        <v>35300</v>
      </c>
      <c r="B707" t="s">
        <v>6801</v>
      </c>
      <c r="C707">
        <f>-579.041405529378 -16.0018263808388 -100.551829848077</f>
        <v>-695.59506175829381</v>
      </c>
      <c r="D707">
        <f>-603.481628533749 -28.8429367967933 -213.041843860069</f>
        <v>-845.36640919061131</v>
      </c>
      <c r="E707">
        <f>-611.868628551847 -33.3255850515814 -311.206067579102</f>
        <v>-956.40028118253031</v>
      </c>
      <c r="F707">
        <f>-614.844325084411 -35.1122171392378 -400.235324935646</f>
        <v>-1050.1918671592948</v>
      </c>
      <c r="G707">
        <f>-612.794623237095 -34.7067943437287 -489.307613163582</f>
        <v>-1136.8090307444058</v>
      </c>
      <c r="H707">
        <f>-604.60562804685 -31.9809228716902 -613.590850275473</f>
        <v>-1250.1774011940133</v>
      </c>
      <c r="I707">
        <f>-575.202767673032 -20.3943288331959 -690.443036037938</f>
        <v>-1286.0401325441658</v>
      </c>
      <c r="J707">
        <f>-611.589872883384 -5.68107336538628 -558.519449911082</f>
        <v>-1175.7903961598522</v>
      </c>
      <c r="K707" t="s">
        <v>6802</v>
      </c>
      <c r="L707" t="s">
        <v>6803</v>
      </c>
      <c r="M707" t="s">
        <v>6804</v>
      </c>
      <c r="N707">
        <f>-604.828579552648 -60.6799141845181 -559.280235670005</f>
        <v>-1224.7887294071711</v>
      </c>
      <c r="O707">
        <f>-592.302951498755 -195.292446817603 -534.321820689442</f>
        <v>-1321.9172190058</v>
      </c>
      <c r="P707">
        <f>-485.60854306749 -321.286371008474 -290.738093405946</f>
        <v>-1097.63300748191</v>
      </c>
      <c r="Q707">
        <f>-395.629853699117 -136.95383013807 -417.13513597217</f>
        <v>-949.718819809357</v>
      </c>
      <c r="R707" t="s">
        <v>6805</v>
      </c>
      <c r="S707" t="s">
        <v>6806</v>
      </c>
      <c r="T707" t="s">
        <v>6807</v>
      </c>
      <c r="U707" t="s">
        <v>6808</v>
      </c>
      <c r="V707">
        <f>-554.815909273184 -110.038330026478 -96.5829481568333</f>
        <v>-761.43718745649528</v>
      </c>
      <c r="W707" t="s">
        <v>6809</v>
      </c>
      <c r="X707" t="s">
        <v>6810</v>
      </c>
      <c r="Y707" t="s">
        <v>6811</v>
      </c>
    </row>
    <row r="708" spans="1:25" x14ac:dyDescent="0.3">
      <c r="A708">
        <v>35350</v>
      </c>
      <c r="B708" t="s">
        <v>6812</v>
      </c>
      <c r="C708">
        <f>-579.288000737436 -17.3573973764023 -100.485073583276</f>
        <v>-697.13047169711444</v>
      </c>
      <c r="D708">
        <f>-603.61618250105 -30.3316424033508 -212.984060803201</f>
        <v>-846.93188570760185</v>
      </c>
      <c r="E708">
        <f>-611.965559411069 -34.8065109992567 -311.151866165258</f>
        <v>-957.92393657558364</v>
      </c>
      <c r="F708">
        <f>-614.927682316751 -36.5399302552971 -400.182530317143</f>
        <v>-1051.6501428891911</v>
      </c>
      <c r="G708">
        <f>-612.884093218726 -36.0326311214444 -489.254526172346</f>
        <v>-1138.1712505125165</v>
      </c>
      <c r="H708">
        <f>-604.722782631668 -33.1120727478824 -613.535073050998</f>
        <v>-1251.3699284305485</v>
      </c>
      <c r="I708">
        <f>-575.472956084135 -21.1574287797894 -690.389307987988</f>
        <v>-1287.0196928519124</v>
      </c>
      <c r="J708">
        <f>-611.895275684919 -6.92370904743666 -558.434946408359</f>
        <v>-1177.2539311407147</v>
      </c>
      <c r="K708" t="s">
        <v>6813</v>
      </c>
      <c r="L708" t="s">
        <v>6814</v>
      </c>
      <c r="M708" t="s">
        <v>6815</v>
      </c>
      <c r="N708">
        <f>-604.733074750957 -61.8708617476304 -559.255843179351</f>
        <v>-1225.8597796779386</v>
      </c>
      <c r="O708">
        <f>-591.208909606192 -196.433998728608 -534.583752430975</f>
        <v>-1322.226660765775</v>
      </c>
      <c r="P708">
        <f>-480.313901471835 -322.272125337839 -292.802252785756</f>
        <v>-1095.38827959543</v>
      </c>
      <c r="Q708">
        <f>-396.41506507302 -140.722266801281 -427.158083070541</f>
        <v>-964.29541494484204</v>
      </c>
      <c r="R708" t="s">
        <v>6816</v>
      </c>
      <c r="S708" t="s">
        <v>6817</v>
      </c>
      <c r="T708" t="s">
        <v>6818</v>
      </c>
      <c r="U708" t="s">
        <v>6819</v>
      </c>
      <c r="V708">
        <f>-554.475320580045 -111.40136333422 -96.5299906899382</f>
        <v>-762.40667460420332</v>
      </c>
      <c r="W708" t="s">
        <v>6820</v>
      </c>
      <c r="X708" t="s">
        <v>6821</v>
      </c>
      <c r="Y708" t="s">
        <v>6822</v>
      </c>
    </row>
    <row r="709" spans="1:25" x14ac:dyDescent="0.3">
      <c r="A709">
        <v>35400</v>
      </c>
      <c r="B709" t="s">
        <v>6823</v>
      </c>
      <c r="C709">
        <f>-580.108762244303 -19.7823466724578 -100.30891989059</f>
        <v>-700.2000288073508</v>
      </c>
      <c r="D709">
        <f>-604.178782418091 -33.0098212517269 -212.834021535197</f>
        <v>-850.02262520501495</v>
      </c>
      <c r="E709">
        <f>-612.396172217563 -37.4612243435708 -311.013976024948</f>
        <v>-960.87137258608186</v>
      </c>
      <c r="F709">
        <f>-615.266639714797 -39.0856813781149 -400.049769765373</f>
        <v>-1054.402090858285</v>
      </c>
      <c r="G709">
        <f>-613.15622463499 -38.3802958593662 -489.118795375635</f>
        <v>-1140.6553158699912</v>
      </c>
      <c r="H709">
        <f>-604.924131254353 -35.0916419543696 -613.385632286023</f>
        <v>-1253.4014054947456</v>
      </c>
      <c r="I709">
        <f>-575.902179799688 -22.6120841671893 -690.24264192716</f>
        <v>-1288.7569058940373</v>
      </c>
      <c r="J709">
        <f>-612.375946029629 -9.09971844318511 -558.229286136158</f>
        <v>-1179.704950608972</v>
      </c>
      <c r="K709" t="s">
        <v>6824</v>
      </c>
      <c r="L709" t="s">
        <v>6825</v>
      </c>
      <c r="M709" t="s">
        <v>6826</v>
      </c>
      <c r="N709">
        <f>-604.717416374698 -63.9779598992775 -559.174283935517</f>
        <v>-1227.8696602094924</v>
      </c>
      <c r="O709">
        <f>-589.97100890036 -198.548152912664 -535.200964116026</f>
        <v>-1323.72012592905</v>
      </c>
      <c r="P709">
        <f>-469.988421779602 -324.749203954188 -297.990925681212</f>
        <v>-1092.7285514150019</v>
      </c>
      <c r="Q709">
        <f>-398.963615273009 -149.939062409862 -447.816668383869</f>
        <v>-996.71934606673994</v>
      </c>
      <c r="R709" t="s">
        <v>6827</v>
      </c>
      <c r="S709" t="s">
        <v>6828</v>
      </c>
      <c r="T709" t="s">
        <v>6829</v>
      </c>
      <c r="U709" t="s">
        <v>6830</v>
      </c>
      <c r="V709">
        <f>-554.368306944347 -113.613224058211 -96.4080132704157</f>
        <v>-764.38954427297369</v>
      </c>
      <c r="W709" t="s">
        <v>6831</v>
      </c>
      <c r="X709" t="s">
        <v>6832</v>
      </c>
      <c r="Y709" t="s">
        <v>6833</v>
      </c>
    </row>
    <row r="710" spans="1:25" x14ac:dyDescent="0.3">
      <c r="A710">
        <v>35450</v>
      </c>
      <c r="B710" t="s">
        <v>6834</v>
      </c>
      <c r="C710">
        <f>-580.614736490912 -20.8001695386818 -100.252769394535</f>
        <v>-701.66767542412879</v>
      </c>
      <c r="D710">
        <f>-604.540386086957 -34.092867321478 -212.800933538782</f>
        <v>-851.43418694721709</v>
      </c>
      <c r="E710">
        <f>-612.671812209066 -38.4936503301824 -310.990503531487</f>
        <v>-962.15596607073542</v>
      </c>
      <c r="F710">
        <f>-615.476422779187 -40.0328924774001 -400.0297013104</f>
        <v>-1055.5390165669871</v>
      </c>
      <c r="G710">
        <f>-613.310296753738 -39.2025711901765 -489.096270506335</f>
        <v>-1141.6091384502495</v>
      </c>
      <c r="H710">
        <f>-605.009858678379 -35.6995770506612 -613.352767437541</f>
        <v>-1254.0622031665812</v>
      </c>
      <c r="I710">
        <f>-576.046120182674 -23.0467093425923 -690.203421170025</f>
        <v>-1289.2962506952913</v>
      </c>
      <c r="J710">
        <f>-612.563114884412 -9.8126965886886 -558.160866680638</f>
        <v>-1180.5366781537386</v>
      </c>
      <c r="K710" t="s">
        <v>6835</v>
      </c>
      <c r="L710" t="s">
        <v>6836</v>
      </c>
      <c r="M710" t="s">
        <v>6837</v>
      </c>
      <c r="N710">
        <f>-604.761881820591 -64.6694732822582 -559.186271943583</f>
        <v>-1228.6176270464323</v>
      </c>
      <c r="O710">
        <f>-589.684072010478 -199.261225231118 -535.570633790146</f>
        <v>-1324.515931031742</v>
      </c>
      <c r="P710">
        <f>-465.495156745056 -326.04855207158 -300.85111460957</f>
        <v>-1092.3948234262061</v>
      </c>
      <c r="Q710">
        <f>-400.574162798125 -155.128971289908 -457.76715569266</f>
        <v>-1013.4702897806931</v>
      </c>
      <c r="R710" t="s">
        <v>6838</v>
      </c>
      <c r="S710" t="s">
        <v>6839</v>
      </c>
      <c r="T710" t="s">
        <v>6840</v>
      </c>
      <c r="U710" t="s">
        <v>6841</v>
      </c>
      <c r="V710">
        <f>-554.451495268414 -114.523266962822 -96.38588374709</f>
        <v>-765.36064597832603</v>
      </c>
      <c r="W710" t="s">
        <v>6842</v>
      </c>
      <c r="X710" t="s">
        <v>6843</v>
      </c>
      <c r="Y710" t="s">
        <v>6844</v>
      </c>
    </row>
    <row r="711" spans="1:25" x14ac:dyDescent="0.3">
      <c r="A711">
        <v>35500</v>
      </c>
      <c r="B711" t="s">
        <v>6845</v>
      </c>
      <c r="C711">
        <f>-582.088722179574 -22.7429168852584 -100.19892277789</f>
        <v>-705.03056184272236</v>
      </c>
      <c r="D711">
        <f>-605.827691082795 -36.0757136853499 -212.781832399907</f>
        <v>-854.68523716805191</v>
      </c>
      <c r="E711">
        <f>-613.761537639874 -40.4129276618512 -310.990365752526</f>
        <v>-965.16483105425118</v>
      </c>
      <c r="F711">
        <f>-616.368817443461 -41.8607681628182 -400.037223899664</f>
        <v>-1058.2668095059432</v>
      </c>
      <c r="G711">
        <f>-613.985441654249 -40.9070155745842 -489.097047846863</f>
        <v>-1143.9895050756963</v>
      </c>
      <c r="H711">
        <f>-605.35935853989 -37.2003036520082 -613.325300700758</f>
        <v>-1255.8849628926562</v>
      </c>
      <c r="I711">
        <f>-576.366989044518 -24.390594609215 -690.139242120387</f>
        <v>-1290.8968257741201</v>
      </c>
      <c r="J711">
        <f>-613.090300342649 -11.4086694471862 -558.113625330606</f>
        <v>-1182.6125951204413</v>
      </c>
      <c r="K711" t="s">
        <v>6846</v>
      </c>
      <c r="L711" t="s">
        <v>6847</v>
      </c>
      <c r="M711" t="s">
        <v>6848</v>
      </c>
      <c r="N711">
        <f>-605.220301140415 -66.2542732689469 -559.203529873813</f>
        <v>-1230.6781042831749</v>
      </c>
      <c r="O711">
        <f>-590.096036923116 -200.945171945696 -536.180406269972</f>
        <v>-1327.2216151387838</v>
      </c>
      <c r="P711">
        <f>-459.449798351025 -329.314943369732 -305.867661698843</f>
        <v>-1094.6324034196</v>
      </c>
      <c r="Q711">
        <f>-404.830741680821 -167.282203325697 -475.611519467937</f>
        <v>-1047.7244644744551</v>
      </c>
      <c r="R711" t="s">
        <v>6849</v>
      </c>
      <c r="S711" t="s">
        <v>6850</v>
      </c>
      <c r="T711" t="s">
        <v>6851</v>
      </c>
      <c r="U711" t="s">
        <v>6852</v>
      </c>
      <c r="V711">
        <f>-555.4469461177 -116.58652314457 -96.3371415753811</f>
        <v>-768.37061083765116</v>
      </c>
      <c r="W711" t="s">
        <v>6853</v>
      </c>
      <c r="X711" t="s">
        <v>6854</v>
      </c>
      <c r="Y711" t="s">
        <v>6855</v>
      </c>
    </row>
    <row r="712" spans="1:25" x14ac:dyDescent="0.3">
      <c r="A712">
        <v>35550</v>
      </c>
      <c r="B712" t="s">
        <v>6856</v>
      </c>
      <c r="C712">
        <f>-583.326112530785 -23.6220831889614 -100.186638618672</f>
        <v>-707.13483433841839</v>
      </c>
      <c r="D712">
        <f>-606.973719143975 -36.892760696235 -212.796249743254</f>
        <v>-856.66272958346394</v>
      </c>
      <c r="E712">
        <f>-614.785669792105 -41.1740745141924 -311.016882688814</f>
        <v>-966.97662699511136</v>
      </c>
      <c r="F712">
        <f>-617.264828140087 -42.5724409570255 -400.068203676625</f>
        <v>-1059.9054727737375</v>
      </c>
      <c r="G712">
        <f>-614.735381867181 -41.5718683729585 -489.123400544969</f>
        <v>-1145.4306507851086</v>
      </c>
      <c r="H712">
        <f>-605.886725619155 -37.8040624587898 -613.334164421355</f>
        <v>-1257.0249524992996</v>
      </c>
      <c r="I712">
        <f>-576.821760884867 -24.9551633915339 -690.11408959781</f>
        <v>-1291.8910138742108</v>
      </c>
      <c r="J712">
        <f>-613.688732370024 -12.0355796955012 -558.1216399488</f>
        <v>-1183.8459520143251</v>
      </c>
      <c r="K712" t="s">
        <v>6857</v>
      </c>
      <c r="L712" t="s">
        <v>6858</v>
      </c>
      <c r="M712" t="s">
        <v>6859</v>
      </c>
      <c r="N712">
        <f>-605.872578879007 -66.8885285021622 -559.228788305171</f>
        <v>-1231.9898956863403</v>
      </c>
      <c r="O712">
        <f>-591.086795538985 -201.649652684119 -536.422190102972</f>
        <v>-1329.158638326076</v>
      </c>
      <c r="P712">
        <f>-458.326333999399 -331.327667262736 -308.059487781538</f>
        <v>-1097.713489043673</v>
      </c>
      <c r="Q712">
        <f>-408.003022315983 -173.981886487742 -483.446892492279</f>
        <v>-1065.4318012960041</v>
      </c>
      <c r="R712" t="s">
        <v>6860</v>
      </c>
      <c r="S712" t="s">
        <v>6861</v>
      </c>
      <c r="T712" t="s">
        <v>6862</v>
      </c>
      <c r="U712" t="s">
        <v>6863</v>
      </c>
      <c r="V712">
        <f>-556.703906537737 -117.516264845374 -96.2857347694933</f>
        <v>-770.50590615260421</v>
      </c>
      <c r="W712" t="s">
        <v>6864</v>
      </c>
      <c r="X712" t="s">
        <v>6865</v>
      </c>
      <c r="Y712" t="s">
        <v>6866</v>
      </c>
    </row>
    <row r="713" spans="1:25" x14ac:dyDescent="0.3">
      <c r="A713">
        <v>35600</v>
      </c>
      <c r="B713" t="s">
        <v>6867</v>
      </c>
      <c r="C713">
        <f>-587.056865815768 -25.608081631485 -100.16253668207</f>
        <v>-712.82748412932301</v>
      </c>
      <c r="D713">
        <f>-610.506172918675 -38.5739922331181 -212.84901257869</f>
        <v>-861.92917773048316</v>
      </c>
      <c r="E713">
        <f>-617.980181772733 -42.6860908597382 -311.103179051555</f>
        <v>-971.76945168402619</v>
      </c>
      <c r="F713">
        <f>-620.088514898829 -43.9721726203059 -400.165800187212</f>
        <v>-1064.2264877063469</v>
      </c>
      <c r="G713">
        <f>-617.123910278124 -42.9049546014307 -489.206795514945</f>
        <v>-1149.2356603944997</v>
      </c>
      <c r="H713">
        <f>-607.602039750354 -39.0953572706908 -613.366595431953</f>
        <v>-1260.0639924529978</v>
      </c>
      <c r="I713">
        <f>-578.228643764729 -26.2804617994775 -690.034775423957</f>
        <v>-1294.5438809881634</v>
      </c>
      <c r="J713">
        <f>-615.568439902513 -13.3268424079658 -558.177406545794</f>
        <v>-1187.0726888562729</v>
      </c>
      <c r="K713" t="s">
        <v>6868</v>
      </c>
      <c r="L713" t="s">
        <v>6869</v>
      </c>
      <c r="M713" t="s">
        <v>6870</v>
      </c>
      <c r="N713">
        <f>-608.015719464931 -68.2167169245126 -559.282390235374</f>
        <v>-1235.5148266248175</v>
      </c>
      <c r="O713">
        <f>-594.351439181521 -203.14653232335 -536.825298236802</f>
        <v>-1334.3232697416729</v>
      </c>
      <c r="P713">
        <f>-460.906310009364 -336.001249813473 -310.698766672019</f>
        <v>-1107.6063264948561</v>
      </c>
      <c r="Q713">
        <f>-416.864351600437 -188.854228627885 -496.329822027866</f>
        <v>-1102.048402256188</v>
      </c>
      <c r="R713" t="s">
        <v>6871</v>
      </c>
      <c r="S713" t="s">
        <v>6872</v>
      </c>
      <c r="T713" t="s">
        <v>6873</v>
      </c>
      <c r="U713" t="s">
        <v>6874</v>
      </c>
      <c r="V713">
        <f>-560.600976146086 -119.509566298471 -96.2381100492643</f>
        <v>-776.34865249382131</v>
      </c>
      <c r="W713" t="s">
        <v>6875</v>
      </c>
      <c r="X713" t="s">
        <v>6876</v>
      </c>
      <c r="Y713" t="s">
        <v>6877</v>
      </c>
    </row>
    <row r="714" spans="1:25" x14ac:dyDescent="0.3">
      <c r="A714">
        <v>35650</v>
      </c>
      <c r="B714" t="s">
        <v>6878</v>
      </c>
      <c r="C714">
        <f>-589.500427668504 -27.0573699251961 -100.043055149083</f>
        <v>-716.6008527427831</v>
      </c>
      <c r="D714">
        <f>-612.791403433054 -39.743733819271 -212.794120332675</f>
        <v>-865.32925758500005</v>
      </c>
      <c r="E714">
        <f>-620.015102616698 -43.7233315611397 -311.07248600093</f>
        <v>-974.81092017876767</v>
      </c>
      <c r="F714">
        <f>-621.853937353216 -44.9340832728187 -400.142208891847</f>
        <v>-1066.9302295178818</v>
      </c>
      <c r="G714">
        <f>-618.578702144945 -43.8397081469486 -489.171995691855</f>
        <v>-1151.5904059837487</v>
      </c>
      <c r="H714">
        <f>-608.581169786375 -40.0447100711262 -613.294789027297</f>
        <v>-1261.9206688847983</v>
      </c>
      <c r="I714">
        <f>-578.964011962913 -27.308138397718 -689.882215076937</f>
        <v>-1296.154365437568</v>
      </c>
      <c r="J714">
        <f>-616.648843804193 -14.254928344616 -558.130315675318</f>
        <v>-1189.034087824127</v>
      </c>
      <c r="K714" t="s">
        <v>6879</v>
      </c>
      <c r="L714" t="s">
        <v>6880</v>
      </c>
      <c r="M714" t="s">
        <v>6881</v>
      </c>
      <c r="N714">
        <f>-609.312562324723 -69.1745067268459 -559.218580814174</f>
        <v>-1237.705649865743</v>
      </c>
      <c r="O714">
        <f>-596.466413214222 -204.199231161132 -536.845068090831</f>
        <v>-1337.5107124661849</v>
      </c>
      <c r="P714">
        <f>-463.910140539521 -338.570471922491 -311.092018705121</f>
        <v>-1113.5726311671331</v>
      </c>
      <c r="Q714">
        <f>-422.154331096777 -196.754158549789 -501.342999401342</f>
        <v>-1120.2514890479081</v>
      </c>
      <c r="R714" t="s">
        <v>6882</v>
      </c>
      <c r="S714" t="s">
        <v>6883</v>
      </c>
      <c r="T714" t="s">
        <v>6884</v>
      </c>
      <c r="U714" t="s">
        <v>6885</v>
      </c>
      <c r="V714">
        <f>-563.376323403425 -121.038198016357 -96.1760854168679</f>
        <v>-780.59060683664984</v>
      </c>
      <c r="W714" t="s">
        <v>6886</v>
      </c>
      <c r="X714" t="s">
        <v>6887</v>
      </c>
      <c r="Y714" t="s">
        <v>6888</v>
      </c>
    </row>
    <row r="715" spans="1:25" x14ac:dyDescent="0.3">
      <c r="A715">
        <v>35700</v>
      </c>
      <c r="B715" t="s">
        <v>6889</v>
      </c>
      <c r="C715">
        <f>-595.203035755763 -30.5910679078809 -99.4806029210234</f>
        <v>-725.27470658466734</v>
      </c>
      <c r="D715">
        <f>-618.103333787629 -42.5575971481167 -212.390388144927</f>
        <v>-873.05131908067267</v>
      </c>
      <c r="E715">
        <f>-624.716066515604 -46.1739190293486 -310.725728535196</f>
        <v>-981.61571408014856</v>
      </c>
      <c r="F715">
        <f>-625.899772043309 -47.1602461477182 -399.809282406673</f>
        <v>-1072.8693005977002</v>
      </c>
      <c r="G715">
        <f>-621.870325537049 -45.954187566017 -488.806692536132</f>
        <v>-1156.631205639198</v>
      </c>
      <c r="H715">
        <f>-610.720425839695 -42.1254043399986 -612.830191062099</f>
        <v>-1265.6760212417926</v>
      </c>
      <c r="I715">
        <f>-580.53115615066 -29.5909753091557 -689.22728684272</f>
        <v>-1299.3494183025357</v>
      </c>
      <c r="J715">
        <f>-619.000389630775 -16.3127742708218 -557.707974383432</f>
        <v>-1193.0211382850289</v>
      </c>
      <c r="K715" t="s">
        <v>6890</v>
      </c>
      <c r="L715" t="s">
        <v>6891</v>
      </c>
      <c r="M715" t="s">
        <v>6892</v>
      </c>
      <c r="N715">
        <f>-612.253483518149 -71.3077374102343 -558.799218658421</f>
        <v>-1242.3604395868042</v>
      </c>
      <c r="O715">
        <f>-601.688709935875 -206.56517525855 -536.621813359766</f>
        <v>-1344.8756985541909</v>
      </c>
      <c r="P715">
        <f>-474.429451651407 -342.390394344244 -308.701099389239</f>
        <v>-1125.52094538489</v>
      </c>
      <c r="Q715">
        <f>-433.93464496264 -212.868876101582 -507.787100552797</f>
        <v>-1154.590621617019</v>
      </c>
      <c r="R715" t="s">
        <v>6893</v>
      </c>
      <c r="S715" t="s">
        <v>6894</v>
      </c>
      <c r="T715" t="s">
        <v>6895</v>
      </c>
      <c r="U715" t="s">
        <v>6896</v>
      </c>
      <c r="V715">
        <f>-570.242120559337 -124.285362907146 -95.840229252241</f>
        <v>-790.36771271872396</v>
      </c>
      <c r="W715" t="s">
        <v>6897</v>
      </c>
      <c r="X715" t="s">
        <v>6898</v>
      </c>
      <c r="Y715" t="s">
        <v>6899</v>
      </c>
    </row>
    <row r="716" spans="1:25" x14ac:dyDescent="0.3">
      <c r="A716">
        <v>35750</v>
      </c>
      <c r="B716" t="s">
        <v>6900</v>
      </c>
      <c r="C716">
        <f>-598.362970373383 -32.8481463457119 -99.0189195760538</f>
        <v>-730.23003629514869</v>
      </c>
      <c r="D716">
        <f>-621.106577574704 -44.4015874981212 -212.003277857607</f>
        <v>-877.51144293043228</v>
      </c>
      <c r="E716">
        <f>-627.386685949451 -47.8006764183544 -310.368250943969</f>
        <v>-985.55561331177444</v>
      </c>
      <c r="F716">
        <f>-628.194321289776 -48.6466119853076 -399.457376603505</f>
        <v>-1076.2983098785885</v>
      </c>
      <c r="G716">
        <f>-623.716381994382 -47.3612708025682 -488.432318226148</f>
        <v>-1159.5099710230984</v>
      </c>
      <c r="H716">
        <f>-611.866499919564 -43.4882922497277 -612.389474545898</f>
        <v>-1267.7442667151897</v>
      </c>
      <c r="I716">
        <f>-581.326677885943 -31.0300928092199 -688.659749120621</f>
        <v>-1301.0165198157838</v>
      </c>
      <c r="J716">
        <f>-620.282069114011 -17.6745316237698 -557.28832730213</f>
        <v>-1195.244928039911</v>
      </c>
      <c r="K716" t="s">
        <v>6901</v>
      </c>
      <c r="L716" t="s">
        <v>6902</v>
      </c>
      <c r="M716" t="s">
        <v>6903</v>
      </c>
      <c r="N716">
        <f>-613.879898331045 -72.7105494460545 -558.395846912682</f>
        <v>-1244.9862946897815</v>
      </c>
      <c r="O716">
        <f>-604.637476422093 -208.05523792591 -536.176092264165</f>
        <v>-1348.8688066121681</v>
      </c>
      <c r="P716">
        <f>-480.903748243036 -343.631041294896 -306.175313818696</f>
        <v>-1130.710103356628</v>
      </c>
      <c r="Q716">
        <f>-439.893292513987 -220.767217030379 -509.334131100583</f>
        <v>-1169.994640644949</v>
      </c>
      <c r="R716" t="s">
        <v>6904</v>
      </c>
      <c r="S716" t="s">
        <v>6905</v>
      </c>
      <c r="T716" t="s">
        <v>6906</v>
      </c>
      <c r="U716" t="s">
        <v>6907</v>
      </c>
      <c r="V716">
        <f>-574.258992425618 -126.369860286808 -95.4810446058083</f>
        <v>-796.10989731823429</v>
      </c>
      <c r="W716" t="s">
        <v>6908</v>
      </c>
      <c r="X716" t="s">
        <v>6909</v>
      </c>
      <c r="Y716" t="s">
        <v>6910</v>
      </c>
    </row>
    <row r="717" spans="1:25" x14ac:dyDescent="0.3">
      <c r="A717">
        <v>35800</v>
      </c>
      <c r="B717" t="s">
        <v>6911</v>
      </c>
      <c r="C717">
        <f>-604.908227231345 -39.3076178290887 -97.3113161579224</f>
        <v>-741.52716121835613</v>
      </c>
      <c r="D717">
        <f>-627.567686857891 -49.9796511724674 -210.39924417434</f>
        <v>-887.9465822046983</v>
      </c>
      <c r="E717">
        <f>-633.229876131034 -52.9229968732664 -308.816361388136</f>
        <v>-994.96923439243631</v>
      </c>
      <c r="F717">
        <f>-633.269692891589 -53.4792691601547 -397.91140836708</f>
        <v>-1084.6603704188237</v>
      </c>
      <c r="G717">
        <f>-627.820251112752 -52.0378607101541 -486.829782786981</f>
        <v>-1166.6878946098871</v>
      </c>
      <c r="H717">
        <f>-614.407612198207 -48.0928982859327 -610.625331803115</f>
        <v>-1273.1258422872547</v>
      </c>
      <c r="I717">
        <f>-583.055186267994 -35.815324304062 -686.59458942401</f>
        <v>-1305.4650999960659</v>
      </c>
      <c r="J717">
        <f>-623.137544531247 -22.2703899910871 -555.577192046697</f>
        <v>-1200.9851265690311</v>
      </c>
      <c r="K717" t="s">
        <v>6912</v>
      </c>
      <c r="L717" t="s">
        <v>6913</v>
      </c>
      <c r="M717" t="s">
        <v>6914</v>
      </c>
      <c r="N717">
        <f>-617.48216615354 -77.3872784336154 -556.72090993827</f>
        <v>-1251.5903545254255</v>
      </c>
      <c r="O717">
        <f>-610.677305488022 -212.83103513042 -534.283805991451</f>
        <v>-1357.7921466098928</v>
      </c>
      <c r="P717">
        <f>-495.5963296909 -346.006891087621 -298.462185754366</f>
        <v>-1140.065406532887</v>
      </c>
      <c r="Q717">
        <f>-450.837345540611 -237.108384778061 -508.673143230524</f>
        <v>-1196.618873549196</v>
      </c>
      <c r="R717" t="s">
        <v>6915</v>
      </c>
      <c r="S717" t="s">
        <v>6916</v>
      </c>
      <c r="T717" t="s">
        <v>6917</v>
      </c>
      <c r="U717" t="s">
        <v>6918</v>
      </c>
      <c r="V717">
        <f>-582.392414784334 -133.120456935323 -94.1430555893445</f>
        <v>-809.65592730900153</v>
      </c>
      <c r="W717" t="s">
        <v>6919</v>
      </c>
      <c r="X717" t="s">
        <v>6920</v>
      </c>
      <c r="Y717" t="s">
        <v>6921</v>
      </c>
    </row>
    <row r="718" spans="1:25" x14ac:dyDescent="0.3">
      <c r="A718">
        <v>35850</v>
      </c>
      <c r="B718" t="s">
        <v>6922</v>
      </c>
      <c r="C718">
        <f>-608.851495088286 -42.6182299264253 -96.0594842846148</f>
        <v>-747.52920929932611</v>
      </c>
      <c r="D718">
        <f>-631.552242807144 -52.8067557158624 -209.183736575295</f>
        <v>-893.54273509830148</v>
      </c>
      <c r="E718">
        <f>-636.926951212567 -55.5080208956942 -307.623895310324</f>
        <v>-1000.0588674185852</v>
      </c>
      <c r="F718">
        <f>-636.582404499165 -55.9152574146613 -396.719150194094</f>
        <v>-1089.2168121079203</v>
      </c>
      <c r="G718">
        <f>-630.628327088705 -54.4001416860606 -485.603930568529</f>
        <v>-1170.6323993432945</v>
      </c>
      <c r="H718">
        <f>-616.388891354836 -50.4340256380931 -609.306460800925</f>
        <v>-1276.129377793854</v>
      </c>
      <c r="I718">
        <f>-584.600852242773 -38.2421789050948 -685.108263282256</f>
        <v>-1307.9512944301237</v>
      </c>
      <c r="J718">
        <f>-625.311914946137 -24.6040042033139 -554.292810238908</f>
        <v>-1204.208729388359</v>
      </c>
      <c r="K718" t="s">
        <v>6923</v>
      </c>
      <c r="L718" t="s">
        <v>6924</v>
      </c>
      <c r="M718" t="s">
        <v>6925</v>
      </c>
      <c r="N718">
        <f>-619.997951565333 -79.7545706140475 -555.449189771501</f>
        <v>-1255.2017119508814</v>
      </c>
      <c r="O718">
        <f>-614.103050287145 -215.203981275425 -532.765723627767</f>
        <v>-1362.0727551903369</v>
      </c>
      <c r="P718">
        <f>-503.334220938418 -346.873168737608 -294.05107476316</f>
        <v>-1144.2584644391859</v>
      </c>
      <c r="Q718">
        <f>-456.196814350023 -244.18193812317 -506.850191858703</f>
        <v>-1207.2289443318959</v>
      </c>
      <c r="R718" t="s">
        <v>6926</v>
      </c>
      <c r="S718" t="s">
        <v>6927</v>
      </c>
      <c r="T718" t="s">
        <v>6928</v>
      </c>
      <c r="U718" t="s">
        <v>6929</v>
      </c>
      <c r="V718">
        <f>-586.980642537199 -136.520349743932 -93.099568239626</f>
        <v>-816.60056052075697</v>
      </c>
      <c r="W718" t="s">
        <v>6930</v>
      </c>
      <c r="X718" t="s">
        <v>6931</v>
      </c>
      <c r="Y718" t="s">
        <v>6932</v>
      </c>
    </row>
    <row r="719" spans="1:25" x14ac:dyDescent="0.3">
      <c r="A719">
        <v>35900</v>
      </c>
      <c r="B719" t="s">
        <v>6933</v>
      </c>
      <c r="C719">
        <f>-617.663746678833 -49.2077690013693 -93.0530555941988</f>
        <v>-759.92457127440116</v>
      </c>
      <c r="D719">
        <f>-640.094310194625 -58.4423019593612 -206.312975487368</f>
        <v>-904.84958764135422</v>
      </c>
      <c r="E719">
        <f>-644.896783969173 -60.5915501915749 -304.796379963737</f>
        <v>-1010.2847141244849</v>
      </c>
      <c r="F719">
        <f>-643.904903860008 -60.6147585410179 -393.887707995692</f>
        <v>-1098.4073703967179</v>
      </c>
      <c r="G719">
        <f>-637.178073526553 -58.8417708765276 -482.712439090825</f>
        <v>-1178.7322834939055</v>
      </c>
      <c r="H719">
        <f>-621.733822200798 -54.6549473895202 -606.263179052678</f>
        <v>-1282.6519486429961</v>
      </c>
      <c r="I719">
        <f>-589.26722136828 -42.6067126557994 -681.799771089908</f>
        <v>-1313.6737051139874</v>
      </c>
      <c r="J719">
        <f>-630.919965291845 -28.8988826672739 -551.258200162985</f>
        <v>-1211.0770481221039</v>
      </c>
      <c r="K719" t="s">
        <v>6934</v>
      </c>
      <c r="L719" t="s">
        <v>6935</v>
      </c>
      <c r="M719" t="s">
        <v>6936</v>
      </c>
      <c r="N719">
        <f>-626.140150661743 -84.095874912158 -552.531136030145</f>
        <v>-1262.7671616040461</v>
      </c>
      <c r="O719">
        <f>-621.423200286797 -219.540816358214 -529.561278697397</f>
        <v>-1370.5252953424081</v>
      </c>
      <c r="P719">
        <f>-518.904271813696 -347.553405883655 -285.237930471674</f>
        <v>-1151.695608169025</v>
      </c>
      <c r="Q719">
        <f>-464.411207385874 -254.669451993316 -500.769642757518</f>
        <v>-1219.8503021367078</v>
      </c>
      <c r="R719" t="s">
        <v>6937</v>
      </c>
      <c r="S719" t="s">
        <v>6938</v>
      </c>
      <c r="T719" t="s">
        <v>6939</v>
      </c>
      <c r="U719" t="s">
        <v>6940</v>
      </c>
      <c r="V719">
        <f>-595.850138887785 -144.679922176219 -90.5687823308709</f>
        <v>-831.09884339487496</v>
      </c>
      <c r="W719" t="s">
        <v>6941</v>
      </c>
      <c r="X719" t="s">
        <v>6942</v>
      </c>
      <c r="Y719" t="s">
        <v>6943</v>
      </c>
    </row>
    <row r="720" spans="1:25" x14ac:dyDescent="0.3">
      <c r="A720">
        <v>35950</v>
      </c>
      <c r="B720" t="s">
        <v>6944</v>
      </c>
      <c r="C720">
        <f>-621.834373378852 -52.5018145518177 -91.7095008466357</f>
        <v>-766.04568877730537</v>
      </c>
      <c r="D720">
        <f>-643.779725718517 -61.4385046445038 -205.088275530537</f>
        <v>-910.30650589355787</v>
      </c>
      <c r="E720">
        <f>-648.176384142864 -63.310107912981 -303.59630356244</f>
        <v>-1015.082795618285</v>
      </c>
      <c r="F720">
        <f>-646.820117034104 -63.0839388074971 -392.682504526451</f>
        <v>-1102.5865603680522</v>
      </c>
      <c r="G720">
        <f>-639.731104684043 -61.0692842948858 -481.47410815006</f>
        <v>-1182.2744971289887</v>
      </c>
      <c r="H720">
        <f>-623.783015812237 -56.5588433520315 -604.949187661616</f>
        <v>-1285.2910468258845</v>
      </c>
      <c r="I720">
        <f>-591.102257389535 -44.4655274945831 -680.386355281245</f>
        <v>-1315.954140165363</v>
      </c>
      <c r="J720">
        <f>-633.130560708217 -30.9417471585032 -549.906463891878</f>
        <v>-1213.9787717585982</v>
      </c>
      <c r="K720" t="s">
        <v>6945</v>
      </c>
      <c r="L720" t="s">
        <v>6946</v>
      </c>
      <c r="M720" t="s">
        <v>6947</v>
      </c>
      <c r="N720">
        <f>-628.471436808072 -86.1455486009772 -551.321267145401</f>
        <v>-1265.9382525544502</v>
      </c>
      <c r="O720">
        <f>-624.110635468239 -221.624396420234 -528.442846606131</f>
        <v>-1374.1778784946041</v>
      </c>
      <c r="P720">
        <f>-526.185211209759 -348.616305730957 -281.714636344877</f>
        <v>-1156.5161532855932</v>
      </c>
      <c r="Q720">
        <f>-466.937685565931 -258.248344785039 -497.061368826735</f>
        <v>-1222.2473991777051</v>
      </c>
      <c r="R720" t="s">
        <v>6948</v>
      </c>
      <c r="S720" t="s">
        <v>6949</v>
      </c>
      <c r="T720" t="s">
        <v>6950</v>
      </c>
      <c r="U720" t="s">
        <v>6951</v>
      </c>
      <c r="V720">
        <f>-599.891206561264 -148.180030043776 -89.5105059918441</f>
        <v>-837.58174259688406</v>
      </c>
      <c r="W720" t="s">
        <v>6952</v>
      </c>
      <c r="X720" t="s">
        <v>6953</v>
      </c>
      <c r="Y720" t="s">
        <v>6954</v>
      </c>
    </row>
    <row r="721" spans="1:25" x14ac:dyDescent="0.3">
      <c r="A721">
        <v>36000</v>
      </c>
      <c r="B721" t="s">
        <v>6955</v>
      </c>
      <c r="C721">
        <f>-627.310252225112 -58.5726250833732 -89.1618391864135</f>
        <v>-775.04471649489869</v>
      </c>
      <c r="D721">
        <f>-648.412419195472 -67.0302863539071 -202.737246533113</f>
        <v>-918.17995208249204</v>
      </c>
      <c r="E721">
        <f>-652.070666156484 -68.3820256821436 -301.283889699497</f>
        <v>-1021.7365815381247</v>
      </c>
      <c r="F721">
        <f>-650.037102586028 -67.6603765423308 -390.354658936594</f>
        <v>-1108.0521380649529</v>
      </c>
      <c r="G721">
        <f>-642.260558778633 -65.1324178230389 -479.075420263676</f>
        <v>-1186.468396865348</v>
      </c>
      <c r="H721">
        <f>-625.340590056754 -59.8952345427801 -602.392538182294</f>
        <v>-1287.6283627818279</v>
      </c>
      <c r="I721">
        <f>-592.623883239173 -47.4937955898101 -677.763953385688</f>
        <v>-1317.8816322146711</v>
      </c>
      <c r="J721">
        <f>-635.189884168794 -34.608097160497 -547.2846403327</f>
        <v>-1217.082621661991</v>
      </c>
      <c r="K721" t="s">
        <v>6956</v>
      </c>
      <c r="L721" t="s">
        <v>6957</v>
      </c>
      <c r="M721" t="s">
        <v>6958</v>
      </c>
      <c r="N721">
        <f>-630.382779513215 -89.7916982174618 -548.968774477719</f>
        <v>-1269.1432522083958</v>
      </c>
      <c r="O721">
        <f>-625.656961483283 -225.346708846448 -526.656318229488</f>
        <v>-1377.6599885592191</v>
      </c>
      <c r="P721">
        <f>-538.468804170857 -351.266012733362 -275.392079767695</f>
        <v>-1165.126896671914</v>
      </c>
      <c r="Q721">
        <f>-467.38021756898 -262.923488434127 -487.978217580008</f>
        <v>-1218.281923583115</v>
      </c>
      <c r="R721" t="s">
        <v>6959</v>
      </c>
      <c r="S721" t="s">
        <v>6960</v>
      </c>
      <c r="T721" t="s">
        <v>6961</v>
      </c>
      <c r="U721" t="s">
        <v>6962</v>
      </c>
      <c r="V721">
        <f>-606.264340055781 -154.380360001715 -87.8629549498359</f>
        <v>-848.50765500733178</v>
      </c>
      <c r="W721" t="s">
        <v>6963</v>
      </c>
      <c r="X721" t="s">
        <v>6964</v>
      </c>
      <c r="Y721" t="s">
        <v>6965</v>
      </c>
    </row>
    <row r="722" spans="1:25" x14ac:dyDescent="0.3">
      <c r="A722">
        <v>36050</v>
      </c>
      <c r="B722" t="s">
        <v>6966</v>
      </c>
      <c r="C722">
        <f>-631.664641526788 -61.0780409401943 -87.9361302150475</f>
        <v>-780.67881268202984</v>
      </c>
      <c r="D722">
        <f>-652.683142886797 -69.3811330548835 -201.538394311013</f>
        <v>-923.60267025269354</v>
      </c>
      <c r="E722">
        <f>-656.199508212436 -70.6183279495385 -300.091936187796</f>
        <v>-1026.9097723497705</v>
      </c>
      <c r="F722">
        <f>-654.00810168523 -69.8100466999358 -389.15799543308</f>
        <v>-1112.9761438182459</v>
      </c>
      <c r="G722">
        <f>-646.044715731636 -67.2152935964868 -477.860402774837</f>
        <v>-1191.1204121029598</v>
      </c>
      <c r="H722">
        <f>-628.833696772575 -61.9097950437279 -601.134132553099</f>
        <v>-1291.8776243694019</v>
      </c>
      <c r="I722">
        <f>-596.227018778468 -49.4332381508448 -676.540802124733</f>
        <v>-1322.2010590540458</v>
      </c>
      <c r="J722">
        <f>-638.878028377885 -36.6586984104797 -546.045175268337</f>
        <v>-1221.5819020567017</v>
      </c>
      <c r="K722" t="s">
        <v>6967</v>
      </c>
      <c r="L722" t="s">
        <v>6968</v>
      </c>
      <c r="M722" t="s">
        <v>6969</v>
      </c>
      <c r="N722">
        <f>-633.936781597744 -91.830383563982 -547.729766862407</f>
        <v>-1273.496932024133</v>
      </c>
      <c r="O722">
        <f>-628.626972657062 -227.405467059155 -525.599727623028</f>
        <v>-1381.6321673392449</v>
      </c>
      <c r="P722">
        <f>-546.800522382011 -353.224099244027 -272.488442955234</f>
        <v>-1172.5130645812719</v>
      </c>
      <c r="Q722">
        <f>-469.059044909949 -264.339618450892 -482.504370453959</f>
        <v>-1215.9030338148</v>
      </c>
      <c r="R722" t="s">
        <v>6970</v>
      </c>
      <c r="S722" t="s">
        <v>6971</v>
      </c>
      <c r="T722" t="s">
        <v>6972</v>
      </c>
      <c r="U722" t="s">
        <v>6973</v>
      </c>
      <c r="V722">
        <f>-610.384368767184 -156.022750830729 -87.0213175494499</f>
        <v>-853.42843714736296</v>
      </c>
      <c r="W722" t="s">
        <v>6974</v>
      </c>
      <c r="X722" t="s">
        <v>6975</v>
      </c>
      <c r="Y722" t="s">
        <v>6976</v>
      </c>
    </row>
    <row r="723" spans="1:25" x14ac:dyDescent="0.3">
      <c r="A723">
        <v>36100</v>
      </c>
      <c r="B723" t="s">
        <v>6977</v>
      </c>
      <c r="C723">
        <f>-644.703634931128 -66.7007722672099 -86.0047575805031</f>
        <v>-797.40916477884105</v>
      </c>
      <c r="D723">
        <f>-665.63873239479 -74.8470576115417 -199.633801724748</f>
        <v>-940.11959173107971</v>
      </c>
      <c r="E723">
        <f>-669.250107749797 -76.0245530886948 -298.184503660773</f>
        <v>-1043.4591644992647</v>
      </c>
      <c r="F723">
        <f>-667.208450102861 -75.2052546342363 -387.254151944289</f>
        <v>-1129.6678566813862</v>
      </c>
      <c r="G723">
        <f>-659.457409522839 -72.6450705140458 -475.976274992424</f>
        <v>-1208.0787550293089</v>
      </c>
      <c r="H723">
        <f>-642.606993329205 -67.4402307469347 -599.304223830004</f>
        <v>-1309.3514479061437</v>
      </c>
      <c r="I723">
        <f>-610.538839130677 -54.9635016539714 -674.941329812994</f>
        <v>-1340.4436705976425</v>
      </c>
      <c r="J723">
        <f>-652.586398647922 -42.1525913709793 -544.22013785589</f>
        <v>-1238.9591278747912</v>
      </c>
      <c r="K723" t="s">
        <v>6978</v>
      </c>
      <c r="L723" t="s">
        <v>6979</v>
      </c>
      <c r="M723" t="s">
        <v>6980</v>
      </c>
      <c r="N723">
        <f>-647.457827305068 -97.3088450968723 -545.847262279083</f>
        <v>-1290.6139346810232</v>
      </c>
      <c r="O723">
        <f>-641.522658030619 -232.877296113783 -523.805336600751</f>
        <v>-1398.205290745153</v>
      </c>
      <c r="P723">
        <f>-571.076691123487 -357.183737529647 -266.557419003915</f>
        <v>-1194.8178476570488</v>
      </c>
      <c r="Q723">
        <f>-478.950544145237 -268.689710054607 -470.842664639111</f>
        <v>-1218.4829188389551</v>
      </c>
      <c r="R723" t="s">
        <v>6981</v>
      </c>
      <c r="S723" t="s">
        <v>6982</v>
      </c>
      <c r="T723" t="s">
        <v>6983</v>
      </c>
      <c r="U723" t="s">
        <v>6984</v>
      </c>
      <c r="V723">
        <f>-618.960461536192 -158.827113805446 -85.6180681369472</f>
        <v>-863.40564347858526</v>
      </c>
      <c r="W723" t="s">
        <v>6985</v>
      </c>
      <c r="X723" t="s">
        <v>6986</v>
      </c>
      <c r="Y723" t="s">
        <v>6987</v>
      </c>
    </row>
    <row r="724" spans="1:25" x14ac:dyDescent="0.3">
      <c r="A724">
        <v>36150</v>
      </c>
      <c r="B724" t="s">
        <v>6988</v>
      </c>
      <c r="C724">
        <f>-648.324327953207 -66.7863046951718 -85.4015408416647</f>
        <v>-800.51217349004344</v>
      </c>
      <c r="D724">
        <f>-669.205797333164 -74.7077184237694 -199.056458942049</f>
        <v>-942.96997469898247</v>
      </c>
      <c r="E724">
        <f>-672.978700868341 -75.8188837072184 -297.601791956598</f>
        <v>-1046.3993765321575</v>
      </c>
      <c r="F724">
        <f>-671.166213103808 -74.9965804802462 -386.676334851017</f>
        <v>-1132.8391284350712</v>
      </c>
      <c r="G724">
        <f>-663.727065440915 -72.4911478329241 -475.42666494664</f>
        <v>-1211.6448782204791</v>
      </c>
      <c r="H724">
        <f>-647.397761910684 -67.4254482775229 -598.830508660915</f>
        <v>-1313.653718849122</v>
      </c>
      <c r="I724">
        <f>-615.753821116282 -55.0423497348806 -674.661634890053</f>
        <v>-1345.4578057412157</v>
      </c>
      <c r="J724">
        <f>-657.160368236281 -42.0770563764634 -543.735565755455</f>
        <v>-1242.9729903681994</v>
      </c>
      <c r="K724" t="s">
        <v>6989</v>
      </c>
      <c r="L724" t="s">
        <v>6990</v>
      </c>
      <c r="M724" t="s">
        <v>6991</v>
      </c>
      <c r="N724">
        <f>-652.006523365104 -97.2321373023158 -545.317661813267</f>
        <v>-1294.556322480687</v>
      </c>
      <c r="O724">
        <f>-646.112004774995 -232.806585435489 -523.24997742692</f>
        <v>-1402.1685676374041</v>
      </c>
      <c r="P724">
        <f>-581.387458233554 -357.018546909411 -264.457887127516</f>
        <v>-1202.8638922704808</v>
      </c>
      <c r="Q724">
        <f>-482.275709043396 -267.934430774468 -465.186036978253</f>
        <v>-1215.3961767961171</v>
      </c>
      <c r="R724" t="s">
        <v>6992</v>
      </c>
      <c r="S724" t="s">
        <v>6993</v>
      </c>
      <c r="T724" t="s">
        <v>6994</v>
      </c>
      <c r="U724" t="s">
        <v>6995</v>
      </c>
      <c r="V724">
        <f>-621.323561670527 -158.236289174108 -85.325655374731</f>
        <v>-864.88550621936611</v>
      </c>
      <c r="W724" t="s">
        <v>6996</v>
      </c>
      <c r="X724" t="s">
        <v>6997</v>
      </c>
      <c r="Y724" t="s">
        <v>6998</v>
      </c>
    </row>
    <row r="725" spans="1:25" x14ac:dyDescent="0.3">
      <c r="A725">
        <v>36200</v>
      </c>
      <c r="B725" t="s">
        <v>6999</v>
      </c>
      <c r="C725">
        <f>-651.234798275433 -60.8642010346982 -84.9366285137286</f>
        <v>-797.03562782385984</v>
      </c>
      <c r="D725">
        <f>-672.272231978777 -68.2473177519094 -198.599115670645</f>
        <v>-939.11866540133133</v>
      </c>
      <c r="E725">
        <f>-676.500711137114 -69.2030060095085 -297.127438034253</f>
        <v>-1042.8311551808754</v>
      </c>
      <c r="F725">
        <f>-675.230109568647 -68.3767205434376 -386.211367144347</f>
        <v>-1129.8181972564316</v>
      </c>
      <c r="G725">
        <f>-668.462784896208 -66.0074180374306 -475.019326022608</f>
        <v>-1209.4895289562467</v>
      </c>
      <c r="H725">
        <f>-653.207589024549 -61.2829221823483 -598.574019882738</f>
        <v>-1313.0645310896352</v>
      </c>
      <c r="I725">
        <f>-622.582421042855 -49.2403233193713 -674.876717624831</f>
        <v>-1346.6994619870575</v>
      </c>
      <c r="J725">
        <f>-662.504616307275 -35.7835236864667 -543.468120034409</f>
        <v>-1241.7562600281508</v>
      </c>
      <c r="K725" t="s">
        <v>7000</v>
      </c>
      <c r="L725" t="s">
        <v>7001</v>
      </c>
      <c r="M725" t="s">
        <v>7002</v>
      </c>
      <c r="N725">
        <f>-657.33681175038 -90.9405899216245 -544.939226195515</f>
        <v>-1293.2166278675195</v>
      </c>
      <c r="O725">
        <f>-651.437711107791 -226.502854179763 -522.946163316196</f>
        <v>-1400.8867286037498</v>
      </c>
      <c r="P725">
        <f>-599.061484958308 -351.136306043759 -261.575842829137</f>
        <v>-1211.7736338312041</v>
      </c>
      <c r="Q725">
        <f>-486.665734833874 -260.146402603572 -454.290480167286</f>
        <v>-1201.1026176047321</v>
      </c>
      <c r="R725" t="s">
        <v>7003</v>
      </c>
      <c r="S725" t="s">
        <v>7004</v>
      </c>
      <c r="T725" t="s">
        <v>7005</v>
      </c>
      <c r="U725" t="s">
        <v>7006</v>
      </c>
      <c r="V725">
        <f>-623.254976586788 -151.914414001628 -85.4685790235009</f>
        <v>-860.63796961191679</v>
      </c>
      <c r="W725" t="s">
        <v>7007</v>
      </c>
      <c r="X725" t="s">
        <v>7008</v>
      </c>
      <c r="Y725" t="s">
        <v>7009</v>
      </c>
    </row>
    <row r="726" spans="1:25" x14ac:dyDescent="0.3">
      <c r="A726">
        <v>36250</v>
      </c>
      <c r="B726" t="s">
        <v>7010</v>
      </c>
      <c r="C726">
        <f>-652.311429504579 -57.5202391628479 -84.8368957037211</f>
        <v>-794.66856437114802</v>
      </c>
      <c r="D726">
        <f>-673.511088738823 -64.6208769320124 -198.487109214734</f>
        <v>-936.61907488556938</v>
      </c>
      <c r="E726">
        <f>-678.016744465426 -65.5086331538573 -297.003983640235</f>
        <v>-1040.5293612595183</v>
      </c>
      <c r="F726">
        <f>-677.053463850035 -64.6961341755105 -386.091865918197</f>
        <v>-1127.8414639437424</v>
      </c>
      <c r="G726">
        <f>-670.651289869685 -62.4173771597111 -474.929084690217</f>
        <v>-1207.997751719613</v>
      </c>
      <c r="H726">
        <f>-655.966475976361 -57.9011101316039 -598.560785932347</f>
        <v>-1312.4283720403118</v>
      </c>
      <c r="I726">
        <f>-625.886319617079 -46.1127058594018 -675.119617375188</f>
        <v>-1347.1186428516689</v>
      </c>
      <c r="J726">
        <f>-665.011563520228 -32.3089842330539 -543.455934308651</f>
        <v>-1240.7764820619329</v>
      </c>
      <c r="K726" t="s">
        <v>7011</v>
      </c>
      <c r="L726" t="s">
        <v>7012</v>
      </c>
      <c r="M726" t="s">
        <v>7013</v>
      </c>
      <c r="N726">
        <f>-659.845495321455 -87.4679785410754 -544.857289467987</f>
        <v>-1292.1707633305173</v>
      </c>
      <c r="O726">
        <f>-653.846513220885 -223.045905693836 -522.933923060269</f>
        <v>-1399.8263419749901</v>
      </c>
      <c r="P726">
        <f>-607.553202794291 -348.631423278227 -260.872072667466</f>
        <v>-1217.0566987399839</v>
      </c>
      <c r="Q726">
        <f>-488.735623976738 -255.456684517281 -448.626534990256</f>
        <v>-1192.818843484275</v>
      </c>
      <c r="R726" t="s">
        <v>7014</v>
      </c>
      <c r="S726" t="s">
        <v>7015</v>
      </c>
      <c r="T726" t="s">
        <v>7016</v>
      </c>
      <c r="U726" t="s">
        <v>7017</v>
      </c>
      <c r="V726">
        <f>-624.281317979646 -149.170244947681 -85.4824186983777</f>
        <v>-858.93398162570475</v>
      </c>
      <c r="W726" t="s">
        <v>7018</v>
      </c>
      <c r="X726" t="s">
        <v>7019</v>
      </c>
      <c r="Y726" t="s">
        <v>7020</v>
      </c>
    </row>
    <row r="727" spans="1:25" x14ac:dyDescent="0.3">
      <c r="A727">
        <v>36300</v>
      </c>
      <c r="B727" t="s">
        <v>7021</v>
      </c>
      <c r="C727">
        <f>-653.835235544268 -53.3099607814181 -85.0512547116107</f>
        <v>-792.19645103729681</v>
      </c>
      <c r="D727">
        <f>-675.317805345212 -60.2001461420816 -198.661287697537</f>
        <v>-934.17923918483064</v>
      </c>
      <c r="E727">
        <f>-680.297494744708 -60.9743737215715 -297.156305739335</f>
        <v>-1038.4281742056146</v>
      </c>
      <c r="F727">
        <f>-679.852162678957 -60.0968040678802 -386.247715839569</f>
        <v>-1126.1966825864063</v>
      </c>
      <c r="G727">
        <f>-674.05464146884 -57.7934208383037 -475.125864847742</f>
        <v>-1206.9739271548858</v>
      </c>
      <c r="H727">
        <f>-660.303471451349 -53.2892104166517 -598.865278443479</f>
        <v>-1312.4579603114798</v>
      </c>
      <c r="I727">
        <f>-631.2535584069 -41.8813900909577 -675.878051951945</f>
        <v>-1349.0130004498028</v>
      </c>
      <c r="J727">
        <f>-668.95138400531 -27.6935231346542 -543.698273177923</f>
        <v>-1240.3431803178873</v>
      </c>
      <c r="K727" t="s">
        <v>7022</v>
      </c>
      <c r="L727" t="s">
        <v>7023</v>
      </c>
      <c r="M727" t="s">
        <v>7024</v>
      </c>
      <c r="N727">
        <f>-663.757929268236 -82.8490903027196 -545.128892802577</f>
        <v>-1291.7359123735325</v>
      </c>
      <c r="O727">
        <f>-657.944913003153 -218.456067249053 -523.58318976858</f>
        <v>-1399.9841700207862</v>
      </c>
      <c r="P727">
        <f>-622.29425989663 -346.772314774265 -261.180540324429</f>
        <v>-1230.247114995324</v>
      </c>
      <c r="Q727">
        <f>-491.171530561276 -245.555073009393 -436.14545256611</f>
        <v>-1172.8720561367791</v>
      </c>
      <c r="R727" t="s">
        <v>7025</v>
      </c>
      <c r="S727" t="s">
        <v>7026</v>
      </c>
      <c r="T727" t="s">
        <v>7027</v>
      </c>
      <c r="U727" t="s">
        <v>7028</v>
      </c>
      <c r="V727">
        <f>-625.199615451585 -145.442874627531 -85.5824384021713</f>
        <v>-856.22492848128729</v>
      </c>
      <c r="W727" t="s">
        <v>7029</v>
      </c>
      <c r="X727" t="s">
        <v>7030</v>
      </c>
      <c r="Y727" t="s">
        <v>7031</v>
      </c>
    </row>
    <row r="728" spans="1:25" x14ac:dyDescent="0.3">
      <c r="A728">
        <v>36350</v>
      </c>
      <c r="B728" t="s">
        <v>7032</v>
      </c>
      <c r="C728">
        <f>-655.485954729227 -48.6770146356985 -85.3142607179468</f>
        <v>-789.47723008287232</v>
      </c>
      <c r="D728">
        <f>-677.01403674264 -55.8835197092972 -198.896043252499</f>
        <v>-931.79359970443613</v>
      </c>
      <c r="E728">
        <f>-682.099514486606 -56.6883215986604 -297.385396589282</f>
        <v>-1036.1732326745484</v>
      </c>
      <c r="F728">
        <f>-681.766289747444 -55.7505151983019 -386.476681335483</f>
        <v>-1123.9934862812288</v>
      </c>
      <c r="G728">
        <f>-676.092597374632 -53.3013929382714 -475.358826333571</f>
        <v>-1204.7528166464745</v>
      </c>
      <c r="H728">
        <f>-662.521866179889 -48.5083145407482 -599.107295172966</f>
        <v>-1310.1374758936031</v>
      </c>
      <c r="I728">
        <f>-633.882654501165 -37.1905573849367 -676.287157398572</f>
        <v>-1347.3603692846737</v>
      </c>
      <c r="J728">
        <f>-671.136554404622 -23.0457971328035 -543.873688225451</f>
        <v>-1238.0560397628765</v>
      </c>
      <c r="K728" t="s">
        <v>7033</v>
      </c>
      <c r="L728" t="s">
        <v>7034</v>
      </c>
      <c r="M728" t="s">
        <v>7035</v>
      </c>
      <c r="N728">
        <f>-665.850682118475 -78.1892378530379 -545.429769978392</f>
        <v>-1289.4696899499049</v>
      </c>
      <c r="O728">
        <f>-659.788342407578 -213.92124710114 -524.40117694074</f>
        <v>-1398.110766449458</v>
      </c>
      <c r="P728">
        <f>-630.264955225276 -343.596402254077 -261.905566502754</f>
        <v>-1235.7669239821071</v>
      </c>
      <c r="Q728">
        <f>-493.01085806822 -237.740507440162 -429.257654537882</f>
        <v>-1160.0090200462639</v>
      </c>
      <c r="R728" t="s">
        <v>7036</v>
      </c>
      <c r="S728" t="s">
        <v>7037</v>
      </c>
      <c r="T728" t="s">
        <v>7038</v>
      </c>
      <c r="U728" t="s">
        <v>7039</v>
      </c>
      <c r="V728">
        <f>-625.688911918889 -141.608813088563 -85.6539907359204</f>
        <v>-852.95171574337235</v>
      </c>
      <c r="W728" t="s">
        <v>7040</v>
      </c>
      <c r="X728" t="s">
        <v>7041</v>
      </c>
      <c r="Y728" t="s">
        <v>7042</v>
      </c>
    </row>
    <row r="729" spans="1:25" x14ac:dyDescent="0.3">
      <c r="A729">
        <v>36400</v>
      </c>
      <c r="B729" t="s">
        <v>7043</v>
      </c>
      <c r="C729">
        <f>-658.233090596139 -44.8577473055145 -85.0156440460853</f>
        <v>-788.10648194773887</v>
      </c>
      <c r="D729">
        <f>-679.640609064917 -51.9849704392934 -198.62526197263</f>
        <v>-930.25084147684049</v>
      </c>
      <c r="E729">
        <f>-684.72612897801 -52.6044800710222 -297.115960518664</f>
        <v>-1034.4465695676963</v>
      </c>
      <c r="F729">
        <f>-684.43004543169 -51.4549679748004 -386.204884423578</f>
        <v>-1122.0898978300684</v>
      </c>
      <c r="G729">
        <f>-678.827910660544 -48.7499215440535 -475.084178912789</f>
        <v>-1202.6620111173866</v>
      </c>
      <c r="H729">
        <f>-665.391355575594 -43.5541316692979 -598.830948237107</f>
        <v>-1307.776435481999</v>
      </c>
      <c r="I729">
        <f>-637.110191945763 -32.2372295681341 -676.142940994532</f>
        <v>-1345.4903625084289</v>
      </c>
      <c r="J729">
        <f>-674.014447951841 -18.2777929903014 -543.513084840788</f>
        <v>-1235.8053257829304</v>
      </c>
      <c r="K729" t="s">
        <v>7044</v>
      </c>
      <c r="L729" t="s">
        <v>7045</v>
      </c>
      <c r="M729" t="s">
        <v>7046</v>
      </c>
      <c r="N729">
        <f>-668.593804354141 -73.403313824623 -545.23913568489</f>
        <v>-1287.2362538636539</v>
      </c>
      <c r="O729">
        <f>-662.51296041302 -209.274189720578 -525.029467483523</f>
        <v>-1396.816617617121</v>
      </c>
      <c r="P729">
        <f>-638.647741576503 -339.981255099728 -262.470279639854</f>
        <v>-1241.099276316085</v>
      </c>
      <c r="Q729">
        <f>-496.459830861804 -228.258393309657 -421.691853808478</f>
        <v>-1146.4100779799389</v>
      </c>
      <c r="R729" t="s">
        <v>7047</v>
      </c>
      <c r="S729" t="s">
        <v>7048</v>
      </c>
      <c r="T729" t="s">
        <v>7049</v>
      </c>
      <c r="U729" t="s">
        <v>7050</v>
      </c>
      <c r="V729">
        <f>-626.443512932149 -138.788736981414 -85.3165450723543</f>
        <v>-850.54879498591731</v>
      </c>
      <c r="W729" t="s">
        <v>7051</v>
      </c>
      <c r="X729" t="s">
        <v>7052</v>
      </c>
      <c r="Y729" t="s">
        <v>7053</v>
      </c>
    </row>
    <row r="730" spans="1:25" x14ac:dyDescent="0.3">
      <c r="A730">
        <v>36450</v>
      </c>
      <c r="B730" t="s">
        <v>7054</v>
      </c>
      <c r="C730">
        <f>-659.5972423157 -42.8010843023912 -83.105194479196</f>
        <v>-785.50352109728726</v>
      </c>
      <c r="D730">
        <f>-680.589965388393 -49.6758108876602 -196.807801629362</f>
        <v>-927.07357790541516</v>
      </c>
      <c r="E730">
        <f>-685.439889663808 -49.9311640351223 -295.311956899695</f>
        <v>-1030.6830105986253</v>
      </c>
      <c r="F730">
        <f>-684.979295253123 -48.3816811744873 -384.394034238964</f>
        <v>-1117.7550106665744</v>
      </c>
      <c r="G730">
        <f>-679.26017334933 -45.2008665429375 -473.250299672888</f>
        <v>-1197.7113395651554</v>
      </c>
      <c r="H730">
        <f>-665.708193221396 -39.254314516005 -596.950642002692</f>
        <v>-1301.9131497400931</v>
      </c>
      <c r="I730">
        <f>-637.858289345971 -27.9208435215483 -674.416579957588</f>
        <v>-1340.1957128251074</v>
      </c>
      <c r="J730">
        <f>-674.407163318218 -14.3164363997535 -541.491375203738</f>
        <v>-1230.2149749217094</v>
      </c>
      <c r="K730" t="s">
        <v>7055</v>
      </c>
      <c r="L730" t="s">
        <v>7056</v>
      </c>
      <c r="M730" t="s">
        <v>7057</v>
      </c>
      <c r="N730">
        <f>-668.936215927484 -69.4257358366533 -543.541160597543</f>
        <v>-1281.9031123616803</v>
      </c>
      <c r="O730">
        <f>-662.782877391355 -205.313464741383 -524.131334904689</f>
        <v>-1392.2276770374269</v>
      </c>
      <c r="P730">
        <f>-648.248001515417 -336.300474708835 -261.029991353205</f>
        <v>-1245.5784675774571</v>
      </c>
      <c r="Q730">
        <f>-496.912874341087 -215.754998576217 -404.617483398236</f>
        <v>-1117.28535631554</v>
      </c>
      <c r="R730" t="s">
        <v>7058</v>
      </c>
      <c r="S730" t="s">
        <v>7059</v>
      </c>
      <c r="T730" t="s">
        <v>7060</v>
      </c>
      <c r="U730" t="s">
        <v>7061</v>
      </c>
      <c r="V730">
        <f>-627.06577346517 -140.572244049296 -82.6400677650388</f>
        <v>-850.27808527950469</v>
      </c>
      <c r="W730" t="s">
        <v>7062</v>
      </c>
      <c r="X730" t="s">
        <v>7063</v>
      </c>
      <c r="Y730" t="s">
        <v>7064</v>
      </c>
    </row>
    <row r="731" spans="1:25" x14ac:dyDescent="0.3">
      <c r="A731">
        <v>36500</v>
      </c>
      <c r="B731" t="s">
        <v>7065</v>
      </c>
      <c r="C731">
        <f>-662.533608732008 -43.2681247214209 -79.9099024213386</f>
        <v>-785.71163587476758</v>
      </c>
      <c r="D731">
        <f>-683.023363545617 -50.2028381578914 -193.700584820787</f>
        <v>-926.92678652429538</v>
      </c>
      <c r="E731">
        <f>-687.432340946234 -50.2178462552574 -292.225648677787</f>
        <v>-1029.8758358792784</v>
      </c>
      <c r="F731">
        <f>-686.565609905058 -48.3246256807554 -381.298175189222</f>
        <v>-1116.1884107750352</v>
      </c>
      <c r="G731">
        <f>-680.429251665038 -44.6755988198015 -470.108485286326</f>
        <v>-1195.2133357711655</v>
      </c>
      <c r="H731">
        <f>-666.279837146511 -37.9438916787242 -593.701764708562</f>
        <v>-1297.9254935337972</v>
      </c>
      <c r="I731">
        <f>-638.591643534478 -26.6103955254134 -671.225586922733</f>
        <v>-1336.4276259826242</v>
      </c>
      <c r="J731">
        <f>-675.002742591327 -13.3366162365107 -538.098702808943</f>
        <v>-1226.4380616367807</v>
      </c>
      <c r="K731" t="s">
        <v>7066</v>
      </c>
      <c r="L731" t="s">
        <v>7067</v>
      </c>
      <c r="M731" t="s">
        <v>7068</v>
      </c>
      <c r="N731">
        <f>-670.009892673171 -68.4756795267931 -540.530343717716</f>
        <v>-1279.0159159176801</v>
      </c>
      <c r="O731">
        <f>-664.736625833744 -204.571967131372 -521.664302177621</f>
        <v>-1390.9728951427371</v>
      </c>
      <c r="P731">
        <f>-658.870321487528 -333.442654678685 -257.185333239238</f>
        <v>-1249.498309405451</v>
      </c>
      <c r="Q731">
        <f>-500.787165948393 -205.184704891871 -386.066959352877</f>
        <v>-1092.0388301931412</v>
      </c>
      <c r="R731" t="s">
        <v>7069</v>
      </c>
      <c r="S731" t="s">
        <v>7070</v>
      </c>
      <c r="T731" t="s">
        <v>7071</v>
      </c>
      <c r="U731" t="s">
        <v>7072</v>
      </c>
      <c r="V731">
        <f>-629.803837164867 -144.021255011268 -78.8744224095003</f>
        <v>-852.69951458563537</v>
      </c>
      <c r="W731" t="s">
        <v>7073</v>
      </c>
      <c r="X731" t="s">
        <v>7074</v>
      </c>
      <c r="Y731" t="s">
        <v>7075</v>
      </c>
    </row>
    <row r="732" spans="1:25" x14ac:dyDescent="0.3">
      <c r="A732">
        <v>36550</v>
      </c>
      <c r="B732" t="s">
        <v>7076</v>
      </c>
      <c r="C732">
        <f>-664.896823752063 -42.7601070708415 -78.0693837583276</f>
        <v>-785.72631458123215</v>
      </c>
      <c r="D732">
        <f>-684.938093908437 -49.3979692967937 -191.957575714327</f>
        <v>-926.29363891955768</v>
      </c>
      <c r="E732">
        <f>-689.003716254664 -49.1020177348892 -290.497096851043</f>
        <v>-1028.6028308405962</v>
      </c>
      <c r="F732">
        <f>-687.844957804507 -46.8975056394052 -379.559080808274</f>
        <v>-1114.3015442521862</v>
      </c>
      <c r="G732">
        <f>-681.435230711314 -42.907164491819 -468.335348333253</f>
        <v>-1192.6777435363861</v>
      </c>
      <c r="H732">
        <f>-666.923401999319 -35.6650799273564 -591.857716454187</f>
        <v>-1294.4461983808624</v>
      </c>
      <c r="I732">
        <f>-639.261042811418 -24.2656474947235 -669.381145969167</f>
        <v>-1332.9078362753085</v>
      </c>
      <c r="J732">
        <f>-675.65258549019 -11.2747176100518 -536.160191972339</f>
        <v>-1223.0874950725806</v>
      </c>
      <c r="K732" t="s">
        <v>7077</v>
      </c>
      <c r="L732" t="s">
        <v>7078</v>
      </c>
      <c r="M732" t="s">
        <v>7079</v>
      </c>
      <c r="N732">
        <f>-670.966167037673 -66.4291648817125 -538.843194978393</f>
        <v>-1276.2385268977785</v>
      </c>
      <c r="O732">
        <f>-666.438206184916 -202.593911835023 -520.323924607553</f>
        <v>-1389.3560426274919</v>
      </c>
      <c r="P732">
        <f>-664.378895001991 -330.096133785358 -255.125634315423</f>
        <v>-1249.6006631027722</v>
      </c>
      <c r="Q732">
        <f>-503.396197977708 -198.639340424368 -377.004737724254</f>
        <v>-1079.0402761263299</v>
      </c>
      <c r="R732" t="s">
        <v>7080</v>
      </c>
      <c r="S732" t="s">
        <v>7081</v>
      </c>
      <c r="T732" t="s">
        <v>7082</v>
      </c>
      <c r="U732" t="s">
        <v>7083</v>
      </c>
      <c r="V732">
        <f>-632.305283009373 -144.70404222277 -77.0893789621827</f>
        <v>-854.09870419432582</v>
      </c>
      <c r="W732" t="s">
        <v>7084</v>
      </c>
      <c r="X732" t="s">
        <v>7085</v>
      </c>
      <c r="Y732" t="s">
        <v>7086</v>
      </c>
    </row>
    <row r="733" spans="1:25" x14ac:dyDescent="0.3">
      <c r="A733">
        <v>36600</v>
      </c>
      <c r="B733" t="s">
        <v>7087</v>
      </c>
      <c r="C733">
        <f>-668.650849272856 -37.222252956853 -77.7113772634789</f>
        <v>-783.58447949318793</v>
      </c>
      <c r="D733">
        <f>-688.139502531403 -43.1957070768447 -191.732110532248</f>
        <v>-923.06732014049567</v>
      </c>
      <c r="E733">
        <f>-691.640609700177 -42.2758056889516 -290.289483858783</f>
        <v>-1024.2058992479115</v>
      </c>
      <c r="F733">
        <f>-689.9445861715 -39.4625314668597 -379.3256001924</f>
        <v>-1108.7327178307596</v>
      </c>
      <c r="G733">
        <f>-682.973253971701 -34.8167841118811 -468.027772823309</f>
        <v>-1185.8178109068911</v>
      </c>
      <c r="H733">
        <f>-667.654799650664 -26.6024481322938 -591.391787470915</f>
        <v>-1285.6490352538729</v>
      </c>
      <c r="I733">
        <f>-639.865317475153 -14.9354170882248 -668.829912897623</f>
        <v>-1323.6306474610008</v>
      </c>
      <c r="J733">
        <f>-676.466491937945 -2.63073655020321 -535.525623123559</f>
        <v>-1214.6228516117071</v>
      </c>
      <c r="K733" t="s">
        <v>7088</v>
      </c>
      <c r="L733" t="s">
        <v>7089</v>
      </c>
      <c r="M733" t="s">
        <v>7090</v>
      </c>
      <c r="N733">
        <f>-672.324901030509 -57.8035208479639 -538.685074181185</f>
        <v>-1268.8134960596578</v>
      </c>
      <c r="O733">
        <f>-669.022271919544 -194.080132304603 -520.61631232705</f>
        <v>-1383.7187165511968</v>
      </c>
      <c r="P733">
        <f>-672.435523541712 -320.716862182296 -255.017614208106</f>
        <v>-1248.169999932114</v>
      </c>
      <c r="Q733">
        <f>-506.637009675697 -183.502721070292 -363.341158930898</f>
        <v>-1053.480889676887</v>
      </c>
      <c r="R733" t="s">
        <v>7091</v>
      </c>
      <c r="S733" t="s">
        <v>7092</v>
      </c>
      <c r="T733" t="s">
        <v>7093</v>
      </c>
      <c r="U733" t="s">
        <v>7094</v>
      </c>
      <c r="V733">
        <f>-635.449612825128 -139.7516148755 -77.6274363908663</f>
        <v>-852.82866409149426</v>
      </c>
      <c r="W733" t="s">
        <v>7095</v>
      </c>
      <c r="X733" t="s">
        <v>7096</v>
      </c>
      <c r="Y733" t="s">
        <v>7097</v>
      </c>
    </row>
    <row r="734" spans="1:25" x14ac:dyDescent="0.3">
      <c r="A734">
        <v>36650</v>
      </c>
      <c r="B734" t="s">
        <v>7098</v>
      </c>
      <c r="C734">
        <f>-668.123866781854 -33.9929796414947 -78.5995647581625</f>
        <v>-780.71641118151115</v>
      </c>
      <c r="D734">
        <f>-687.512203065151 -39.6036617939697 -192.655812744625</f>
        <v>-919.77167760374562</v>
      </c>
      <c r="E734">
        <f>-690.841656706024 -38.4039532319291 -291.216118107708</f>
        <v>-1020.4617280456611</v>
      </c>
      <c r="F734">
        <f>-688.961796689366 -35.3395423855488 -380.240352711404</f>
        <v>-1104.5416917863188</v>
      </c>
      <c r="G734">
        <f>-681.780560310487 -30.4432905324518 -468.912234427446</f>
        <v>-1181.1360852703847</v>
      </c>
      <c r="H734">
        <f>-666.143935154289 -21.8754739257395 -592.212301901155</f>
        <v>-1280.2317109811834</v>
      </c>
      <c r="I734">
        <f>-638.258379840669 -10.092432174785 -669.598213844891</f>
        <v>-1317.949025860345</v>
      </c>
      <c r="J734" t="s">
        <v>7099</v>
      </c>
      <c r="K734" t="s">
        <v>7100</v>
      </c>
      <c r="L734" t="s">
        <v>7101</v>
      </c>
      <c r="M734" t="s">
        <v>7102</v>
      </c>
      <c r="N734">
        <f>-671.072248833306 -53.2354192926973 -539.623543622702</f>
        <v>-1263.9312117487052</v>
      </c>
      <c r="O734">
        <f>-668.334107130002 -189.50565731513 -521.674132746223</f>
        <v>-1379.513897191355</v>
      </c>
      <c r="P734">
        <f>-673.149096190759 -316.500320695509 -256.268065693654</f>
        <v>-1245.9174825799221</v>
      </c>
      <c r="Q734">
        <f>-506.157828913204 -175.917249770998 -358.25422496025</f>
        <v>-1040.329303644452</v>
      </c>
      <c r="R734" t="s">
        <v>7103</v>
      </c>
      <c r="S734" t="s">
        <v>7104</v>
      </c>
      <c r="T734" t="s">
        <v>7105</v>
      </c>
      <c r="U734" t="s">
        <v>7106</v>
      </c>
      <c r="V734">
        <f>-634.066067010981 -136.943533328633 -79.1381139496443</f>
        <v>-850.14771428925837</v>
      </c>
      <c r="W734" t="s">
        <v>7107</v>
      </c>
      <c r="X734" t="s">
        <v>7108</v>
      </c>
      <c r="Y734" t="s">
        <v>7109</v>
      </c>
    </row>
    <row r="735" spans="1:25" x14ac:dyDescent="0.3">
      <c r="A735">
        <v>36700</v>
      </c>
      <c r="B735" t="s">
        <v>7110</v>
      </c>
      <c r="C735">
        <f>-682.64051957325 -14.3030388635718 -80.8193535161469</f>
        <v>-777.76291195296869</v>
      </c>
      <c r="D735">
        <f>-701.954297755229 -19.325240025184 -194.915726196691</f>
        <v>-916.1952639771041</v>
      </c>
      <c r="E735">
        <f>-705.149871633269 -17.7268130716036 -293.474804058048</f>
        <v>-1016.3514887629206</v>
      </c>
      <c r="F735">
        <f>-703.128799358969 -14.3326399570683 -382.483921526225</f>
        <v>-1099.9453608422623</v>
      </c>
      <c r="G735">
        <f>-695.789724143958 -9.13512338131 -471.125665291266</f>
        <v>-1176.0505128165339</v>
      </c>
      <c r="H735">
        <f>-679.917969104561 -0.172511053903008 -594.367712121092</f>
        <v>-1274.458192279556</v>
      </c>
      <c r="I735" t="s">
        <v>7111</v>
      </c>
      <c r="J735" t="s">
        <v>7112</v>
      </c>
      <c r="K735" t="s">
        <v>7113</v>
      </c>
      <c r="L735" t="s">
        <v>7114</v>
      </c>
      <c r="M735" t="s">
        <v>7115</v>
      </c>
      <c r="N735">
        <f>-685.097428705526 -31.7096900252297 -541.909292198647</f>
        <v>-1258.7164109294026</v>
      </c>
      <c r="O735">
        <f>-683.262504909776 -167.997271493575 -523.976036633809</f>
        <v>-1375.2358130371599</v>
      </c>
      <c r="P735">
        <f>-687.682376202716 -296.805553201 -259.438510517929</f>
        <v>-1243.9264399216449</v>
      </c>
      <c r="Q735">
        <f>-520.487430715671 -149.107127458554 -350.443261999292</f>
        <v>-1020.037820173517</v>
      </c>
      <c r="R735" t="s">
        <v>7116</v>
      </c>
      <c r="S735" t="s">
        <v>7117</v>
      </c>
      <c r="T735" t="s">
        <v>7118</v>
      </c>
      <c r="U735" t="s">
        <v>7119</v>
      </c>
      <c r="V735">
        <f>-659.869301818433 -106.745342316753 -81.8489175480981</f>
        <v>-848.46356168328407</v>
      </c>
      <c r="W735" t="s">
        <v>7120</v>
      </c>
      <c r="X735" t="s">
        <v>7121</v>
      </c>
      <c r="Y735" t="s">
        <v>7122</v>
      </c>
    </row>
    <row r="736" spans="1:25" x14ac:dyDescent="0.3">
      <c r="A736">
        <v>36750</v>
      </c>
      <c r="B736" t="s">
        <v>7123</v>
      </c>
      <c r="C736">
        <f>-689.212898106896 -6.33305159526162 -81.5755084753337</f>
        <v>-777.12145817749126</v>
      </c>
      <c r="D736">
        <f>-708.615125208607 -11.1593833981515 -195.665263815761</f>
        <v>-915.43977242251947</v>
      </c>
      <c r="E736">
        <f>-711.833388818535 -9.44053200368649 -294.221601421602</f>
        <v>-1015.4955222438234</v>
      </c>
      <c r="F736">
        <f>-709.813945469857 -5.95454109717866 -383.227283112676</f>
        <v>-1098.9957696797117</v>
      </c>
      <c r="G736">
        <f>-702.458464107259 -0.68180389449185 -471.863250313028</f>
        <v>-1175.0035183147788</v>
      </c>
      <c r="H736" t="s">
        <v>7124</v>
      </c>
      <c r="I736" t="s">
        <v>7125</v>
      </c>
      <c r="J736" t="s">
        <v>7126</v>
      </c>
      <c r="K736" t="s">
        <v>7127</v>
      </c>
      <c r="L736" t="s">
        <v>7128</v>
      </c>
      <c r="M736" t="s">
        <v>7129</v>
      </c>
      <c r="N736">
        <f>-691.743397734212 -23.205742635887 -542.659416411811</f>
        <v>-1257.60855678191</v>
      </c>
      <c r="O736">
        <f>-689.892082038194 -159.492075820375 -524.701594775233</f>
        <v>-1374.085752633802</v>
      </c>
      <c r="P736">
        <f>-693.818300958117 -289.187966292961 -260.590338193978</f>
        <v>-1243.596605445056</v>
      </c>
      <c r="Q736">
        <f>-526.880201055924 -138.59282236526 -347.21420101623</f>
        <v>-1012.687224437414</v>
      </c>
      <c r="R736" t="s">
        <v>7130</v>
      </c>
      <c r="S736" t="s">
        <v>7131</v>
      </c>
      <c r="T736" t="s">
        <v>7132</v>
      </c>
      <c r="U736" t="s">
        <v>7133</v>
      </c>
      <c r="V736">
        <f>-667.865165781029 -96.8731016579716 -82.943633482421</f>
        <v>-847.68190092142152</v>
      </c>
      <c r="W736" t="s">
        <v>7134</v>
      </c>
      <c r="X736" t="s">
        <v>7135</v>
      </c>
      <c r="Y736" t="s">
        <v>7136</v>
      </c>
    </row>
    <row r="737" spans="1:25" x14ac:dyDescent="0.3">
      <c r="A737">
        <v>36800</v>
      </c>
      <c r="B737" t="s">
        <v>7137</v>
      </c>
      <c r="C737">
        <f>-691.148452228249 -1.72558287229504 -82.5274879081773</f>
        <v>-775.40152300872137</v>
      </c>
      <c r="D737">
        <f>-710.936433041295 -6.49897460155148 -196.553190539507</f>
        <v>-913.98859818235348</v>
      </c>
      <c r="E737">
        <f>-714.428128632568 -4.70645539235829 -295.098961981209</f>
        <v>-1014.2335460061354</v>
      </c>
      <c r="F737">
        <f>-712.635744278392 -1.13239535674575 -384.105946137022</f>
        <v>-1097.8740857721598</v>
      </c>
      <c r="G737" t="s">
        <v>7138</v>
      </c>
      <c r="H737" t="s">
        <v>7139</v>
      </c>
      <c r="I737" t="s">
        <v>7140</v>
      </c>
      <c r="J737" t="s">
        <v>7141</v>
      </c>
      <c r="K737" t="s">
        <v>7142</v>
      </c>
      <c r="L737" t="s">
        <v>7143</v>
      </c>
      <c r="M737" t="s">
        <v>7144</v>
      </c>
      <c r="N737">
        <f>-694.755669214048 -18.1415454731173 -543.585227872389</f>
        <v>-1256.4824425595543</v>
      </c>
      <c r="O737">
        <f>-691.937900873051 -154.403002249301 -525.672169174053</f>
        <v>-1372.013072296405</v>
      </c>
      <c r="P737">
        <f>-694.70761549747 -284.773548227794 -261.878577396908</f>
        <v>-1241.359741122172</v>
      </c>
      <c r="Q737">
        <f>-529.143410752899 -129.180528017693 -342.066874318011</f>
        <v>-1000.390813088603</v>
      </c>
      <c r="R737" t="s">
        <v>7145</v>
      </c>
      <c r="S737" t="s">
        <v>7146</v>
      </c>
      <c r="T737" t="s">
        <v>7147</v>
      </c>
      <c r="U737" t="s">
        <v>7148</v>
      </c>
      <c r="V737">
        <f>-668.741835955482 -93.8784693498346 -83.7651331049041</f>
        <v>-846.38543841022067</v>
      </c>
      <c r="W737" t="s">
        <v>7149</v>
      </c>
      <c r="X737" t="s">
        <v>7150</v>
      </c>
      <c r="Y737" t="s">
        <v>7151</v>
      </c>
    </row>
    <row r="738" spans="1:25" x14ac:dyDescent="0.3">
      <c r="A738">
        <v>36850</v>
      </c>
      <c r="B738" t="s">
        <v>7152</v>
      </c>
      <c r="C738">
        <f>-689.138952391551 -2.67898903466858 -82.8010150260208</f>
        <v>-774.61895645224035</v>
      </c>
      <c r="D738">
        <f>-709.223105105952 -7.72289758361876 -196.763274833293</f>
        <v>-913.70927752286366</v>
      </c>
      <c r="E738">
        <f>-712.981275673403 -6.03790013705498 -295.30114211337</f>
        <v>-1014.320317923828</v>
      </c>
      <c r="F738">
        <f>-711.434336376202 -2.50231351512093 -384.314249777738</f>
        <v>-1098.250899669061</v>
      </c>
      <c r="G738" t="s">
        <v>7153</v>
      </c>
      <c r="H738" t="s">
        <v>7154</v>
      </c>
      <c r="I738" t="s">
        <v>7155</v>
      </c>
      <c r="J738" t="s">
        <v>7156</v>
      </c>
      <c r="K738" t="s">
        <v>7157</v>
      </c>
      <c r="L738" t="s">
        <v>7158</v>
      </c>
      <c r="M738" t="s">
        <v>7159</v>
      </c>
      <c r="N738">
        <f>-693.871045606965 -19.4108689988909 -543.844908970371</f>
        <v>-1257.1268235762268</v>
      </c>
      <c r="O738">
        <f>-690.361581070374 -155.627413181908 -525.869634557853</f>
        <v>-1371.8586288101351</v>
      </c>
      <c r="P738">
        <f>-692.012865805031 -285.370186409954 -261.757307552852</f>
        <v>-1239.1403597678368</v>
      </c>
      <c r="Q738">
        <f>-527.372572517702 -128.084763905051 -340.534280018587</f>
        <v>-995.99161644134006</v>
      </c>
      <c r="R738" t="s">
        <v>7160</v>
      </c>
      <c r="S738" t="s">
        <v>7161</v>
      </c>
      <c r="T738" t="s">
        <v>7162</v>
      </c>
      <c r="U738" t="s">
        <v>7163</v>
      </c>
      <c r="V738">
        <f>-666.692594573301 -95.4455150938868 -83.6663447119714</f>
        <v>-845.80445437915921</v>
      </c>
      <c r="W738" t="s">
        <v>7164</v>
      </c>
      <c r="X738" t="s">
        <v>7165</v>
      </c>
      <c r="Y738" t="s">
        <v>7166</v>
      </c>
    </row>
    <row r="739" spans="1:25" x14ac:dyDescent="0.3">
      <c r="A739">
        <v>36900</v>
      </c>
      <c r="B739" t="s">
        <v>7167</v>
      </c>
      <c r="C739">
        <f>-685.998074812438 -4.91153625473999 -82.9782004689869</f>
        <v>-773.8878115361648</v>
      </c>
      <c r="D739">
        <f>-706.563987808992 -10.3562759478934 -196.83613398769</f>
        <v>-913.75639774457545</v>
      </c>
      <c r="E739">
        <f>-710.724000122255 -8.82873563905082 -295.360270204036</f>
        <v>-1014.9130059653419</v>
      </c>
      <c r="F739">
        <f>-709.531821250163 -5.35702197899832 -384.381414988198</f>
        <v>-1099.2702582173592</v>
      </c>
      <c r="G739" t="s">
        <v>7168</v>
      </c>
      <c r="H739" t="s">
        <v>7169</v>
      </c>
      <c r="I739" t="s">
        <v>7170</v>
      </c>
      <c r="J739" t="s">
        <v>7171</v>
      </c>
      <c r="K739" t="s">
        <v>7172</v>
      </c>
      <c r="L739" t="s">
        <v>7173</v>
      </c>
      <c r="M739" t="s">
        <v>7174</v>
      </c>
      <c r="N739">
        <f>-692.442197952587 -22.1716603962145 -543.980288070044</f>
        <v>-1258.5941464188454</v>
      </c>
      <c r="O739">
        <f>-688.157810619572 -158.363661921252 -525.871777935544</f>
        <v>-1372.3932504763679</v>
      </c>
      <c r="P739">
        <f>-688.234143283423 -286.886294292264 -261.158467146499</f>
        <v>-1236.2789047221859</v>
      </c>
      <c r="Q739">
        <f>-524.427950159506 -128.64465935451 -339.758461536188</f>
        <v>-992.83107105020395</v>
      </c>
      <c r="R739" t="s">
        <v>7175</v>
      </c>
      <c r="S739" t="s">
        <v>7176</v>
      </c>
      <c r="T739" t="s">
        <v>7177</v>
      </c>
      <c r="U739" t="s">
        <v>7178</v>
      </c>
      <c r="V739">
        <f>-663.230031918802 -97.9788550988583 -83.7269569907508</f>
        <v>-844.93584400841098</v>
      </c>
      <c r="W739" t="s">
        <v>7179</v>
      </c>
      <c r="X739" t="s">
        <v>7180</v>
      </c>
      <c r="Y739" t="s">
        <v>7181</v>
      </c>
    </row>
    <row r="740" spans="1:25" x14ac:dyDescent="0.3">
      <c r="A740">
        <v>36950</v>
      </c>
      <c r="B740" t="s">
        <v>7182</v>
      </c>
      <c r="C740">
        <f>-680.161652826399 -10.8132586597033 -82.9103250560586</f>
        <v>-773.88523654216078</v>
      </c>
      <c r="D740">
        <f>-702.023488023403 -16.7434843802337 -196.502255363445</f>
        <v>-915.2692277670817</v>
      </c>
      <c r="E740">
        <f>-707.325198644802 -15.4096888709662 -294.974437202477</f>
        <v>-1017.7093247182452</v>
      </c>
      <c r="F740">
        <f>-707.165525067229 -12.0297050562956 -384.006992095328</f>
        <v>-1103.2022222188525</v>
      </c>
      <c r="G740">
        <f>-701.639514093183 -6.5998054721058 -472.766263664279</f>
        <v>-1181.0055832295679</v>
      </c>
      <c r="H740" t="s">
        <v>7183</v>
      </c>
      <c r="I740" t="s">
        <v>7184</v>
      </c>
      <c r="J740" t="s">
        <v>7185</v>
      </c>
      <c r="K740" t="s">
        <v>7186</v>
      </c>
      <c r="L740" t="s">
        <v>7187</v>
      </c>
      <c r="M740" t="s">
        <v>7188</v>
      </c>
      <c r="N740">
        <f>-691.631452055015 -28.7788057744654 -543.77450257311</f>
        <v>-1264.1847604025902</v>
      </c>
      <c r="O740">
        <f>-685.757320359212 -164.878370122791 -525.417612659523</f>
        <v>-1376.0533031415262</v>
      </c>
      <c r="P740">
        <f>-682.270316113298 -289.176671195724 -258.717527621059</f>
        <v>-1230.1645149300809</v>
      </c>
      <c r="Q740">
        <f>-519.712878426066 -130.847570136487 -339.69789757315</f>
        <v>-990.25834613570305</v>
      </c>
      <c r="R740" t="s">
        <v>7189</v>
      </c>
      <c r="S740" t="s">
        <v>7190</v>
      </c>
      <c r="T740" t="s">
        <v>7191</v>
      </c>
      <c r="U740" t="s">
        <v>7192</v>
      </c>
      <c r="V740">
        <f>-656.482208150564 -103.142133496869 -84.4248757643949</f>
        <v>-844.04921741182784</v>
      </c>
      <c r="W740" t="s">
        <v>7193</v>
      </c>
      <c r="X740" t="s">
        <v>7194</v>
      </c>
      <c r="Y740" t="s">
        <v>7195</v>
      </c>
    </row>
    <row r="741" spans="1:25" x14ac:dyDescent="0.3">
      <c r="A741">
        <v>37000</v>
      </c>
      <c r="B741" t="s">
        <v>7196</v>
      </c>
      <c r="C741">
        <f>-673.819961487615 -16.0869902091097 -82.3837175754644</f>
        <v>-772.29066927218912</v>
      </c>
      <c r="D741">
        <f>-696.75298896971 -22.9197222958182 -195.713364872687</f>
        <v>-915.38607613821523</v>
      </c>
      <c r="E741">
        <f>-703.210213270067 -22.0420710103642 -294.121694414615</f>
        <v>-1019.3739786950462</v>
      </c>
      <c r="F741">
        <f>-704.178076706291 -18.9461105923779 -383.159354998576</f>
        <v>-1106.2835422972448</v>
      </c>
      <c r="G741">
        <f>-699.85513562053 -13.6641520488752 -471.994302646226</f>
        <v>-1185.5135903156311</v>
      </c>
      <c r="H741">
        <f>-688.213012062622 -4.16443414032824 -595.667488544305</f>
        <v>-1288.0449347472554</v>
      </c>
      <c r="I741" t="s">
        <v>7197</v>
      </c>
      <c r="J741" t="s">
        <v>7198</v>
      </c>
      <c r="K741" t="s">
        <v>7199</v>
      </c>
      <c r="L741" t="s">
        <v>7200</v>
      </c>
      <c r="M741" t="s">
        <v>7201</v>
      </c>
      <c r="N741">
        <f>-690.576407452772 -35.8538026353656 -543.09836707747</f>
        <v>-1269.5285771656077</v>
      </c>
      <c r="O741">
        <f>-683.083229038676 -171.894412029012 -524.813174180946</f>
        <v>-1379.7908152486339</v>
      </c>
      <c r="P741">
        <f>-674.953836631049 -292.723370156155 -256.623927924909</f>
        <v>-1224.3011347121128</v>
      </c>
      <c r="Q741">
        <f>-514.783226134528 -133.652705647948 -340.842411411381</f>
        <v>-989.27834319385704</v>
      </c>
      <c r="R741" t="s">
        <v>7202</v>
      </c>
      <c r="S741" t="s">
        <v>7203</v>
      </c>
      <c r="T741" t="s">
        <v>7204</v>
      </c>
      <c r="U741" t="s">
        <v>7205</v>
      </c>
      <c r="V741">
        <f>-648.211315909772 -109.726835338036 -83.0558040420872</f>
        <v>-840.99395528989521</v>
      </c>
      <c r="W741" t="s">
        <v>7206</v>
      </c>
      <c r="X741" t="s">
        <v>7207</v>
      </c>
      <c r="Y741" t="s">
        <v>7208</v>
      </c>
    </row>
    <row r="742" spans="1:25" x14ac:dyDescent="0.3">
      <c r="A742">
        <v>37050</v>
      </c>
      <c r="B742" t="s">
        <v>7209</v>
      </c>
      <c r="C742">
        <f>-670.98122239805 -18.4295040995498 -82.3469173772374</f>
        <v>-771.7576438748373</v>
      </c>
      <c r="D742">
        <f>-694.266986732085 -25.8027713013355 -195.570770497913</f>
        <v>-915.64052853133353</v>
      </c>
      <c r="E742">
        <f>-701.118121942925 -25.1363242294319 -293.954070797091</f>
        <v>-1020.2085169694478</v>
      </c>
      <c r="F742">
        <f>-702.469878866874 -22.1319658693844 -382.99000963449</f>
        <v>-1107.5918543707485</v>
      </c>
      <c r="G742">
        <f>-698.55382234367 -16.8410613990402 -471.843336123598</f>
        <v>-1187.2382198663083</v>
      </c>
      <c r="H742">
        <f>-687.499940743711 -7.22384612997098 -595.561270331196</f>
        <v>-1290.2850572048781</v>
      </c>
      <c r="I742" t="s">
        <v>7210</v>
      </c>
      <c r="J742" t="s">
        <v>7211</v>
      </c>
      <c r="K742" t="s">
        <v>7212</v>
      </c>
      <c r="L742" t="s">
        <v>7213</v>
      </c>
      <c r="M742" t="s">
        <v>7214</v>
      </c>
      <c r="N742">
        <f>-689.521544002098 -38.9543535339335 -543.00272109389</f>
        <v>-1271.4786186299216</v>
      </c>
      <c r="O742">
        <f>-681.33377141964 -175.002104844586 -524.80809124035</f>
        <v>-1381.143967504576</v>
      </c>
      <c r="P742">
        <f>-670.857289272255 -294.650435382172 -256.17118976649</f>
        <v>-1221.678914420917</v>
      </c>
      <c r="Q742">
        <f>-511.83414682854 -135.119543339508 -341.683912813942</f>
        <v>-988.63760298198997</v>
      </c>
      <c r="R742" t="s">
        <v>7215</v>
      </c>
      <c r="S742" t="s">
        <v>7216</v>
      </c>
      <c r="T742" t="s">
        <v>7217</v>
      </c>
      <c r="U742" t="s">
        <v>7218</v>
      </c>
      <c r="V742">
        <f>-645.327505844831 -111.068611253405 -82.9103042299686</f>
        <v>-839.30642132820458</v>
      </c>
      <c r="W742" t="s">
        <v>7219</v>
      </c>
      <c r="X742" t="s">
        <v>7220</v>
      </c>
      <c r="Y742" t="s">
        <v>7221</v>
      </c>
    </row>
    <row r="743" spans="1:25" x14ac:dyDescent="0.3">
      <c r="A743">
        <v>37100</v>
      </c>
      <c r="B743" t="s">
        <v>7222</v>
      </c>
      <c r="C743">
        <f>-668.006842304785 -22.2495370457734 -82.1322310113816</f>
        <v>-772.38861036193998</v>
      </c>
      <c r="D743">
        <f>-691.627043220167 -30.2549578549429 -195.24374446584</f>
        <v>-917.12574554094988</v>
      </c>
      <c r="E743">
        <f>-698.895911806382 -29.8118270166683 -293.598443801961</f>
        <v>-1022.3061826250113</v>
      </c>
      <c r="F743">
        <f>-700.667024517162 -26.8830200751765 -382.629369960486</f>
        <v>-1110.1794145528245</v>
      </c>
      <c r="G743">
        <f>-697.20593120934 -21.5399748600507 -471.498494885989</f>
        <v>-1190.2444009553797</v>
      </c>
      <c r="H743">
        <f>-686.819722762922 -11.7166843412167 -595.258120638739</f>
        <v>-1293.7945277428776</v>
      </c>
      <c r="I743" t="s">
        <v>7223</v>
      </c>
      <c r="J743" t="s">
        <v>7224</v>
      </c>
      <c r="K743" t="s">
        <v>7225</v>
      </c>
      <c r="L743" t="s">
        <v>7226</v>
      </c>
      <c r="M743" t="s">
        <v>7227</v>
      </c>
      <c r="N743">
        <f>-688.466409149006 -43.5257070430373 -542.733969615074</f>
        <v>-1274.7260858071172</v>
      </c>
      <c r="O743">
        <f>-679.539495343725 -179.496363624475 -524.67029232031</f>
        <v>-1383.70615128851</v>
      </c>
      <c r="P743">
        <f>-665.326555702384 -297.358604535783 -255.41643132057</f>
        <v>-1218.101591558737</v>
      </c>
      <c r="Q743">
        <f>-508.834792579996 -135.866635921527 -341.912209654121</f>
        <v>-986.61363815564391</v>
      </c>
      <c r="R743" t="s">
        <v>7228</v>
      </c>
      <c r="S743" t="s">
        <v>7229</v>
      </c>
      <c r="T743" t="s">
        <v>7230</v>
      </c>
      <c r="U743" t="s">
        <v>7231</v>
      </c>
      <c r="V743">
        <f>-641.518488513955 -114.373874090016 -82.1177070853468</f>
        <v>-838.01006968931779</v>
      </c>
      <c r="W743" t="s">
        <v>7232</v>
      </c>
      <c r="X743" t="s">
        <v>7233</v>
      </c>
      <c r="Y743" t="s">
        <v>7234</v>
      </c>
    </row>
    <row r="744" spans="1:25" x14ac:dyDescent="0.3">
      <c r="A744">
        <v>37150</v>
      </c>
      <c r="B744" t="s">
        <v>7235</v>
      </c>
      <c r="C744">
        <f>-666.647471515678 -24.6145933968171 -83.4917064353341</f>
        <v>-774.75377134782923</v>
      </c>
      <c r="D744">
        <f>-690.413332792002 -32.9368634464681 -196.549892112306</f>
        <v>-919.90008835077617</v>
      </c>
      <c r="E744">
        <f>-697.798835622832 -32.6647813802808 -294.896462461922</f>
        <v>-1025.3600794650349</v>
      </c>
      <c r="F744">
        <f>-699.668534298822 -29.8505676615023 -383.929088084283</f>
        <v>-1113.4481900446074</v>
      </c>
      <c r="G744">
        <f>-696.296940369705 -24.5825765066593 -472.806082466046</f>
        <v>-1193.6855993424103</v>
      </c>
      <c r="H744">
        <f>-686.025439260467 -14.8229131865414 -596.580306670924</f>
        <v>-1297.4286591179325</v>
      </c>
      <c r="I744">
        <f>-658.599641298157 -2.09791606741464 -673.981457080723</f>
        <v>-1334.6790144462948</v>
      </c>
      <c r="J744" t="s">
        <v>7236</v>
      </c>
      <c r="K744" t="s">
        <v>7237</v>
      </c>
      <c r="L744" t="s">
        <v>7238</v>
      </c>
      <c r="M744" t="s">
        <v>7239</v>
      </c>
      <c r="N744">
        <f>-687.617032911718 -46.6041872773947 -544.037742969501</f>
        <v>-1278.2589631586136</v>
      </c>
      <c r="O744">
        <f>-678.459087353588 -182.537019359431 -525.854038572669</f>
        <v>-1386.8501452856881</v>
      </c>
      <c r="P744">
        <f>-662.473841700523 -299.900576451427 -256.481600624147</f>
        <v>-1218.856018776097</v>
      </c>
      <c r="Q744">
        <f>-507.156525331275 -137.102104172048 -342.644333261181</f>
        <v>-986.90296276450408</v>
      </c>
      <c r="R744" t="s">
        <v>7240</v>
      </c>
      <c r="S744" t="s">
        <v>7241</v>
      </c>
      <c r="T744" t="s">
        <v>7242</v>
      </c>
      <c r="U744" t="s">
        <v>7243</v>
      </c>
      <c r="V744">
        <f>-639.981203251972 -117.006004415722 -83.6592958873698</f>
        <v>-840.64650355506387</v>
      </c>
      <c r="W744" t="s">
        <v>7244</v>
      </c>
      <c r="X744" t="s">
        <v>7245</v>
      </c>
      <c r="Y744" t="s">
        <v>7246</v>
      </c>
    </row>
    <row r="745" spans="1:25" x14ac:dyDescent="0.3">
      <c r="A745">
        <v>37200</v>
      </c>
      <c r="B745" t="s">
        <v>7247</v>
      </c>
      <c r="C745">
        <f>-665.510465171592 -26.1640990987789 -85.440443989451</f>
        <v>-777.11500825982193</v>
      </c>
      <c r="D745">
        <f>-689.793096480366 -35.0333259309066 -198.347115938945</f>
        <v>-923.17353835021754</v>
      </c>
      <c r="E745">
        <f>-697.385477132477 -35.0340935291372 -296.678208247089</f>
        <v>-1029.0977789087033</v>
      </c>
      <c r="F745">
        <f>-699.339199614346 -32.3924460106991 -385.714437089588</f>
        <v>-1117.4460827146331</v>
      </c>
      <c r="G745">
        <f>-695.946205523077 -27.2265318895802 -474.596651646499</f>
        <v>-1197.7693890591563</v>
      </c>
      <c r="H745">
        <f>-685.53189934774 -17.5399540562046 -598.364673687228</f>
        <v>-1301.4365270911726</v>
      </c>
      <c r="I745">
        <f>-658.502168070184 -4.97554118761991 -675.931213886378</f>
        <v>-1339.4089231441819</v>
      </c>
      <c r="J745" t="s">
        <v>7248</v>
      </c>
      <c r="K745" t="s">
        <v>7249</v>
      </c>
      <c r="L745" t="s">
        <v>7250</v>
      </c>
      <c r="M745" t="s">
        <v>7251</v>
      </c>
      <c r="N745">
        <f>-687.19271456025 -49.2911186108265 -545.806008876286</f>
        <v>-1282.2898420473625</v>
      </c>
      <c r="O745">
        <f>-677.647474423738 -185.172714146979 -527.268467752919</f>
        <v>-1390.0886563236359</v>
      </c>
      <c r="P745">
        <f>-658.310075811892 -301.558406549845 -257.691628038858</f>
        <v>-1217.560110400595</v>
      </c>
      <c r="Q745">
        <f>-504.710988985846 -136.424417497655 -342.479242178403</f>
        <v>-983.61464866190408</v>
      </c>
      <c r="R745" t="s">
        <v>7252</v>
      </c>
      <c r="S745" t="s">
        <v>7253</v>
      </c>
      <c r="T745" t="s">
        <v>7254</v>
      </c>
      <c r="U745" t="s">
        <v>7255</v>
      </c>
      <c r="V745">
        <f>-639.465363387032 -117.224405823866 -85.4009134406035</f>
        <v>-842.09068265150154</v>
      </c>
      <c r="W745" t="s">
        <v>7256</v>
      </c>
      <c r="X745" t="s">
        <v>7257</v>
      </c>
      <c r="Y745" t="s">
        <v>7258</v>
      </c>
    </row>
    <row r="746" spans="1:25" x14ac:dyDescent="0.3">
      <c r="A746">
        <v>37250</v>
      </c>
      <c r="B746" t="s">
        <v>7259</v>
      </c>
      <c r="C746">
        <f>-664.836466276612 -27.2772749719629 -86.3908716822099</f>
        <v>-778.50461293078479</v>
      </c>
      <c r="D746">
        <f>-689.355481789151 -36.3044578193362 -199.233806186982</f>
        <v>-924.89374579546916</v>
      </c>
      <c r="E746">
        <f>-697.075570254363 -36.3862551853399 -297.555036879604</f>
        <v>-1031.0168623193069</v>
      </c>
      <c r="F746">
        <f>-699.113754668258 -33.7944092004732 -386.590886263377</f>
        <v>-1119.4990501321081</v>
      </c>
      <c r="G746">
        <f>-695.773984196089 -28.6535540340628 -475.476371825161</f>
        <v>-1199.9039100553127</v>
      </c>
      <c r="H746">
        <f>-685.401523426332 -18.9751626775162 -599.24859652933</f>
        <v>-1303.6252826331784</v>
      </c>
      <c r="I746">
        <f>-658.617331793784 -6.51164707311045 -676.916622687</f>
        <v>-1342.0456015538944</v>
      </c>
      <c r="J746" t="s">
        <v>7260</v>
      </c>
      <c r="K746" t="s">
        <v>7261</v>
      </c>
      <c r="L746" t="s">
        <v>7262</v>
      </c>
      <c r="M746" t="s">
        <v>7263</v>
      </c>
      <c r="N746">
        <f>-686.997819588049 -50.7181361335427 -546.683100368707</f>
        <v>-1284.3990560902985</v>
      </c>
      <c r="O746">
        <f>-677.063969186149 -186.527042064256 -527.950516809528</f>
        <v>-1391.5415280599332</v>
      </c>
      <c r="P746">
        <f>-656.722784638649 -301.82225378352 -257.979270638338</f>
        <v>-1216.524309060507</v>
      </c>
      <c r="Q746">
        <f>-503.837942123983 -135.51480587633 -341.758303128858</f>
        <v>-981.11105112917107</v>
      </c>
      <c r="R746" t="s">
        <v>7264</v>
      </c>
      <c r="S746" t="s">
        <v>7265</v>
      </c>
      <c r="T746" t="s">
        <v>7266</v>
      </c>
      <c r="U746" t="s">
        <v>7267</v>
      </c>
      <c r="V746">
        <f>-638.634090474852 -118.280012640583 -86.3565926195361</f>
        <v>-843.27069573497101</v>
      </c>
      <c r="W746" t="s">
        <v>7268</v>
      </c>
      <c r="X746" t="s">
        <v>7269</v>
      </c>
      <c r="Y746" t="s">
        <v>7270</v>
      </c>
    </row>
    <row r="747" spans="1:25" x14ac:dyDescent="0.3">
      <c r="A747">
        <v>37300</v>
      </c>
      <c r="B747" t="s">
        <v>7271</v>
      </c>
      <c r="C747">
        <f>-662.670504155263 -30.2300702990283 -88.389995298031</f>
        <v>-781.2905697523222</v>
      </c>
      <c r="D747">
        <f>-687.594784925594 -39.8864029323374 -201.092041768908</f>
        <v>-928.57322962683941</v>
      </c>
      <c r="E747">
        <f>-695.734466933224 -40.3244458925556 -299.378551233953</f>
        <v>-1035.4374640597325</v>
      </c>
      <c r="F747">
        <f>-698.175694636961 -37.9785865513843 -388.41080666553</f>
        <v>-1124.5650878538754</v>
      </c>
      <c r="G747">
        <f>-695.260355344378 -33.0011065529754 -477.3208475126</f>
        <v>-1205.5823094099535</v>
      </c>
      <c r="H747">
        <f>-685.500396499642 -23.4613225861301 -601.153446436373</f>
        <v>-1310.1151655221452</v>
      </c>
      <c r="I747">
        <f>-659.323106567384 -11.1028651283848 -679.044751546039</f>
        <v>-1349.4707232418077</v>
      </c>
      <c r="J747">
        <f>-692.984173730859 -0.197574748153784 -544.796518945108</f>
        <v>-1237.9782674241208</v>
      </c>
      <c r="K747" t="s">
        <v>7272</v>
      </c>
      <c r="L747" t="s">
        <v>7273</v>
      </c>
      <c r="M747" t="s">
        <v>7274</v>
      </c>
      <c r="N747">
        <f>-686.606224475609 -55.1211048736579 -548.525013591448</f>
        <v>-1290.2523429407149</v>
      </c>
      <c r="O747">
        <f>-675.32799964844 -190.774715240501 -529.327348062363</f>
        <v>-1395.4300629513041</v>
      </c>
      <c r="P747">
        <f>-653.458845076471 -303.262056562603 -258.293248566388</f>
        <v>-1215.0141502054621</v>
      </c>
      <c r="Q747">
        <f>-502.150151778917 -134.581260097906 -340.167286373672</f>
        <v>-976.89869825049504</v>
      </c>
      <c r="R747" t="s">
        <v>7275</v>
      </c>
      <c r="S747" t="s">
        <v>7276</v>
      </c>
      <c r="T747" t="s">
        <v>7277</v>
      </c>
      <c r="U747" t="s">
        <v>7278</v>
      </c>
      <c r="V747">
        <f>-635.434914006234 -121.244734128521 -88.1992150184003</f>
        <v>-844.87886315315529</v>
      </c>
      <c r="W747" t="s">
        <v>7279</v>
      </c>
      <c r="X747" t="s">
        <v>7280</v>
      </c>
      <c r="Y747" t="s">
        <v>7281</v>
      </c>
    </row>
    <row r="748" spans="1:25" x14ac:dyDescent="0.3">
      <c r="A748">
        <v>37350</v>
      </c>
      <c r="B748" t="s">
        <v>7282</v>
      </c>
      <c r="C748">
        <f>-660.244639669264 -33.3019358909398 -89.8239135891854</f>
        <v>-783.37048914938919</v>
      </c>
      <c r="D748">
        <f>-685.698059571091 -43.6171721914789 -202.349166465347</f>
        <v>-931.66439822791688</v>
      </c>
      <c r="E748">
        <f>-694.335835811622 -44.3764211914549 -300.59112531156</f>
        <v>-1039.303382314637</v>
      </c>
      <c r="F748">
        <f>-697.236811950754 -42.2248067781961 -389.614669980291</f>
        <v>-1129.0762887092412</v>
      </c>
      <c r="G748">
        <f>-694.787964533522 -37.3382010830949 -478.543579436949</f>
        <v>-1210.6697450535657</v>
      </c>
      <c r="H748">
        <f>-685.683163347986 -27.8145418559543 -602.427544575299</f>
        <v>-1315.9252497792393</v>
      </c>
      <c r="I748">
        <f>-660.075841223693 -15.2221504589625 -680.470566454038</f>
        <v>-1355.7685581366936</v>
      </c>
      <c r="J748">
        <f>-693.254008103424 -4.5886967585036 -546.066649439323</f>
        <v>-1243.9093543012505</v>
      </c>
      <c r="K748" t="s">
        <v>7283</v>
      </c>
      <c r="L748" t="s">
        <v>7284</v>
      </c>
      <c r="M748" t="s">
        <v>7285</v>
      </c>
      <c r="N748">
        <f>-686.12537135758 -59.4222730902914 -549.758081837301</f>
        <v>-1295.3057262851723</v>
      </c>
      <c r="O748">
        <f>-672.733706525409 -194.847861946281 -530.213541586894</f>
        <v>-1397.7951100585842</v>
      </c>
      <c r="P748">
        <f>-649.771979866854 -304.064537346481 -257.934776975173</f>
        <v>-1211.7712941885081</v>
      </c>
      <c r="Q748">
        <f>-499.895962625731 -133.576169204592 -338.692375788364</f>
        <v>-972.16450761868691</v>
      </c>
      <c r="R748" t="s">
        <v>7286</v>
      </c>
      <c r="S748" t="s">
        <v>7287</v>
      </c>
      <c r="T748" t="s">
        <v>7288</v>
      </c>
      <c r="U748" t="s">
        <v>7289</v>
      </c>
      <c r="V748">
        <f>-631.886079859748 -123.71061855771 -89.2653355399622</f>
        <v>-844.86203395742007</v>
      </c>
      <c r="W748" t="s">
        <v>7290</v>
      </c>
      <c r="X748" t="s">
        <v>7291</v>
      </c>
      <c r="Y748" t="s">
        <v>7292</v>
      </c>
    </row>
    <row r="749" spans="1:25" x14ac:dyDescent="0.3">
      <c r="A749">
        <v>37400</v>
      </c>
      <c r="B749" t="s">
        <v>7293</v>
      </c>
      <c r="C749">
        <f>-658.980689590363 -34.9601616334635 -90.2910313253163</f>
        <v>-784.23188254914282</v>
      </c>
      <c r="D749">
        <f>-684.683985838486 -45.5106258333924 -202.737787543008</f>
        <v>-932.93239921488646</v>
      </c>
      <c r="E749">
        <f>-693.55174893677 -46.3766321956653 -300.958229772233</f>
        <v>-1040.8866109046683</v>
      </c>
      <c r="F749">
        <f>-696.665292651592 -44.2820493199445 -389.976009066108</f>
        <v>-1130.9233510376446</v>
      </c>
      <c r="G749">
        <f>-694.433218979525 -39.4077183444392 -478.91133945323</f>
        <v>-1212.7522767771943</v>
      </c>
      <c r="H749">
        <f>-685.635575497251 -29.8512900509838 -602.814817364361</f>
        <v>-1318.3016829125959</v>
      </c>
      <c r="I749">
        <f>-660.279210741849 -17.0765781243304 -680.910213074577</f>
        <v>-1358.2660019407563</v>
      </c>
      <c r="J749">
        <f>-693.286808716062 -6.66860359788188 -546.447127310596</f>
        <v>-1246.4025396245397</v>
      </c>
      <c r="K749" t="s">
        <v>7294</v>
      </c>
      <c r="L749" t="s">
        <v>7295</v>
      </c>
      <c r="M749" t="s">
        <v>7296</v>
      </c>
      <c r="N749">
        <f>-685.726970270436 -61.4445162268692 -550.134996953278</f>
        <v>-1297.3064834505831</v>
      </c>
      <c r="O749">
        <f>-671.181843098427 -196.723215992334 -530.48919620701</f>
        <v>-1398.394255297771</v>
      </c>
      <c r="P749">
        <f>-647.619193748717 -304.343030738275 -257.626517508679</f>
        <v>-1209.5887419956709</v>
      </c>
      <c r="Q749">
        <f>-498.410292102559 -132.99590233673 -337.799821021722</f>
        <v>-969.20601546101102</v>
      </c>
      <c r="R749" t="s">
        <v>7297</v>
      </c>
      <c r="S749" t="s">
        <v>7298</v>
      </c>
      <c r="T749" t="s">
        <v>7299</v>
      </c>
      <c r="U749" t="s">
        <v>7300</v>
      </c>
      <c r="V749">
        <f>-630.188022275487 -125.490561120729 -89.5670603779944</f>
        <v>-845.24564377421041</v>
      </c>
      <c r="W749" t="s">
        <v>7301</v>
      </c>
      <c r="X749" t="s">
        <v>7302</v>
      </c>
      <c r="Y749" t="s">
        <v>7303</v>
      </c>
    </row>
    <row r="750" spans="1:25" x14ac:dyDescent="0.3">
      <c r="A750">
        <v>37450</v>
      </c>
      <c r="B750" t="s">
        <v>7304</v>
      </c>
      <c r="C750">
        <f>-657.509850832647 -36.8824994224756 -90.6771915116794</f>
        <v>-785.06954176680199</v>
      </c>
      <c r="D750">
        <f>-683.438142991019 -47.674604493634 -203.049340610366</f>
        <v>-934.16208809501904</v>
      </c>
      <c r="E750">
        <f>-692.54755868095 -48.6515514718392 -301.246656840052</f>
        <v>-1042.4457669928413</v>
      </c>
      <c r="F750">
        <f>-695.897078262024 -46.6165160428327 -390.257180490671</f>
        <v>-1132.7707747955278</v>
      </c>
      <c r="G750">
        <f>-693.918522908141 -41.7559338207448 -479.199322413575</f>
        <v>-1214.8737791424608</v>
      </c>
      <c r="H750">
        <f>-685.492089855183 -32.167649924894 -603.126161694698</f>
        <v>-1320.7859014747751</v>
      </c>
      <c r="I750">
        <f>-660.398158413866 -19.2299944647921 -681.279532804602</f>
        <v>-1360.9076856832601</v>
      </c>
      <c r="J750">
        <f>-693.189873747025 -9.02892894400111 -546.746730345042</f>
        <v>-1248.9655330360681</v>
      </c>
      <c r="K750" t="s">
        <v>7305</v>
      </c>
      <c r="L750" t="s">
        <v>7306</v>
      </c>
      <c r="M750" t="s">
        <v>7307</v>
      </c>
      <c r="N750">
        <f>-685.210372616608 -63.7450952009756 -550.437527018088</f>
        <v>-1299.3929948356715</v>
      </c>
      <c r="O750">
        <f>-669.564392471065 -198.879824386001 -530.698575082018</f>
        <v>-1399.142791939084</v>
      </c>
      <c r="P750">
        <f>-645.204415132011 -304.997880432568 -257.318347203031</f>
        <v>-1207.5206427676101</v>
      </c>
      <c r="Q750">
        <f>-496.794633304868 -132.752488719653 -337.048858434522</f>
        <v>-966.59598045904306</v>
      </c>
      <c r="R750" t="s">
        <v>7308</v>
      </c>
      <c r="S750" t="s">
        <v>7309</v>
      </c>
      <c r="T750" t="s">
        <v>7310</v>
      </c>
      <c r="U750" t="s">
        <v>7311</v>
      </c>
      <c r="V750">
        <f>-628.180559911242 -127.518892323064 -89.8668129076764</f>
        <v>-845.56626514198229</v>
      </c>
      <c r="W750" t="s">
        <v>7312</v>
      </c>
      <c r="X750" t="s">
        <v>7313</v>
      </c>
      <c r="Y750" t="s">
        <v>7314</v>
      </c>
    </row>
    <row r="751" spans="1:25" x14ac:dyDescent="0.3">
      <c r="A751">
        <v>37500</v>
      </c>
      <c r="B751" t="s">
        <v>7315</v>
      </c>
      <c r="C751">
        <f>-654.618274873171 -40.5917251203823 -91.2490412959598</f>
        <v>-786.45904128951315</v>
      </c>
      <c r="D751">
        <f>-680.976220239813 -51.9445837687165 -203.465725061645</f>
        <v>-936.38652907017445</v>
      </c>
      <c r="E751">
        <f>-690.57930902102 -53.1875534900521 -301.613027978129</f>
        <v>-1045.379890489201</v>
      </c>
      <c r="F751">
        <f>-694.417286943661 -51.3090576921961 -390.607305089393</f>
        <v>-1136.3336497252501</v>
      </c>
      <c r="G751">
        <f>-692.966409700355 -46.5136663395967 -479.563139177642</f>
        <v>-1219.0432152175938</v>
      </c>
      <c r="H751">
        <f>-685.315262926444 -36.9184715259717 -603.53978651244</f>
        <v>-1325.7735209648556</v>
      </c>
      <c r="I751">
        <f>-660.720631202317 -23.75817114185 -681.814690112836</f>
        <v>-1366.2934924570031</v>
      </c>
      <c r="J751">
        <f>-693.044845095945 -13.8395646420299 -547.14006758998</f>
        <v>-1254.0244773279551</v>
      </c>
      <c r="K751" t="s">
        <v>7316</v>
      </c>
      <c r="L751" t="s">
        <v>7317</v>
      </c>
      <c r="M751" t="s">
        <v>7318</v>
      </c>
      <c r="N751">
        <f>-684.319486120023 -68.4420564802053 -550.82756778408</f>
        <v>-1303.5891103843082</v>
      </c>
      <c r="O751">
        <f>-666.612237359664 -203.296480544281 -530.916280088018</f>
        <v>-1400.8249979919628</v>
      </c>
      <c r="P751">
        <f>-640.362257823078 -306.747772049325 -256.690112450927</f>
        <v>-1203.80014232333</v>
      </c>
      <c r="Q751">
        <f>-493.955345911651 -132.458471355135 -335.678321939322</f>
        <v>-962.09213920610807</v>
      </c>
      <c r="R751" t="s">
        <v>7319</v>
      </c>
      <c r="S751" t="s">
        <v>7320</v>
      </c>
      <c r="T751" t="s">
        <v>7321</v>
      </c>
      <c r="U751" t="s">
        <v>7322</v>
      </c>
      <c r="V751">
        <f>-624.148865756604 -130.899427692094 -90.423724189115</f>
        <v>-845.472017637813</v>
      </c>
      <c r="W751" t="s">
        <v>7323</v>
      </c>
      <c r="X751" t="s">
        <v>7324</v>
      </c>
      <c r="Y751" t="s">
        <v>7325</v>
      </c>
    </row>
    <row r="752" spans="1:25" x14ac:dyDescent="0.3">
      <c r="A752">
        <v>37550</v>
      </c>
      <c r="B752" t="s">
        <v>7326</v>
      </c>
      <c r="C752">
        <f>-653.595689648173 -42.2160516511256 -91.4936360416159</f>
        <v>-787.30537734091445</v>
      </c>
      <c r="D752">
        <f>-680.157828956805 -53.8995733732854 -203.628279455454</f>
        <v>-937.68568178554438</v>
      </c>
      <c r="E752">
        <f>-690.009157872765 -55.2796043476001 -301.749022720584</f>
        <v>-1047.037784940949</v>
      </c>
      <c r="F752">
        <f>-694.095122620164 -53.4696931495987 -390.733693342845</f>
        <v>-1138.2985091126077</v>
      </c>
      <c r="G752">
        <f>-692.912750267252 -48.6840271937394 -479.694080800515</f>
        <v>-1221.2908582615064</v>
      </c>
      <c r="H752">
        <f>-685.656120125023 -39.0409183249403 -603.690734803259</f>
        <v>-1328.3877732532223</v>
      </c>
      <c r="I752">
        <f>-661.280985789089 -25.7667867207313 -682.014873745349</f>
        <v>-1369.0626462551691</v>
      </c>
      <c r="J752">
        <f>-693.395090956455 -16.0137777591094 -547.271096913778</f>
        <v>-1256.6799656293424</v>
      </c>
      <c r="K752" t="s">
        <v>7327</v>
      </c>
      <c r="L752" t="s">
        <v>7328</v>
      </c>
      <c r="M752" t="s">
        <v>7329</v>
      </c>
      <c r="N752">
        <f>-684.303933912282 -70.5549606784514 -550.980695279536</f>
        <v>-1305.8395898702693</v>
      </c>
      <c r="O752">
        <f>-665.595910142724 -205.283632944309 -531.052587682208</f>
        <v>-1401.9321307692412</v>
      </c>
      <c r="P752">
        <f>-638.530089480836 -307.312172701401 -256.372955945348</f>
        <v>-1202.2152181275849</v>
      </c>
      <c r="Q752">
        <f>-493.108457396826 -132.108031218208 -335.157123995252</f>
        <v>-960.37361261028605</v>
      </c>
      <c r="R752" t="s">
        <v>7330</v>
      </c>
      <c r="S752" t="s">
        <v>7331</v>
      </c>
      <c r="T752" t="s">
        <v>7332</v>
      </c>
      <c r="U752" t="s">
        <v>7333</v>
      </c>
      <c r="V752">
        <f>-622.567740608662 -132.647856252225 -90.6065490678794</f>
        <v>-845.82214592876642</v>
      </c>
      <c r="W752" t="s">
        <v>7334</v>
      </c>
      <c r="X752" t="s">
        <v>7335</v>
      </c>
      <c r="Y752" t="s">
        <v>7336</v>
      </c>
    </row>
    <row r="753" spans="1:25" x14ac:dyDescent="0.3">
      <c r="A753">
        <v>37600</v>
      </c>
      <c r="B753" t="s">
        <v>7337</v>
      </c>
      <c r="C753">
        <f>-652.06643430436 -44.7126261965325 -92.0686237967233</f>
        <v>-788.84768429761573</v>
      </c>
      <c r="D753">
        <f>-678.975694442001 -56.9685832098201 -204.059319811717</f>
        <v>-940.00359746353797</v>
      </c>
      <c r="E753">
        <f>-689.289768659482 -58.5640895365141 -302.129309901676</f>
        <v>-1049.983168097672</v>
      </c>
      <c r="F753">
        <f>-693.850238160128 -56.841285771952 -391.092707862335</f>
        <v>-1141.7842317944151</v>
      </c>
      <c r="G753">
        <f>-693.195417177979 -52.0282542870216 -480.056955485142</f>
        <v>-1225.2806269501425</v>
      </c>
      <c r="H753">
        <f>-686.72614378313 -42.2248001531375 -604.084626650689</f>
        <v>-1333.0355705869565</v>
      </c>
      <c r="I753">
        <f>-662.82385678011 -28.7087234878611 -682.513122017938</f>
        <v>-1374.0457022859091</v>
      </c>
      <c r="J753">
        <f>-694.47947864117 -19.3334155635855 -547.611689374188</f>
        <v>-1261.4245835789434</v>
      </c>
      <c r="K753" t="s">
        <v>7338</v>
      </c>
      <c r="L753" t="s">
        <v>7339</v>
      </c>
      <c r="M753" t="s">
        <v>7340</v>
      </c>
      <c r="N753">
        <f>-684.666389415353 -73.744014108142 -551.400651236405</f>
        <v>-1309.8110547598999</v>
      </c>
      <c r="O753">
        <f>-664.064062397479 -208.209891133381 -531.578628340715</f>
        <v>-1403.852581871575</v>
      </c>
      <c r="P753">
        <f>-635.882243963751 -307.584473841492 -256.039627204957</f>
        <v>-1199.5063450102</v>
      </c>
      <c r="Q753">
        <f>-492.088959353634 -130.830627649394 -334.350092375783</f>
        <v>-957.26967937881102</v>
      </c>
      <c r="R753" t="s">
        <v>7341</v>
      </c>
      <c r="S753" t="s">
        <v>7342</v>
      </c>
      <c r="T753" t="s">
        <v>7343</v>
      </c>
      <c r="U753" t="s">
        <v>7344</v>
      </c>
      <c r="V753">
        <f>-619.863418937973 -135.002447967382 -91.1255075743741</f>
        <v>-845.99137447972907</v>
      </c>
      <c r="W753" t="s">
        <v>7345</v>
      </c>
      <c r="X753" t="s">
        <v>7346</v>
      </c>
      <c r="Y753" t="s">
        <v>7347</v>
      </c>
    </row>
    <row r="754" spans="1:25" x14ac:dyDescent="0.3">
      <c r="A754">
        <v>37650</v>
      </c>
      <c r="B754" t="s">
        <v>7348</v>
      </c>
      <c r="C754">
        <f>-651.536855041022 -45.6540680938067 -92.3507829340372</f>
        <v>-789.54170606886589</v>
      </c>
      <c r="D754">
        <f>-678.580473852925 -58.1624011793276 -204.28126187878</f>
        <v>-941.02413691103266</v>
      </c>
      <c r="E754">
        <f>-689.100414479481 -59.8586847139406 -302.327669639824</f>
        <v>-1051.2867688332456</v>
      </c>
      <c r="F754">
        <f>-693.879991565298 -58.1803320475033 -391.280249209091</f>
        <v>-1143.3405728218922</v>
      </c>
      <c r="G754">
        <f>-693.475690922375 -53.3616850534804 -480.245898972088</f>
        <v>-1227.0832749479434</v>
      </c>
      <c r="H754">
        <f>-687.387538574161 -43.4962822999946 -604.287789712641</f>
        <v>-1335.1716105867968</v>
      </c>
      <c r="I754">
        <f>-663.698629218966 -29.8735359951372 -682.762627082688</f>
        <v>-1376.3347922967912</v>
      </c>
      <c r="J754">
        <f>-695.130699956851 -20.6625513281235 -547.790341688049</f>
        <v>-1263.5835929730235</v>
      </c>
      <c r="K754" t="s">
        <v>7349</v>
      </c>
      <c r="L754" t="s">
        <v>7350</v>
      </c>
      <c r="M754" t="s">
        <v>7351</v>
      </c>
      <c r="N754">
        <f>-685.002453257707 -75.0126799493344 -551.615861826385</f>
        <v>-1311.6309950334262</v>
      </c>
      <c r="O754">
        <f>-663.538863239716 -209.349088398065 -531.820618607616</f>
        <v>-1404.7085702453969</v>
      </c>
      <c r="P754">
        <f>-634.696734946556 -307.717884053635 -255.989335832721</f>
        <v>-1198.4039548329119</v>
      </c>
      <c r="Q754">
        <f>-491.83380083162 -130.086083525692 -334.014794894753</f>
        <v>-955.93467925206494</v>
      </c>
      <c r="R754" t="s">
        <v>7352</v>
      </c>
      <c r="S754" t="s">
        <v>7353</v>
      </c>
      <c r="T754" t="s">
        <v>7354</v>
      </c>
      <c r="U754" t="s">
        <v>7355</v>
      </c>
      <c r="V754">
        <f>-618.881273085071 -135.806695080813 -91.353582133078</f>
        <v>-846.04155029896208</v>
      </c>
      <c r="W754" t="s">
        <v>7356</v>
      </c>
      <c r="X754" t="s">
        <v>7357</v>
      </c>
      <c r="Y754" t="s">
        <v>7358</v>
      </c>
    </row>
    <row r="755" spans="1:25" x14ac:dyDescent="0.3">
      <c r="A755">
        <v>37700</v>
      </c>
      <c r="B755" t="s">
        <v>7359</v>
      </c>
      <c r="C755">
        <f>-650.770821470061 -47.1942881407456 -92.800756117313</f>
        <v>-790.76586572811959</v>
      </c>
      <c r="D755">
        <f>-677.989927812482 -60.1535364972583 -204.637304397466</f>
        <v>-942.78076870720633</v>
      </c>
      <c r="E755">
        <f>-688.845832519624 -62.0184485936709 -302.644030819234</f>
        <v>-1053.5083119325288</v>
      </c>
      <c r="F755">
        <f>-693.997105862013 -60.4042036686112 -391.577292323057</f>
        <v>-1145.9786018536811</v>
      </c>
      <c r="G755">
        <f>-694.030446720406 -55.5544444227273 -480.54184925308</f>
        <v>-1230.1267403962133</v>
      </c>
      <c r="H755">
        <f>-688.619458072202 -45.5424015386834 -604.603611263082</f>
        <v>-1338.7654708739674</v>
      </c>
      <c r="I755">
        <f>-665.294432671703 -31.7320505411794 -683.154496288542</f>
        <v>-1380.1809795014244</v>
      </c>
      <c r="J755">
        <f>-696.331322486583 -22.827196651089 -548.053902530262</f>
        <v>-1267.212421667934</v>
      </c>
      <c r="K755" t="s">
        <v>7360</v>
      </c>
      <c r="L755" t="s">
        <v>7361</v>
      </c>
      <c r="M755" t="s">
        <v>7362</v>
      </c>
      <c r="N755">
        <f>-685.669898132603 -77.0692285828272 -551.966425560088</f>
        <v>-1314.7055522755181</v>
      </c>
      <c r="O755">
        <f>-662.778806283978 -211.179820409324 -532.239526679626</f>
        <v>-1406.1981533729281</v>
      </c>
      <c r="P755">
        <f>-632.690902937648 -308.137619064887 -256.041969230332</f>
        <v>-1196.8704912328681</v>
      </c>
      <c r="Q755">
        <f>-491.388478236804 -128.992978908614 -333.447967588807</f>
        <v>-953.82942473422509</v>
      </c>
      <c r="R755" t="s">
        <v>7363</v>
      </c>
      <c r="S755" t="s">
        <v>7364</v>
      </c>
      <c r="T755" t="s">
        <v>7365</v>
      </c>
      <c r="U755" t="s">
        <v>7366</v>
      </c>
      <c r="V755">
        <f>-617.393991944169 -137.23135489546 -91.6718267097116</f>
        <v>-846.29717354934053</v>
      </c>
      <c r="W755" t="s">
        <v>7367</v>
      </c>
      <c r="X755" t="s">
        <v>7368</v>
      </c>
      <c r="Y755" t="s">
        <v>7369</v>
      </c>
    </row>
    <row r="756" spans="1:25" x14ac:dyDescent="0.3">
      <c r="A756">
        <v>37750</v>
      </c>
      <c r="B756" t="s">
        <v>7370</v>
      </c>
      <c r="C756">
        <f>-650.46191198377 -48.0267491842328 -92.9716284508887</f>
        <v>-791.46028961889158</v>
      </c>
      <c r="D756">
        <f>-677.746936435962 -61.139812195059 -204.773955676586</f>
        <v>-943.66070430760692</v>
      </c>
      <c r="E756">
        <f>-688.728786343886 -63.0517954409991 -302.765846382053</f>
        <v>-1054.5464281669381</v>
      </c>
      <c r="F756">
        <f>-694.019252928812 -61.4460447224644 -391.690982237557</f>
        <v>-1147.1562798888335</v>
      </c>
      <c r="G756">
        <f>-694.216394537515 -56.5681242208934 -480.653924114067</f>
        <v>-1231.4384428724754</v>
      </c>
      <c r="H756">
        <f>-689.05879819482 -46.4773555282402 -604.719994505963</f>
        <v>-1340.2561482290232</v>
      </c>
      <c r="I756">
        <f>-665.894607512694 -32.5851281362072 -683.304034879878</f>
        <v>-1381.7837705287793</v>
      </c>
      <c r="J756">
        <f>-696.766771153688 -23.8196921136034 -548.146780064992</f>
        <v>-1268.7332433322833</v>
      </c>
      <c r="K756" t="s">
        <v>7371</v>
      </c>
      <c r="L756" t="s">
        <v>7372</v>
      </c>
      <c r="M756" t="s">
        <v>7373</v>
      </c>
      <c r="N756">
        <f>-685.890095116212 -78.0158299694729 -552.102644347154</f>
        <v>-1316.0085694328388</v>
      </c>
      <c r="O756">
        <f>-662.460920122709 -212.038104714117 -532.423827658074</f>
        <v>-1406.9228524948999</v>
      </c>
      <c r="P756">
        <f>-631.771141999123 -308.386813406204 -256.079265240926</f>
        <v>-1196.2372206462528</v>
      </c>
      <c r="Q756">
        <f>-491.125769978275 -128.633325109482 -333.270192992964</f>
        <v>-953.02928808072102</v>
      </c>
      <c r="R756" t="s">
        <v>7374</v>
      </c>
      <c r="S756" t="s">
        <v>7375</v>
      </c>
      <c r="T756" t="s">
        <v>7376</v>
      </c>
      <c r="U756" t="s">
        <v>7377</v>
      </c>
      <c r="V756">
        <f>-616.746362575087 -138.060259181472 -91.8152181603791</f>
        <v>-846.62183991693814</v>
      </c>
      <c r="W756" t="s">
        <v>7378</v>
      </c>
      <c r="X756" t="s">
        <v>7379</v>
      </c>
      <c r="Y756" t="s">
        <v>7380</v>
      </c>
    </row>
    <row r="757" spans="1:25" x14ac:dyDescent="0.3">
      <c r="A757">
        <v>37800</v>
      </c>
      <c r="B757" t="s">
        <v>7381</v>
      </c>
      <c r="C757">
        <f>-650.128325415125 -49.6628574396709 -93.2118368767256</f>
        <v>-793.00301973152148</v>
      </c>
      <c r="D757">
        <f>-677.482674239241 -63.0064402021212 -204.970131889866</f>
        <v>-945.4592463312282</v>
      </c>
      <c r="E757">
        <f>-688.650085736025 -64.9783218050675 -302.939781166659</f>
        <v>-1056.5681887077515</v>
      </c>
      <c r="F757">
        <f>-694.155289658467 -63.3710051836724 -391.851831460986</f>
        <v>-1149.3781263031256</v>
      </c>
      <c r="G757">
        <f>-694.61275317908 -58.4309735331719 -480.810492205924</f>
        <v>-1233.8542189181758</v>
      </c>
      <c r="H757">
        <f>-689.865489497859 -48.1882619144671 -604.880473377236</f>
        <v>-1342.934224789562</v>
      </c>
      <c r="I757">
        <f>-666.947067362936 -34.1390421154767 -683.508630983388</f>
        <v>-1384.5947404618007</v>
      </c>
      <c r="J757">
        <f>-697.581623947409 -25.6391797011711 -548.264980713643</f>
        <v>-1271.4857843622231</v>
      </c>
      <c r="K757" t="s">
        <v>7382</v>
      </c>
      <c r="L757" t="s">
        <v>7383</v>
      </c>
      <c r="M757" t="s">
        <v>7384</v>
      </c>
      <c r="N757">
        <f>-686.327655588447 -79.7520114483793 -552.301673493295</f>
        <v>-1318.3813405301212</v>
      </c>
      <c r="O757">
        <f>-661.956836819695 -213.62072090146 -532.710580764571</f>
        <v>-1408.288138485726</v>
      </c>
      <c r="P757">
        <f>-630.6356264933 -308.942283898414 -256.080824294813</f>
        <v>-1195.6587346865272</v>
      </c>
      <c r="Q757">
        <f>-490.740203450385 -128.500739245816 -333.02885574926</f>
        <v>-952.26979844546099</v>
      </c>
      <c r="R757" t="s">
        <v>7385</v>
      </c>
      <c r="S757" t="s">
        <v>7386</v>
      </c>
      <c r="T757" t="s">
        <v>7387</v>
      </c>
      <c r="U757" t="s">
        <v>7388</v>
      </c>
      <c r="V757">
        <f>-615.892079613527 -139.711239055815 -92.00679140974</f>
        <v>-847.61011007908201</v>
      </c>
      <c r="W757" t="s">
        <v>7389</v>
      </c>
      <c r="X757" t="s">
        <v>7390</v>
      </c>
      <c r="Y757" t="s">
        <v>7391</v>
      </c>
    </row>
    <row r="758" spans="1:25" x14ac:dyDescent="0.3">
      <c r="A758">
        <v>37850</v>
      </c>
      <c r="B758" t="s">
        <v>7392</v>
      </c>
      <c r="C758">
        <f>-650.030182059953 -50.3256634396232 -93.2957309886096</f>
        <v>-793.65157648818581</v>
      </c>
      <c r="D758">
        <f>-677.418118254245 -63.767182788218 -205.034089252283</f>
        <v>-946.21939029474595</v>
      </c>
      <c r="E758">
        <f>-688.664091074286 -65.7723850833042 -302.994070912082</f>
        <v>-1057.4305470696722</v>
      </c>
      <c r="F758">
        <f>-694.259092636921 -64.1746726079598 -391.90067191611</f>
        <v>-1150.3344371609908</v>
      </c>
      <c r="G758">
        <f>-694.824514485413 -59.222282988449 -480.857939094386</f>
        <v>-1234.9047365682482</v>
      </c>
      <c r="H758">
        <f>-690.246223987913 -48.9380077517694 -604.930850177496</f>
        <v>-1344.1150819171785</v>
      </c>
      <c r="I758">
        <f>-667.410645612928 -34.826332691759 -683.571932883599</f>
        <v>-1385.8089111882859</v>
      </c>
      <c r="J758">
        <f>-697.96588203746 -26.4243985066366 -548.301783757783</f>
        <v>-1272.6920643018798</v>
      </c>
      <c r="K758" t="s">
        <v>7393</v>
      </c>
      <c r="L758" t="s">
        <v>7394</v>
      </c>
      <c r="M758" t="s">
        <v>7395</v>
      </c>
      <c r="N758">
        <f>-686.555910119827 -80.5029058722844 -552.363214977477</f>
        <v>-1319.4220309695884</v>
      </c>
      <c r="O758">
        <f>-661.800573250936 -214.304521935098 -532.814198198408</f>
        <v>-1408.919293384442</v>
      </c>
      <c r="P758">
        <f>-630.296115615574 -309.144742625896 -256.039850168099</f>
        <v>-1195.4807084095689</v>
      </c>
      <c r="Q758">
        <f>-490.722409017619 -128.435466269947 -332.94358927843</f>
        <v>-952.10146456599591</v>
      </c>
      <c r="R758" t="s">
        <v>7396</v>
      </c>
      <c r="S758" t="s">
        <v>7397</v>
      </c>
      <c r="T758" t="s">
        <v>7398</v>
      </c>
      <c r="U758" t="s">
        <v>7399</v>
      </c>
      <c r="V758">
        <f>-615.544401870024 -140.332112578559 -92.0866220652039</f>
        <v>-847.96313651378682</v>
      </c>
      <c r="W758" t="s">
        <v>7400</v>
      </c>
      <c r="X758" t="s">
        <v>7401</v>
      </c>
      <c r="Y758" t="s">
        <v>7402</v>
      </c>
    </row>
    <row r="759" spans="1:25" x14ac:dyDescent="0.3">
      <c r="A759">
        <v>37900</v>
      </c>
      <c r="B759" t="s">
        <v>7403</v>
      </c>
      <c r="C759">
        <f>-649.675158364966 -51.303770799374 -93.4971593072906</f>
        <v>-794.47608847163065</v>
      </c>
      <c r="D759">
        <f>-677.146267972936 -64.9795605323211 -205.186633536765</f>
        <v>-947.31246204202216</v>
      </c>
      <c r="E759">
        <f>-688.513006606443 -67.0901265074904 -303.130537411598</f>
        <v>-1058.7336705255314</v>
      </c>
      <c r="F759">
        <f>-694.233669062018 -65.5499188490398 -392.030121881393</f>
        <v>-1151.8137097924507</v>
      </c>
      <c r="G759">
        <f>-694.940168299834 -60.6147723147506 -480.987292313964</f>
        <v>-1236.5422329285486</v>
      </c>
      <c r="H759">
        <f>-690.573949118992 -50.3121877286301 -605.066435636231</f>
        <v>-1345.9525724838531</v>
      </c>
      <c r="I759">
        <f>-667.783099098566 -36.1271589009446 -683.707257425419</f>
        <v>-1387.6175154249295</v>
      </c>
      <c r="J759">
        <f>-698.306497343844 -27.8298756479037 -548.426624638591</f>
        <v>-1274.5629976303385</v>
      </c>
      <c r="K759" t="s">
        <v>7404</v>
      </c>
      <c r="L759" t="s">
        <v>7405</v>
      </c>
      <c r="M759" t="s">
        <v>7406</v>
      </c>
      <c r="N759">
        <f>-686.68413512567 -81.861929185806 -552.504064393139</f>
        <v>-1321.050128704615</v>
      </c>
      <c r="O759">
        <f>-661.396036192596 -215.575431545433 -533.007581792817</f>
        <v>-1409.9790495308457</v>
      </c>
      <c r="P759">
        <f>-629.354432549364 -309.873249463385 -256.109707609085</f>
        <v>-1195.3373896218341</v>
      </c>
      <c r="Q759">
        <f>-490.214972933446 -128.802549857359 -332.950404134465</f>
        <v>-951.96792692527004</v>
      </c>
      <c r="R759" t="s">
        <v>7407</v>
      </c>
      <c r="S759" t="s">
        <v>7408</v>
      </c>
      <c r="T759" t="s">
        <v>7409</v>
      </c>
      <c r="U759" t="s">
        <v>7410</v>
      </c>
      <c r="V759">
        <f>-614.82354324244 -141.205906944445 -92.2731402370289</f>
        <v>-848.3025904239139</v>
      </c>
      <c r="W759" t="s">
        <v>7411</v>
      </c>
      <c r="X759" t="s">
        <v>7412</v>
      </c>
      <c r="Y759" t="s">
        <v>7413</v>
      </c>
    </row>
    <row r="760" spans="1:25" x14ac:dyDescent="0.3">
      <c r="A760">
        <v>37950</v>
      </c>
      <c r="B760" t="s">
        <v>7414</v>
      </c>
      <c r="C760">
        <f>-649.395710506483 -51.6487103716584 -93.6059615015346</f>
        <v>-794.65038237967599</v>
      </c>
      <c r="D760">
        <f>-676.887478794238 -65.4009364784154 -205.280935221967</f>
        <v>-947.56935049462027</v>
      </c>
      <c r="E760">
        <f>-688.269898268493 -67.5434844424126 -303.222288606836</f>
        <v>-1059.0356713177416</v>
      </c>
      <c r="F760">
        <f>-694.003241827603 -66.0183137402223 -392.121429425625</f>
        <v>-1152.1429849934502</v>
      </c>
      <c r="G760">
        <f>-694.720873627121 -61.0840112610576 -481.078556797116</f>
        <v>-1236.8834416852947</v>
      </c>
      <c r="H760">
        <f>-690.367999032391 -50.766807382274 -605.156857628696</f>
        <v>-1346.2916640433609</v>
      </c>
      <c r="I760">
        <f>-667.533802133373 -36.5648350030763 -683.78213578905</f>
        <v>-1387.8807729254993</v>
      </c>
      <c r="J760">
        <f>-698.121495433665 -28.2968169623261 -548.51503640163</f>
        <v>-1274.9333487976212</v>
      </c>
      <c r="K760" t="s">
        <v>7415</v>
      </c>
      <c r="L760" t="s">
        <v>7416</v>
      </c>
      <c r="M760" t="s">
        <v>7417</v>
      </c>
      <c r="N760">
        <f>-686.445283045333 -82.3168623459726 -552.597216764525</f>
        <v>-1321.3593621558307</v>
      </c>
      <c r="O760">
        <f>-661.045068291196 -216.014420244714 -533.088913095472</f>
        <v>-1410.1484016313821</v>
      </c>
      <c r="P760">
        <f>-628.818847306252 -310.175189144082 -256.165647394596</f>
        <v>-1195.15968384493</v>
      </c>
      <c r="Q760">
        <f>-489.885902279425 -128.984013284843 -333.096148371756</f>
        <v>-951.96606393602406</v>
      </c>
      <c r="R760" t="s">
        <v>7418</v>
      </c>
      <c r="S760" t="s">
        <v>7419</v>
      </c>
      <c r="T760" t="s">
        <v>7420</v>
      </c>
      <c r="U760" t="s">
        <v>7421</v>
      </c>
      <c r="V760">
        <f>-614.54846486041 -141.489615034196 -92.3409487749602</f>
        <v>-848.3790286695662</v>
      </c>
      <c r="W760" t="s">
        <v>7422</v>
      </c>
      <c r="X760" t="s">
        <v>7423</v>
      </c>
      <c r="Y760" t="s">
        <v>7424</v>
      </c>
    </row>
    <row r="761" spans="1:25" x14ac:dyDescent="0.3">
      <c r="A761">
        <v>38000</v>
      </c>
      <c r="B761" t="s">
        <v>7425</v>
      </c>
      <c r="C761">
        <f>-649.337455036132 -52.3229625064594 -93.7861716958863</f>
        <v>-795.44658923847771</v>
      </c>
      <c r="D761">
        <f>-676.668256213243 -65.9659322368793 -205.514033318527</f>
        <v>-948.14822176864936</v>
      </c>
      <c r="E761">
        <f>-687.919804866601 -68.0632881982033 -303.471448289386</f>
        <v>-1059.4545413541903</v>
      </c>
      <c r="F761">
        <f>-693.54247591908 -66.5123548772965 -392.377162282039</f>
        <v>-1152.4319930784154</v>
      </c>
      <c r="G761">
        <f>-694.159426159469 -61.5657119013206 -481.334443540832</f>
        <v>-1237.0595816016216</v>
      </c>
      <c r="H761">
        <f>-689.678295313956 -51.2430919295318 -605.407828052207</f>
        <v>-1346.3292152956949</v>
      </c>
      <c r="I761">
        <f>-666.675633819254 -37.070563540093 -683.989157164582</f>
        <v>-1387.7353545239289</v>
      </c>
      <c r="J761">
        <f>-697.475007715762 -28.7723694866793 -548.772212034238</f>
        <v>-1275.0195892366792</v>
      </c>
      <c r="K761" t="s">
        <v>7426</v>
      </c>
      <c r="L761" t="s">
        <v>7427</v>
      </c>
      <c r="M761" t="s">
        <v>7428</v>
      </c>
      <c r="N761">
        <f>-685.825439296132 -82.7987147728843 -552.846221089061</f>
        <v>-1321.4703751580773</v>
      </c>
      <c r="O761">
        <f>-660.603403516499 -216.503919878342 -533.228750364986</f>
        <v>-1410.3360737598271</v>
      </c>
      <c r="P761">
        <f>-628.63555844174 -310.361703083837 -256.172874716143</f>
        <v>-1195.17013624172</v>
      </c>
      <c r="Q761">
        <f>-489.66391956436 -129.315504408115 -333.374019067346</f>
        <v>-952.35344303982106</v>
      </c>
      <c r="R761" t="s">
        <v>7429</v>
      </c>
      <c r="S761" t="s">
        <v>7430</v>
      </c>
      <c r="T761" t="s">
        <v>7431</v>
      </c>
      <c r="U761" t="s">
        <v>7432</v>
      </c>
      <c r="V761">
        <f>-614.837123205584 -142.028009636728 -92.4158304070144</f>
        <v>-849.28096324932642</v>
      </c>
      <c r="W761" t="s">
        <v>7433</v>
      </c>
      <c r="X761" t="s">
        <v>7434</v>
      </c>
      <c r="Y761" t="s">
        <v>7435</v>
      </c>
    </row>
    <row r="762" spans="1:25" x14ac:dyDescent="0.3">
      <c r="A762">
        <v>38050</v>
      </c>
      <c r="B762" t="s">
        <v>7436</v>
      </c>
      <c r="C762">
        <f>-649.519755096316 -52.5375102686271 -93.8271630844019</f>
        <v>-795.88442844934502</v>
      </c>
      <c r="D762">
        <f>-676.749995192433 -66.078824481825 -205.591993119833</f>
        <v>-948.42081279409092</v>
      </c>
      <c r="E762">
        <f>-687.90064405749 -68.1396528305411 -303.561645093272</f>
        <v>-1059.6019419813031</v>
      </c>
      <c r="F762">
        <f>-693.429011664431 -66.5745435427655 -392.47307742847</f>
        <v>-1152.4766326356664</v>
      </c>
      <c r="G762">
        <f>-693.949373571318 -61.6327179628368 -481.431172496679</f>
        <v>-1237.0132640308339</v>
      </c>
      <c r="H762">
        <f>-689.332200839152 -51.3362048955073 -605.50170899568</f>
        <v>-1346.1701147303393</v>
      </c>
      <c r="I762">
        <f>-666.213196898166 -37.2407089580818 -684.062863717376</f>
        <v>-1387.5167695736236</v>
      </c>
      <c r="J762">
        <f>-697.141092125202 -28.8429548856977 -548.876724944587</f>
        <v>-1274.8607719554866</v>
      </c>
      <c r="K762" t="s">
        <v>7437</v>
      </c>
      <c r="L762" t="s">
        <v>7438</v>
      </c>
      <c r="M762" t="s">
        <v>7439</v>
      </c>
      <c r="N762">
        <f>-685.586941714141 -82.8913486854406 -552.932077684503</f>
        <v>-1321.4103680840844</v>
      </c>
      <c r="O762">
        <f>-660.661052385146 -216.634011408224 -533.2294248449</f>
        <v>-1410.52448863827</v>
      </c>
      <c r="P762">
        <f>-629.167938862356 -310.389699024311 -256.084556226735</f>
        <v>-1195.642194113402</v>
      </c>
      <c r="Q762">
        <f>-489.92571955529 -129.60556607245 -333.412160696986</f>
        <v>-952.94344632472598</v>
      </c>
      <c r="R762" t="s">
        <v>7440</v>
      </c>
      <c r="S762" t="s">
        <v>7441</v>
      </c>
      <c r="T762" t="s">
        <v>7442</v>
      </c>
      <c r="U762" t="s">
        <v>7443</v>
      </c>
      <c r="V762">
        <f>-615.202810618769 -142.269356667158 -92.4369305357485</f>
        <v>-849.90909782167557</v>
      </c>
      <c r="W762" t="s">
        <v>7444</v>
      </c>
      <c r="X762" t="s">
        <v>7445</v>
      </c>
      <c r="Y762" t="s">
        <v>7446</v>
      </c>
    </row>
    <row r="763" spans="1:25" x14ac:dyDescent="0.3">
      <c r="A763">
        <v>38100</v>
      </c>
      <c r="B763" t="s">
        <v>7447</v>
      </c>
      <c r="C763">
        <f>-649.610121930607 -53.233533819322 -93.8625453091629</f>
        <v>-796.70620105909188</v>
      </c>
      <c r="D763">
        <f>-676.630688549555 -66.5299829007015 -205.707573738479</f>
        <v>-948.8682451887355</v>
      </c>
      <c r="E763">
        <f>-687.52211768703 -68.5306872168028 -303.707666781144</f>
        <v>-1059.7604716849769</v>
      </c>
      <c r="F763">
        <f>-692.789978612828 -66.968874171022 -392.634963542061</f>
        <v>-1152.3938163259108</v>
      </c>
      <c r="G763">
        <f>-693.02661460255 -62.0906635247286 -481.597754281635</f>
        <v>-1236.7150324089137</v>
      </c>
      <c r="H763">
        <f>-687.990923390277 -51.9464292072894 -605.66453565466</f>
        <v>-1345.6018882522262</v>
      </c>
      <c r="I763">
        <f>-664.606945987125 -38.1182260482228 -684.19470199972</f>
        <v>-1386.9198740350678</v>
      </c>
      <c r="J763">
        <f>-695.830921583137 -29.3507971280144 -549.084704878249</f>
        <v>-1274.2664235894003</v>
      </c>
      <c r="K763" t="s">
        <v>7448</v>
      </c>
      <c r="L763" t="s">
        <v>7449</v>
      </c>
      <c r="M763" t="s">
        <v>7450</v>
      </c>
      <c r="N763">
        <f>-684.582757313462 -83.4700982599634 -553.053104192301</f>
        <v>-1321.1059597657263</v>
      </c>
      <c r="O763">
        <f>-660.557010912085 -217.33169358738 -533.03788822069</f>
        <v>-1410.926592720155</v>
      </c>
      <c r="P763">
        <f>-630.507906499759 -310.886598292293 -255.664925246267</f>
        <v>-1197.0594300383191</v>
      </c>
      <c r="Q763">
        <f>-490.229833578597 -130.974568492398 -333.154296800887</f>
        <v>-954.35869887188198</v>
      </c>
      <c r="R763" t="s">
        <v>7451</v>
      </c>
      <c r="S763" t="s">
        <v>7452</v>
      </c>
      <c r="T763" t="s">
        <v>7453</v>
      </c>
      <c r="U763" t="s">
        <v>7454</v>
      </c>
      <c r="V763">
        <f>-615.757629581623 -143.023246967156 -92.4709210906387</f>
        <v>-851.25179763941765</v>
      </c>
      <c r="W763" t="s">
        <v>7455</v>
      </c>
      <c r="X763" t="s">
        <v>7456</v>
      </c>
      <c r="Y763" t="s">
        <v>7457</v>
      </c>
    </row>
    <row r="764" spans="1:25" x14ac:dyDescent="0.3">
      <c r="A764">
        <v>38150</v>
      </c>
      <c r="B764" t="s">
        <v>7458</v>
      </c>
      <c r="C764">
        <f>-649.520518513867 -53.6649955870346 -93.8806792031141</f>
        <v>-797.06619330401577</v>
      </c>
      <c r="D764">
        <f>-676.480275048393 -66.8503848921664 -205.753513759643</f>
        <v>-949.08417370020243</v>
      </c>
      <c r="E764">
        <f>-687.244326454337 -68.8274767360392 -303.768286440184</f>
        <v>-1059.8400896305602</v>
      </c>
      <c r="F764">
        <f>-692.369449971058 -67.2729961263856 -392.703935052753</f>
        <v>-1152.3463811501965</v>
      </c>
      <c r="G764">
        <f>-692.436249976452 -62.4321678153976 -481.669181893093</f>
        <v>-1236.5375996849427</v>
      </c>
      <c r="H764">
        <f>-687.136640713148 -52.3729968204436 -605.731745786014</f>
        <v>-1345.2413833196056</v>
      </c>
      <c r="I764">
        <f>-663.593620772597 -38.69383292874 -684.240616674085</f>
        <v>-1386.528070375422</v>
      </c>
      <c r="J764">
        <f>-695.011874638555 -29.7214427983588 -549.17917318105</f>
        <v>-1273.9124906179638</v>
      </c>
      <c r="K764" t="s">
        <v>7459</v>
      </c>
      <c r="L764" t="s">
        <v>7460</v>
      </c>
      <c r="M764" t="s">
        <v>7461</v>
      </c>
      <c r="N764">
        <f>-683.925525003322 -83.8778038494399 -553.096661815458</f>
        <v>-1320.89999066822</v>
      </c>
      <c r="O764">
        <f>-660.426983172454 -217.808807609216 -532.897240299508</f>
        <v>-1411.1330310811779</v>
      </c>
      <c r="P764">
        <f>-631.422533602876 -311.053420988155 -255.308656579775</f>
        <v>-1197.7846111708061</v>
      </c>
      <c r="Q764">
        <f>-490.264746947826 -131.823845491716 -332.782172914087</f>
        <v>-954.87076535362905</v>
      </c>
      <c r="R764" t="s">
        <v>7462</v>
      </c>
      <c r="S764" t="s">
        <v>7463</v>
      </c>
      <c r="T764" t="s">
        <v>7464</v>
      </c>
      <c r="U764" t="s">
        <v>7465</v>
      </c>
      <c r="V764">
        <f>-615.956041741633 -143.592723775623 -92.4595549321186</f>
        <v>-852.00832044937465</v>
      </c>
      <c r="W764" t="s">
        <v>7466</v>
      </c>
      <c r="X764" t="s">
        <v>7467</v>
      </c>
      <c r="Y764" t="s">
        <v>7468</v>
      </c>
    </row>
    <row r="765" spans="1:25" x14ac:dyDescent="0.3">
      <c r="A765">
        <v>38200</v>
      </c>
      <c r="B765" t="s">
        <v>7469</v>
      </c>
      <c r="C765">
        <f>-649.384956705168 -54.3820201562457 -93.864063210396</f>
        <v>-797.63104007180971</v>
      </c>
      <c r="D765">
        <f>-676.202453338924 -67.3699955992693 -205.794277549986</f>
        <v>-949.36672648817921</v>
      </c>
      <c r="E765">
        <f>-686.720273991222 -69.3277832281019 -303.836086032435</f>
        <v>-1059.8841432517588</v>
      </c>
      <c r="F765">
        <f>-691.577720684335 -67.8160997196107 -392.787496215938</f>
        <v>-1152.1813166198838</v>
      </c>
      <c r="G765">
        <f>-691.333479649797 -63.0816592693755 -481.75808209118</f>
        <v>-1236.1732210103523</v>
      </c>
      <c r="H765">
        <f>-685.556280863481 -53.2387510066367 -605.816782050838</f>
        <v>-1344.6118139209557</v>
      </c>
      <c r="I765">
        <f>-661.709828530354 -39.8527972315226 -684.284501590098</f>
        <v>-1385.8471273519744</v>
      </c>
      <c r="J765">
        <f>-693.516997307008 -30.4623945442549 -549.326215025281</f>
        <v>-1273.3056068765441</v>
      </c>
      <c r="K765" t="s">
        <v>7470</v>
      </c>
      <c r="L765" t="s">
        <v>7471</v>
      </c>
      <c r="M765" t="s">
        <v>7472</v>
      </c>
      <c r="N765">
        <f>-682.679960832718 -84.6778481870333 -553.123097691437</f>
        <v>-1320.4809067111883</v>
      </c>
      <c r="O765">
        <f>-659.945310869816 -218.693494819399 -532.620254334968</f>
        <v>-1411.2590600241829</v>
      </c>
      <c r="P765">
        <f>-633.136691618881 -311.35462862188 -254.615838971699</f>
        <v>-1199.1071592124599</v>
      </c>
      <c r="Q765">
        <f>-490.241653851169 -133.294270684337 -331.599191532253</f>
        <v>-955.13511606775887</v>
      </c>
      <c r="R765" t="s">
        <v>7473</v>
      </c>
      <c r="S765" t="s">
        <v>7474</v>
      </c>
      <c r="T765" t="s">
        <v>7475</v>
      </c>
      <c r="U765" t="s">
        <v>7476</v>
      </c>
      <c r="V765">
        <f>-616.148899117099 -144.324733019502 -92.4426434693443</f>
        <v>-852.9162756059452</v>
      </c>
      <c r="W765" t="s">
        <v>7477</v>
      </c>
      <c r="X765" t="s">
        <v>7478</v>
      </c>
      <c r="Y765" t="s">
        <v>7479</v>
      </c>
    </row>
    <row r="766" spans="1:25" x14ac:dyDescent="0.3">
      <c r="A766">
        <v>38250</v>
      </c>
      <c r="B766" t="s">
        <v>7480</v>
      </c>
      <c r="C766">
        <f>-649.459457480165 -54.6508742970841 -93.8181812074973</f>
        <v>-797.92851298474648</v>
      </c>
      <c r="D766">
        <f>-676.226718436212 -67.6144847638138 -205.763147096693</f>
        <v>-949.60435029671885</v>
      </c>
      <c r="E766">
        <f>-686.667214713214 -69.5965801456032 -303.812684411963</f>
        <v>-1060.0764792707801</v>
      </c>
      <c r="F766">
        <f>-691.441369002209 -68.1261829324797 -392.769418221465</f>
        <v>-1152.3369701561537</v>
      </c>
      <c r="G766">
        <f>-691.101443278925 -63.4532307818156 -481.742946122337</f>
        <v>-1236.2976201830775</v>
      </c>
      <c r="H766">
        <f>-685.177736499562 -53.7182409885156 -605.803275638449</f>
        <v>-1344.6992531265266</v>
      </c>
      <c r="I766">
        <f>-661.200295708295 -40.4511830411213 -684.251288026892</f>
        <v>-1385.9027667763085</v>
      </c>
      <c r="J766">
        <f>-693.176526232074 -30.8872761795199 -549.340079927617</f>
        <v>-1273.4038823392109</v>
      </c>
      <c r="K766" t="s">
        <v>7481</v>
      </c>
      <c r="L766" t="s">
        <v>7482</v>
      </c>
      <c r="M766" t="s">
        <v>7483</v>
      </c>
      <c r="N766">
        <f>-682.392393021541 -85.1170746948044 -553.080637579161</f>
        <v>-1320.5901052955064</v>
      </c>
      <c r="O766">
        <f>-659.828993135942 -219.140900303315 -532.453950197462</f>
        <v>-1411.4238436367191</v>
      </c>
      <c r="P766">
        <f>-633.812337255049 -311.614051852986 -254.311722623735</f>
        <v>-1199.73811173177</v>
      </c>
      <c r="Q766">
        <f>-490.258430815135 -133.931832309392 -330.941956476434</f>
        <v>-955.13221960096098</v>
      </c>
      <c r="R766" t="s">
        <v>7484</v>
      </c>
      <c r="S766" t="s">
        <v>7485</v>
      </c>
      <c r="T766" t="s">
        <v>7486</v>
      </c>
      <c r="U766" t="s">
        <v>7487</v>
      </c>
      <c r="V766">
        <f>-616.215652716978 -144.596069665232 -92.4226296119091</f>
        <v>-853.23435199411904</v>
      </c>
      <c r="W766" t="s">
        <v>7488</v>
      </c>
      <c r="X766" t="s">
        <v>7489</v>
      </c>
      <c r="Y766" t="s">
        <v>7490</v>
      </c>
    </row>
    <row r="767" spans="1:25" x14ac:dyDescent="0.3">
      <c r="A767">
        <v>38300</v>
      </c>
      <c r="B767" t="s">
        <v>7491</v>
      </c>
      <c r="C767">
        <f>-649.226718087675 -54.6874930748099 -93.7647568083593</f>
        <v>-797.67896797084416</v>
      </c>
      <c r="D767">
        <f>-675.942483032566 -67.6438803881076 -205.722878005026</f>
        <v>-949.30924142569961</v>
      </c>
      <c r="E767">
        <f>-686.320184780647 -69.7267946119191 -303.777035552789</f>
        <v>-1059.824014945355</v>
      </c>
      <c r="F767">
        <f>-691.03302015405 -68.390958569378 -392.738980482408</f>
        <v>-1152.1629592058359</v>
      </c>
      <c r="G767">
        <f>-690.628272202339 -63.8954921018201 -481.721559100963</f>
        <v>-1236.245323405122</v>
      </c>
      <c r="H767">
        <f>-684.612051968036 -54.4530767293975 -605.799971487974</f>
        <v>-1344.8651001854073</v>
      </c>
      <c r="I767">
        <f>-660.408512100707 -41.3739791751241 -684.210120760227</f>
        <v>-1385.9926120360581</v>
      </c>
      <c r="J767">
        <f>-692.668001600955 -31.4919052385935 -549.397825868797</f>
        <v>-1273.5577327083456</v>
      </c>
      <c r="K767" t="s">
        <v>7492</v>
      </c>
      <c r="L767" t="s">
        <v>7493</v>
      </c>
      <c r="M767" t="s">
        <v>7494</v>
      </c>
      <c r="N767">
        <f>-681.850944081654 -85.7244731282535 -553.000424211906</f>
        <v>-1320.5758414218135</v>
      </c>
      <c r="O767">
        <f>-659.240242452786 -219.708029195029 -532.123946464394</f>
        <v>-1411.0722181122089</v>
      </c>
      <c r="P767">
        <f>-633.885955476179 -311.870103402463 -253.81735151158</f>
        <v>-1199.5734103902219</v>
      </c>
      <c r="Q767">
        <f>-489.8366894271 -134.386379738803 -329.976455707723</f>
        <v>-954.19952487362593</v>
      </c>
      <c r="R767" t="s">
        <v>7495</v>
      </c>
      <c r="S767" t="s">
        <v>7496</v>
      </c>
      <c r="T767" t="s">
        <v>7497</v>
      </c>
      <c r="U767" t="s">
        <v>7498</v>
      </c>
      <c r="V767">
        <f>-615.777239939364 -144.484701467518 -92.4213629617327</f>
        <v>-852.6833043686147</v>
      </c>
      <c r="W767" t="s">
        <v>7499</v>
      </c>
      <c r="X767" t="s">
        <v>7500</v>
      </c>
      <c r="Y767" t="s">
        <v>7501</v>
      </c>
    </row>
    <row r="768" spans="1:25" x14ac:dyDescent="0.3">
      <c r="A768">
        <v>38350</v>
      </c>
      <c r="B768" t="s">
        <v>7502</v>
      </c>
      <c r="C768">
        <f>-648.98715701367 -54.682930997988 -93.807510851717</f>
        <v>-797.47759886337496</v>
      </c>
      <c r="D768">
        <f>-675.648603396639 -67.6595547240265 -205.77626073563</f>
        <v>-949.08441885629554</v>
      </c>
      <c r="E768">
        <f>-686.025149584785 -69.8114021670119 -303.82914239301</f>
        <v>-1059.6656941448068</v>
      </c>
      <c r="F768">
        <f>-690.757289975835 -68.5569658949439 -392.791235776087</f>
        <v>-1152.1054916468659</v>
      </c>
      <c r="G768">
        <f>-690.393538242608 -64.1603684576821 -481.778765317369</f>
        <v>-1236.3326720176592</v>
      </c>
      <c r="H768">
        <f>-684.457497219691 -54.8729548652557 -605.872829079381</f>
        <v>-1345.2032811643276</v>
      </c>
      <c r="I768">
        <f>-660.152182927866 -41.8631715076485 -684.262972062431</f>
        <v>-1386.2783264979455</v>
      </c>
      <c r="J768">
        <f>-692.506221579566 -31.8469401881725 -549.495977676936</f>
        <v>-1273.8491394446746</v>
      </c>
      <c r="K768" t="s">
        <v>7503</v>
      </c>
      <c r="L768" t="s">
        <v>7504</v>
      </c>
      <c r="M768" t="s">
        <v>7505</v>
      </c>
      <c r="N768">
        <f>-681.633115846771 -86.0727874538611 -553.034231998391</f>
        <v>-1320.7401352990232</v>
      </c>
      <c r="O768">
        <f>-658.895164090432 -220.011173250288 -532.020595798172</f>
        <v>-1410.9269331388921</v>
      </c>
      <c r="P768">
        <f>-633.477230110301 -311.917001670812 -253.635120825921</f>
        <v>-1199.0293526070338</v>
      </c>
      <c r="Q768">
        <f>-489.573148233714 -134.316905015924 -329.797124457278</f>
        <v>-953.68717770691592</v>
      </c>
      <c r="R768" t="s">
        <v>7506</v>
      </c>
      <c r="S768" t="s">
        <v>7507</v>
      </c>
      <c r="T768" t="s">
        <v>7508</v>
      </c>
      <c r="U768" t="s">
        <v>7509</v>
      </c>
      <c r="V768">
        <f>-615.535017191751 -144.391689543875 -92.442788302825</f>
        <v>-852.36949503845096</v>
      </c>
      <c r="W768" t="s">
        <v>7510</v>
      </c>
      <c r="X768" t="s">
        <v>7511</v>
      </c>
      <c r="Y768" t="s">
        <v>7512</v>
      </c>
    </row>
    <row r="769" spans="1:25" x14ac:dyDescent="0.3">
      <c r="A769">
        <v>38400</v>
      </c>
      <c r="B769" t="s">
        <v>7513</v>
      </c>
      <c r="C769">
        <f>-648.678272918687 -54.6549195461037 -93.9170382292702</f>
        <v>-797.25023069406086</v>
      </c>
      <c r="D769">
        <f>-675.264975737337 -67.720141753422 -205.893262370854</f>
        <v>-948.87837986161298</v>
      </c>
      <c r="E769">
        <f>-685.684120197584 -70.0125596344224 -303.938291556595</f>
        <v>-1059.6349713886013</v>
      </c>
      <c r="F769">
        <f>-690.501184223239 -68.9076016067033 -392.897922562932</f>
        <v>-1152.3067083928743</v>
      </c>
      <c r="G769">
        <f>-690.270761781017 -64.6778976489941 -481.894068734663</f>
        <v>-1236.8427281646741</v>
      </c>
      <c r="H769">
        <f>-684.572919737036 -55.6382428522513 -606.017501749734</f>
        <v>-1346.2286643390214</v>
      </c>
      <c r="I769">
        <f>-660.10315637161 -42.7088522468396 -684.369886832646</f>
        <v>-1387.1818954510954</v>
      </c>
      <c r="J769">
        <f>-692.621110983429 -32.5211516158622 -549.677958347997</f>
        <v>-1274.8202209472884</v>
      </c>
      <c r="K769" t="s">
        <v>7514</v>
      </c>
      <c r="L769" t="s">
        <v>7515</v>
      </c>
      <c r="M769" t="s">
        <v>7516</v>
      </c>
      <c r="N769">
        <f>-681.539402601901 -86.7110268228323 -553.115760870252</f>
        <v>-1321.3661902949852</v>
      </c>
      <c r="O769">
        <f>-658.370187539763 -220.529249807243 -531.811620092306</f>
        <v>-1410.7110574393121</v>
      </c>
      <c r="P769">
        <f>-632.655106399105 -311.913885724709 -253.281863449928</f>
        <v>-1197.8508555737421</v>
      </c>
      <c r="Q769">
        <f>-489.498430332662 -133.945686352337 -329.991458385337</f>
        <v>-953.43557507033597</v>
      </c>
      <c r="R769" t="s">
        <v>7517</v>
      </c>
      <c r="S769" t="s">
        <v>7518</v>
      </c>
      <c r="T769" t="s">
        <v>7519</v>
      </c>
      <c r="U769" t="s">
        <v>7520</v>
      </c>
      <c r="V769">
        <f>-615.142589589348 -144.444964463285 -92.4552612285077</f>
        <v>-852.04281528114063</v>
      </c>
      <c r="W769" t="s">
        <v>7521</v>
      </c>
      <c r="X769" t="s">
        <v>7522</v>
      </c>
      <c r="Y769" t="s">
        <v>7523</v>
      </c>
    </row>
    <row r="770" spans="1:25" x14ac:dyDescent="0.3">
      <c r="A770">
        <v>38450</v>
      </c>
      <c r="B770" t="s">
        <v>7524</v>
      </c>
      <c r="C770">
        <f>-648.499564025093 -54.7039734895091 -93.9803045683524</f>
        <v>-797.18384208295447</v>
      </c>
      <c r="D770">
        <f>-675.065511705875 -67.811533568663 -205.956403656779</f>
        <v>-948.83344893131698</v>
      </c>
      <c r="E770">
        <f>-685.515859266674 -70.164998165531 -303.996775164076</f>
        <v>-1059.677632596281</v>
      </c>
      <c r="F770">
        <f>-690.382593028618 -69.1231157966506 -392.954596944563</f>
        <v>-1152.4603057698316</v>
      </c>
      <c r="G770">
        <f>-690.224072104413 -64.9622503427245 -481.954003249896</f>
        <v>-1237.1403256970334</v>
      </c>
      <c r="H770">
        <f>-684.65058856191 -56.0226385462092 -606.09031976678</f>
        <v>-1346.7635468748992</v>
      </c>
      <c r="I770">
        <f>-660.094784657202 -43.1142447606944 -684.419174153909</f>
        <v>-1387.6282035718054</v>
      </c>
      <c r="J770">
        <f>-692.708670550408 -32.8736681521909 -549.765504194169</f>
        <v>-1275.3478428967678</v>
      </c>
      <c r="K770" t="s">
        <v>7525</v>
      </c>
      <c r="L770" t="s">
        <v>7526</v>
      </c>
      <c r="M770" t="s">
        <v>7527</v>
      </c>
      <c r="N770">
        <f>-681.497743593344 -87.0394350305064 -553.162836899061</f>
        <v>-1321.7000155229114</v>
      </c>
      <c r="O770">
        <f>-658.043122889964 -220.793655321514 -531.779084204279</f>
        <v>-1410.615862415757</v>
      </c>
      <c r="P770">
        <f>-632.118875761186 -311.899920954779 -253.177538618304</f>
        <v>-1197.196335334269</v>
      </c>
      <c r="Q770">
        <f>-489.613138580215 -133.558952159126 -330.232578685383</f>
        <v>-953.40466942472403</v>
      </c>
      <c r="R770" t="s">
        <v>7528</v>
      </c>
      <c r="S770" t="s">
        <v>7529</v>
      </c>
      <c r="T770" t="s">
        <v>7530</v>
      </c>
      <c r="U770" t="s">
        <v>7531</v>
      </c>
      <c r="V770">
        <f>-614.831067346104 -144.521888075069 -92.5113084591881</f>
        <v>-851.86426388036102</v>
      </c>
      <c r="W770" t="s">
        <v>7532</v>
      </c>
      <c r="X770" t="s">
        <v>7533</v>
      </c>
      <c r="Y770" t="s">
        <v>7534</v>
      </c>
    </row>
    <row r="771" spans="1:25" x14ac:dyDescent="0.3">
      <c r="A771">
        <v>38500</v>
      </c>
      <c r="B771" t="s">
        <v>7535</v>
      </c>
      <c r="C771">
        <f>-648.034420392822 -54.8970199797727 -94.1260000618915</f>
        <v>-797.05744043448624</v>
      </c>
      <c r="D771">
        <f>-674.563936886145 -68.1215050442142 -206.097096676989</f>
        <v>-948.78253860734822</v>
      </c>
      <c r="E771">
        <f>-685.07772321805 -70.6087190227477 -304.127343474749</f>
        <v>-1059.8137857155466</v>
      </c>
      <c r="F771">
        <f>-690.040716028326 -69.7002809863613 -393.081109859137</f>
        <v>-1152.8221068738244</v>
      </c>
      <c r="G771">
        <f>-690.018405750384 -65.6820356699948 -482.087303237043</f>
        <v>-1237.7877446574216</v>
      </c>
      <c r="H771">
        <f>-684.67713946579 -56.9495449595133 -606.248569746003</f>
        <v>-1347.8752541713063</v>
      </c>
      <c r="I771">
        <f>-659.944156704668 -44.0980353427158 -684.531032628009</f>
        <v>-1388.5732246753928</v>
      </c>
      <c r="J771">
        <f>-692.729827772404 -33.7270694020215 -549.953105644852</f>
        <v>-1276.4100028192775</v>
      </c>
      <c r="K771" t="s">
        <v>7536</v>
      </c>
      <c r="L771" t="s">
        <v>7537</v>
      </c>
      <c r="M771" t="s">
        <v>7538</v>
      </c>
      <c r="N771">
        <f>-681.325374089799 -87.8576155349183 -553.269601310418</f>
        <v>-1322.4525909351353</v>
      </c>
      <c r="O771">
        <f>-657.361053769944 -221.512093961727 -531.785134355666</f>
        <v>-1410.6582820873368</v>
      </c>
      <c r="P771">
        <f>-630.699125720256 -312.243891294424 -253.13102505785</f>
        <v>-1196.0740420725299</v>
      </c>
      <c r="Q771">
        <f>-489.719341226335 -132.837568966307 -330.519308785073</f>
        <v>-953.07621897771503</v>
      </c>
      <c r="R771" t="s">
        <v>7539</v>
      </c>
      <c r="S771" t="s">
        <v>7540</v>
      </c>
      <c r="T771" t="s">
        <v>7541</v>
      </c>
      <c r="U771" t="s">
        <v>7542</v>
      </c>
      <c r="V771">
        <f>-614.31307768334 -144.401649568733 -92.6049191980208</f>
        <v>-851.31964645009373</v>
      </c>
      <c r="W771" t="s">
        <v>7543</v>
      </c>
      <c r="X771" t="s">
        <v>7544</v>
      </c>
      <c r="Y771" t="s">
        <v>7545</v>
      </c>
    </row>
    <row r="772" spans="1:25" x14ac:dyDescent="0.3">
      <c r="A772">
        <v>38550</v>
      </c>
      <c r="B772" t="s">
        <v>7546</v>
      </c>
      <c r="C772">
        <f>-647.846048272695 -54.8985791942077 -94.1458008427135</f>
        <v>-796.89042830961625</v>
      </c>
      <c r="D772">
        <f>-674.348185896491 -68.1586465894948 -206.119123670466</f>
        <v>-948.62595615645182</v>
      </c>
      <c r="E772">
        <f>-684.903612739248 -70.6976044753949 -304.1435977336</f>
        <v>-1059.7448149482429</v>
      </c>
      <c r="F772">
        <f>-689.931192321518 -69.8435890098851 -393.094267445625</f>
        <v>-1152.8690487770282</v>
      </c>
      <c r="G772">
        <f>-690.000809040119 -65.8860197102151 -482.10322048158</f>
        <v>-1237.9900492319141</v>
      </c>
      <c r="H772">
        <f>-684.816536030381 -57.2436679411376 -606.277449381655</f>
        <v>-1348.3376533531737</v>
      </c>
      <c r="I772">
        <f>-660.006031510351 -44.4335712201791 -684.542183281688</f>
        <v>-1388.9817860122182</v>
      </c>
      <c r="J772">
        <f>-692.831312751926 -33.9871918522035 -549.99049345355</f>
        <v>-1276.8089980576797</v>
      </c>
      <c r="K772" t="s">
        <v>7547</v>
      </c>
      <c r="L772" t="s">
        <v>7548</v>
      </c>
      <c r="M772" t="s">
        <v>7549</v>
      </c>
      <c r="N772">
        <f>-681.364602685752 -88.1061350335722 -553.278413750801</f>
        <v>-1322.7491514701251</v>
      </c>
      <c r="O772">
        <f>-657.245598246555 -221.722504727877 -531.727462190235</f>
        <v>-1410.695565164667</v>
      </c>
      <c r="P772">
        <f>-630.14651842071 -312.341150404751 -253.078683500455</f>
        <v>-1195.5663523259161</v>
      </c>
      <c r="Q772">
        <f>-489.987558712434 -132.385224050894 -330.681647562616</f>
        <v>-953.05443032594394</v>
      </c>
      <c r="R772" t="s">
        <v>7550</v>
      </c>
      <c r="S772" t="s">
        <v>7551</v>
      </c>
      <c r="T772" t="s">
        <v>7552</v>
      </c>
      <c r="U772" t="s">
        <v>7553</v>
      </c>
      <c r="V772">
        <f>-614.087401097098 -144.451174213569 -92.6039595692077</f>
        <v>-851.1425348798748</v>
      </c>
      <c r="W772" t="s">
        <v>7554</v>
      </c>
      <c r="X772" t="s">
        <v>7555</v>
      </c>
      <c r="Y772" t="s">
        <v>7556</v>
      </c>
    </row>
    <row r="773" spans="1:25" x14ac:dyDescent="0.3">
      <c r="A773">
        <v>38600</v>
      </c>
      <c r="B773" t="s">
        <v>7557</v>
      </c>
      <c r="C773">
        <f>-647.32257963461 -54.9114472318597 -94.1692761498152</f>
        <v>-796.40330301628489</v>
      </c>
      <c r="D773">
        <f>-673.824517739249 -68.1794899636386 -206.141800347905</f>
        <v>-948.14580805079265</v>
      </c>
      <c r="E773">
        <f>-684.498281216311 -70.7946323558629 -304.151360379111</f>
        <v>-1059.4442739512849</v>
      </c>
      <c r="F773">
        <f>-689.684642691141 -70.0321923758152 -393.093757573806</f>
        <v>-1152.810592640762</v>
      </c>
      <c r="G773">
        <f>-689.966634024217 -66.1846108868817 -482.107144226908</f>
        <v>-1238.2583891380068</v>
      </c>
      <c r="H773">
        <f>-685.136463650012 -57.7113873478502 -606.307267971766</f>
        <v>-1349.1551189696283</v>
      </c>
      <c r="I773">
        <f>-660.203528949444 -44.9795056413182 -684.545902274744</f>
        <v>-1389.7289368655061</v>
      </c>
      <c r="J773">
        <f>-693.033023408935 -34.3870853208803 -550.031718951576</f>
        <v>-1277.4518276813913</v>
      </c>
      <c r="K773" t="s">
        <v>7558</v>
      </c>
      <c r="L773" t="s">
        <v>7559</v>
      </c>
      <c r="M773" t="s">
        <v>7560</v>
      </c>
      <c r="N773">
        <f>-681.49106514046 -88.4928020773384 -553.274085573707</f>
        <v>-1323.2579527915054</v>
      </c>
      <c r="O773">
        <f>-657.205676147725 -222.04615055118 -531.570673433145</f>
        <v>-1410.82250013205</v>
      </c>
      <c r="P773">
        <f>-629.601518785598 -312.573234915048 -252.941778618502</f>
        <v>-1195.1165323191481</v>
      </c>
      <c r="Q773">
        <f>-490.671844270971 -131.738924158664 -330.713345592849</f>
        <v>-953.12411402248404</v>
      </c>
      <c r="R773" t="s">
        <v>7561</v>
      </c>
      <c r="S773" t="s">
        <v>7562</v>
      </c>
      <c r="T773" t="s">
        <v>7563</v>
      </c>
      <c r="U773" t="s">
        <v>7564</v>
      </c>
      <c r="V773">
        <f>-613.597109483125 -144.591972169902 -92.6032980988903</f>
        <v>-850.79237975191722</v>
      </c>
      <c r="W773" t="s">
        <v>7565</v>
      </c>
      <c r="X773" t="s">
        <v>7566</v>
      </c>
      <c r="Y773" t="s">
        <v>7567</v>
      </c>
    </row>
    <row r="774" spans="1:25" x14ac:dyDescent="0.3">
      <c r="A774">
        <v>38650</v>
      </c>
      <c r="B774" t="s">
        <v>7568</v>
      </c>
      <c r="C774">
        <f>-647.128104148811 -54.8401501508954 -94.190763327406</f>
        <v>-796.15901762711235</v>
      </c>
      <c r="D774">
        <f>-673.616525675337 -68.1133039341244 -206.165834317066</f>
        <v>-947.89566392652739</v>
      </c>
      <c r="E774">
        <f>-684.324862080355 -70.7646080788054 -304.170737691937</f>
        <v>-1059.2602078510974</v>
      </c>
      <c r="F774">
        <f>-689.563050478521 -70.0456125081876 -393.110507713845</f>
        <v>-1152.7191707005536</v>
      </c>
      <c r="G774">
        <f>-689.918182509298 -66.2505031517619 -482.125678022389</f>
        <v>-1238.2943636834489</v>
      </c>
      <c r="H774">
        <f>-685.212963349946 -57.8585381211992 -606.336190781265</f>
        <v>-1349.4076922524102</v>
      </c>
      <c r="I774">
        <f>-660.222963346838 -45.1807272011497 -684.565358064002</f>
        <v>-1389.9690486119898</v>
      </c>
      <c r="J774">
        <f>-693.067212435521 -34.5005452291998 -550.068807364897</f>
        <v>-1277.6365650296179</v>
      </c>
      <c r="K774" t="s">
        <v>7569</v>
      </c>
      <c r="L774" t="s">
        <v>7570</v>
      </c>
      <c r="M774" t="s">
        <v>7571</v>
      </c>
      <c r="N774">
        <f>-681.49985186922 -88.6023396275684 -553.285888410542</f>
        <v>-1323.3880799073304</v>
      </c>
      <c r="O774">
        <f>-657.183432644932 -222.144506608643 -531.527507993848</f>
        <v>-1410.8554472474229</v>
      </c>
      <c r="P774">
        <f>-629.747753347103 -312.448692041128 -252.809708433591</f>
        <v>-1195.006153821822</v>
      </c>
      <c r="Q774">
        <f>-490.834284036123 -131.59696089728 -330.569527217941</f>
        <v>-953.00077215134411</v>
      </c>
      <c r="R774" t="s">
        <v>7572</v>
      </c>
      <c r="S774" t="s">
        <v>7573</v>
      </c>
      <c r="T774" t="s">
        <v>7574</v>
      </c>
      <c r="U774" t="s">
        <v>7575</v>
      </c>
      <c r="V774">
        <f>-613.402859206237 -144.506070542648 -92.6168256175165</f>
        <v>-850.52575536640154</v>
      </c>
      <c r="W774" t="s">
        <v>7576</v>
      </c>
      <c r="X774" t="s">
        <v>7577</v>
      </c>
      <c r="Y774" t="s">
        <v>7578</v>
      </c>
    </row>
    <row r="775" spans="1:25" x14ac:dyDescent="0.3">
      <c r="A775">
        <v>38700</v>
      </c>
      <c r="B775" t="s">
        <v>7579</v>
      </c>
      <c r="C775">
        <f>-646.695641566904 -54.7220214547156 -94.2237256164075</f>
        <v>-795.64138863802702</v>
      </c>
      <c r="D775">
        <f>-673.086750028089 -68.0256233779642 -206.218253568926</f>
        <v>-947.33062697497917</v>
      </c>
      <c r="E775">
        <f>-683.793507727175 -70.7344836834709 -304.221684853647</f>
        <v>-1058.7496762642929</v>
      </c>
      <c r="F775">
        <f>-689.063360091754 -70.0800177297426 -393.160117140467</f>
        <v>-1152.3034949619637</v>
      </c>
      <c r="G775">
        <f>-689.483683877496 -66.3615304603052 -482.178225480452</f>
        <v>-1238.0234398182531</v>
      </c>
      <c r="H775">
        <f>-684.904236882971 -58.0884824685345 -606.401355949626</f>
        <v>-1349.3940753011316</v>
      </c>
      <c r="I775">
        <f>-659.771163037887 -45.4516905747353 -684.591391273099</f>
        <v>-1389.8142448857213</v>
      </c>
      <c r="J775">
        <f>-692.713248437367 -34.6790014748628 -550.149150479993</f>
        <v>-1277.5414003922228</v>
      </c>
      <c r="K775" t="s">
        <v>7580</v>
      </c>
      <c r="L775" t="s">
        <v>7581</v>
      </c>
      <c r="M775" t="s">
        <v>7582</v>
      </c>
      <c r="N775">
        <f>-681.125577437858 -88.7789803370274 -553.324833043942</f>
        <v>-1323.2293908188276</v>
      </c>
      <c r="O775">
        <f>-656.83187863526 -222.327684901178 -531.561467144305</f>
        <v>-1410.7210306807428</v>
      </c>
      <c r="P775">
        <f>-630.139739852802 -312.427752387947 -252.705375491728</f>
        <v>-1195.2728677324772</v>
      </c>
      <c r="Q775">
        <f>-491.369485823168 -131.407078912213 -330.327715698461</f>
        <v>-953.10428043384206</v>
      </c>
      <c r="R775" t="s">
        <v>7583</v>
      </c>
      <c r="S775" t="s">
        <v>7584</v>
      </c>
      <c r="T775" t="s">
        <v>7585</v>
      </c>
      <c r="U775" t="s">
        <v>7586</v>
      </c>
      <c r="V775">
        <f>-612.905860533537 -144.154683479248 -92.6305520011355</f>
        <v>-849.6910960139204</v>
      </c>
      <c r="W775" t="s">
        <v>7587</v>
      </c>
      <c r="X775" t="s">
        <v>7588</v>
      </c>
      <c r="Y775" t="s">
        <v>7589</v>
      </c>
    </row>
    <row r="776" spans="1:25" x14ac:dyDescent="0.3">
      <c r="A776">
        <v>38750</v>
      </c>
      <c r="B776" t="s">
        <v>7590</v>
      </c>
      <c r="C776">
        <f>-646.48783628147 -54.7986661902487 -94.2385848210275</f>
        <v>-795.52508729274621</v>
      </c>
      <c r="D776">
        <f>-672.825050142553 -68.1219607254029 -206.243373378417</f>
        <v>-947.1903842463729</v>
      </c>
      <c r="E776">
        <f>-683.496699975761 -70.8430370436988 -304.25029900353</f>
        <v>-1058.5900360229898</v>
      </c>
      <c r="F776">
        <f>-688.738336056568 -70.1990663766621 -393.190560654591</f>
        <v>-1152.1279630878212</v>
      </c>
      <c r="G776">
        <f>-689.132930478966 -66.4917727901134 -482.209294779826</f>
        <v>-1237.8339980489054</v>
      </c>
      <c r="H776">
        <f>-684.52011603554 -58.2359428062 -606.432315592721</f>
        <v>-1349.1883744344609</v>
      </c>
      <c r="I776">
        <f>-659.278557958261 -45.5859414999823 -684.585289044592</f>
        <v>-1389.4497885028352</v>
      </c>
      <c r="J776">
        <f>-692.332169343974 -34.8162224202699 -550.1847745057</f>
        <v>-1277.3331662699438</v>
      </c>
      <c r="K776" t="s">
        <v>7591</v>
      </c>
      <c r="L776" t="s">
        <v>7592</v>
      </c>
      <c r="M776" t="s">
        <v>7593</v>
      </c>
      <c r="N776">
        <f>-680.767829656073 -88.9216956620076 -553.351077185877</f>
        <v>-1323.0406025039574</v>
      </c>
      <c r="O776">
        <f>-656.556603239779 -222.488880136194 -531.627630491458</f>
        <v>-1410.6731138674309</v>
      </c>
      <c r="P776">
        <f>-630.150874860668 -312.725349597169 -252.788379822322</f>
        <v>-1195.664604280159</v>
      </c>
      <c r="Q776">
        <f>-491.846044538668 -131.306455282882 -330.311198558134</f>
        <v>-953.46369837968405</v>
      </c>
      <c r="R776" t="s">
        <v>7594</v>
      </c>
      <c r="S776" t="s">
        <v>7595</v>
      </c>
      <c r="T776" t="s">
        <v>7596</v>
      </c>
      <c r="U776" t="s">
        <v>7597</v>
      </c>
      <c r="V776">
        <f>-612.691570973452 -144.324087374071 -92.6211363556999</f>
        <v>-849.63679470322302</v>
      </c>
      <c r="W776" t="s">
        <v>7598</v>
      </c>
      <c r="X776" t="s">
        <v>7599</v>
      </c>
      <c r="Y776" t="s">
        <v>7600</v>
      </c>
    </row>
    <row r="777" spans="1:25" x14ac:dyDescent="0.3">
      <c r="A777">
        <v>38800</v>
      </c>
      <c r="B777" t="s">
        <v>7601</v>
      </c>
      <c r="C777">
        <f>-646.020550050445 -55.080357855134 -94.2986192452437</f>
        <v>-795.39952715082268</v>
      </c>
      <c r="D777">
        <f>-672.200336574741 -68.4097967076721 -206.339426178667</f>
        <v>-946.94955946108007</v>
      </c>
      <c r="E777">
        <f>-682.78031463795 -71.1193841565234 -304.356677656278</f>
        <v>-1058.2563764507515</v>
      </c>
      <c r="F777">
        <f>-687.955564555821 -70.4599711895539 -393.300613434362</f>
        <v>-1151.7161491797369</v>
      </c>
      <c r="G777">
        <f>-688.299164542685 -66.7329936766912 -482.318799793036</f>
        <v>-1237.3509580124123</v>
      </c>
      <c r="H777">
        <f>-683.63056473426 -58.4464500260847 -606.537799709537</f>
        <v>-1348.6148144698818</v>
      </c>
      <c r="I777">
        <f>-658.204153556762 -45.7758164001514 -684.627359719969</f>
        <v>-1388.6073296768823</v>
      </c>
      <c r="J777">
        <f>-691.424277092648 -35.0313858969066 -550.285532041451</f>
        <v>-1276.7411950310056</v>
      </c>
      <c r="K777" t="s">
        <v>7602</v>
      </c>
      <c r="L777" t="s">
        <v>7603</v>
      </c>
      <c r="M777" t="s">
        <v>7604</v>
      </c>
      <c r="N777">
        <f>-679.94573290317 -89.1543747718008 -553.464781494226</f>
        <v>-1322.5648891691967</v>
      </c>
      <c r="O777">
        <f>-655.983860533017 -222.773503971893 -531.822012085723</f>
        <v>-1410.579376590633</v>
      </c>
      <c r="P777">
        <f>-630.1373987829 -312.870182446462 -252.885259208468</f>
        <v>-1195.89284043783</v>
      </c>
      <c r="Q777">
        <f>-492.542734656802 -130.944784430563 -330.484697914438</f>
        <v>-953.97221700180296</v>
      </c>
      <c r="R777" t="s">
        <v>7605</v>
      </c>
      <c r="S777" t="s">
        <v>7606</v>
      </c>
      <c r="T777" t="s">
        <v>7607</v>
      </c>
      <c r="U777" t="s">
        <v>7608</v>
      </c>
      <c r="V777">
        <f>-612.296118370469 -144.634847398378 -92.6136838224418</f>
        <v>-849.54464959128882</v>
      </c>
      <c r="W777" t="s">
        <v>7609</v>
      </c>
      <c r="X777" t="s">
        <v>7610</v>
      </c>
      <c r="Y777" t="s">
        <v>7611</v>
      </c>
    </row>
    <row r="778" spans="1:25" x14ac:dyDescent="0.3">
      <c r="A778">
        <v>38850</v>
      </c>
      <c r="B778" t="s">
        <v>7612</v>
      </c>
      <c r="C778">
        <f>-645.887881250621 -55.1042171271606 -94.3197168362532</f>
        <v>-795.31181521403482</v>
      </c>
      <c r="D778">
        <f>-671.986124706747 -68.4357510205705 -206.379510945652</f>
        <v>-946.80138667296944</v>
      </c>
      <c r="E778">
        <f>-682.520907382648 -71.1387250706919 -304.401679819945</f>
        <v>-1058.0613122732848</v>
      </c>
      <c r="F778">
        <f>-687.66459621692 -70.4701377019674 -393.347431112573</f>
        <v>-1151.4821650314605</v>
      </c>
      <c r="G778">
        <f>-687.985665920627 -66.7317858568808 -482.365094052685</f>
        <v>-1237.0825458301929</v>
      </c>
      <c r="H778">
        <f>-683.29430301733 -58.4272207218883 -606.582030421071</f>
        <v>-1348.3035541602892</v>
      </c>
      <c r="I778">
        <f>-657.768011073826 -45.7439296567586 -684.636902444072</f>
        <v>-1388.1488431746566</v>
      </c>
      <c r="J778">
        <f>-691.071606133105 -35.0148182081793 -550.326483540773</f>
        <v>-1276.4129078820574</v>
      </c>
      <c r="K778" t="s">
        <v>7613</v>
      </c>
      <c r="L778" t="s">
        <v>7614</v>
      </c>
      <c r="M778" t="s">
        <v>7615</v>
      </c>
      <c r="N778">
        <f>-679.645983485206 -89.1485570924995 -553.514128931887</f>
        <v>-1322.3086695095924</v>
      </c>
      <c r="O778">
        <f>-655.827603618671 -222.799743481725 -531.891831901969</f>
        <v>-1410.519179002365</v>
      </c>
      <c r="P778">
        <f>-630.212557916571 -312.852292178178 -252.919357507115</f>
        <v>-1195.984207601864</v>
      </c>
      <c r="Q778">
        <f>-493.071892973029 -130.576787065174 -330.501338206564</f>
        <v>-954.15001824476701</v>
      </c>
      <c r="R778" t="s">
        <v>7616</v>
      </c>
      <c r="S778" t="s">
        <v>7617</v>
      </c>
      <c r="T778" t="s">
        <v>7618</v>
      </c>
      <c r="U778" t="s">
        <v>7619</v>
      </c>
      <c r="V778">
        <f>-612.223558824865 -144.691604838117 -92.6139172998371</f>
        <v>-849.52908096281908</v>
      </c>
      <c r="W778" t="s">
        <v>7620</v>
      </c>
      <c r="X778" t="s">
        <v>7621</v>
      </c>
      <c r="Y778" t="s">
        <v>7622</v>
      </c>
    </row>
    <row r="779" spans="1:25" x14ac:dyDescent="0.3">
      <c r="A779">
        <v>38900</v>
      </c>
      <c r="B779" t="s">
        <v>7623</v>
      </c>
      <c r="C779">
        <f>-645.673016931141 -54.9639311479243 -94.3596674438861</f>
        <v>-794.9966155229514</v>
      </c>
      <c r="D779">
        <f>-671.633653780617 -68.2471354474726 -206.457155712091</f>
        <v>-946.33794494018059</v>
      </c>
      <c r="E779">
        <f>-682.01379199408 -70.8986467450288 -304.497347414469</f>
        <v>-1057.4097861535779</v>
      </c>
      <c r="F779">
        <f>-687.003071220317 -70.1803885055749 -393.45141727344</f>
        <v>-1150.6348769993319</v>
      </c>
      <c r="G779">
        <f>-687.154962804681 -66.3903774565727 -482.467333607072</f>
        <v>-1236.0126738683257</v>
      </c>
      <c r="H779">
        <f>-682.211780498026 -58.0126382727508 -606.669564009888</f>
        <v>-1346.8939827806648</v>
      </c>
      <c r="I779">
        <f>-656.426273072893 -45.240677119333 -684.62483998589</f>
        <v>-1386.2917901781161</v>
      </c>
      <c r="J779">
        <f>-690.063291050659 -34.6250582862187 -550.413994875222</f>
        <v>-1275.1023442120998</v>
      </c>
      <c r="K779" t="s">
        <v>7624</v>
      </c>
      <c r="L779" t="s">
        <v>7625</v>
      </c>
      <c r="M779" t="s">
        <v>7626</v>
      </c>
      <c r="N779">
        <f>-678.710776546689 -88.7734186895443 -553.614734474795</f>
        <v>-1321.0989297110282</v>
      </c>
      <c r="O779">
        <f>-655.147007499848 -222.480738311902 -532.044238404195</f>
        <v>-1409.671984215945</v>
      </c>
      <c r="P779">
        <f>-630.120553215344 -312.331051904314 -252.953257635124</f>
        <v>-1195.404862754782</v>
      </c>
      <c r="Q779">
        <f>-493.680065278667 -129.507330515928 -330.479803822167</f>
        <v>-953.66719961676199</v>
      </c>
      <c r="R779" t="s">
        <v>7627</v>
      </c>
      <c r="S779" t="s">
        <v>7628</v>
      </c>
      <c r="T779" t="s">
        <v>7629</v>
      </c>
      <c r="U779" t="s">
        <v>7630</v>
      </c>
      <c r="V779">
        <f>-612.097677808798 -144.391988922585 -92.6479282417993</f>
        <v>-849.13759497318233</v>
      </c>
      <c r="W779" t="s">
        <v>7631</v>
      </c>
      <c r="X779" t="s">
        <v>7632</v>
      </c>
      <c r="Y779" t="s">
        <v>7633</v>
      </c>
    </row>
    <row r="780" spans="1:25" x14ac:dyDescent="0.3">
      <c r="A780">
        <v>38950</v>
      </c>
      <c r="B780" t="s">
        <v>7634</v>
      </c>
      <c r="C780">
        <f>-645.541970494963 -55.0106327462531 -94.3783179965138</f>
        <v>-794.93092123772999</v>
      </c>
      <c r="D780">
        <f>-671.446856954277 -68.2541481703413 -206.493323863104</f>
        <v>-946.19432898772232</v>
      </c>
      <c r="E780">
        <f>-681.73517614515 -70.8671926126742 -304.544138612037</f>
        <v>-1057.1465073698612</v>
      </c>
      <c r="F780">
        <f>-686.623839067191 -70.1125550469039 -393.503589803054</f>
        <v>-1150.2399839171489</v>
      </c>
      <c r="G780">
        <f>-686.65788376 -66.2854957590848 -482.518052827112</f>
        <v>-1235.4614323461969</v>
      </c>
      <c r="H780">
        <f>-681.532529749102 -57.855554222381 -606.709473780589</f>
        <v>-1346.0975577520719</v>
      </c>
      <c r="I780">
        <f>-655.601623675592 -45.0184905700098 -684.605563996862</f>
        <v>-1385.2256782424638</v>
      </c>
      <c r="J780">
        <f>-689.448959730582 -34.4881067172928 -550.454687975425</f>
        <v>-1274.3917544233</v>
      </c>
      <c r="K780" t="s">
        <v>7635</v>
      </c>
      <c r="L780" t="s">
        <v>7636</v>
      </c>
      <c r="M780" t="s">
        <v>7637</v>
      </c>
      <c r="N780">
        <f>-678.126993762065 -88.6422113983178 -553.663383489852</f>
        <v>-1320.4325886502347</v>
      </c>
      <c r="O780">
        <f>-654.641575157257 -222.36380197513 -532.12107965174</f>
        <v>-1409.126456784127</v>
      </c>
      <c r="P780">
        <f>-629.864859706361 -312.174914922378 -252.995082964405</f>
        <v>-1195.0348575931439</v>
      </c>
      <c r="Q780">
        <f>-493.682389575445 -129.156875874635 -330.516990548938</f>
        <v>-953.356255999018</v>
      </c>
      <c r="R780" t="s">
        <v>7638</v>
      </c>
      <c r="S780" t="s">
        <v>7639</v>
      </c>
      <c r="T780" t="s">
        <v>7640</v>
      </c>
      <c r="U780" t="s">
        <v>7641</v>
      </c>
      <c r="V780">
        <f>-612.103461506588 -144.471366152258 -92.6500647122898</f>
        <v>-849.22489237113587</v>
      </c>
      <c r="W780" t="s">
        <v>7642</v>
      </c>
      <c r="X780" t="s">
        <v>7643</v>
      </c>
      <c r="Y780" t="s">
        <v>7644</v>
      </c>
    </row>
    <row r="781" spans="1:25" x14ac:dyDescent="0.3">
      <c r="A781">
        <v>39000</v>
      </c>
      <c r="B781" t="s">
        <v>7645</v>
      </c>
      <c r="C781">
        <f>-645.179056888784 -55.0094871090637 -94.4072771594209</f>
        <v>-794.59582115726857</v>
      </c>
      <c r="D781">
        <f>-670.875464696497 -68.1121463577349 -206.586766107009</f>
        <v>-945.57437716124093</v>
      </c>
      <c r="E781">
        <f>-680.966828433404 -70.635035811149 -304.660470321026</f>
        <v>-1056.2623345655791</v>
      </c>
      <c r="F781">
        <f>-685.672087022754 -69.8108369991016 -393.629127888122</f>
        <v>-1149.1120519099777</v>
      </c>
      <c r="G781">
        <f>-685.518424040593 -65.9263517954857 -482.641166378571</f>
        <v>-1234.0859422146498</v>
      </c>
      <c r="H781">
        <f>-680.126910820693 -57.4299194577827 -606.81663092695</f>
        <v>-1344.3734612054257</v>
      </c>
      <c r="I781">
        <f>-653.930814615486 -44.4654720786141 -684.602916102871</f>
        <v>-1382.9992027969711</v>
      </c>
      <c r="J781">
        <f>-688.122066194822 -34.0839542795507 -550.563945801361</f>
        <v>-1272.7699662757336</v>
      </c>
      <c r="K781" t="s">
        <v>7646</v>
      </c>
      <c r="L781" t="s">
        <v>7647</v>
      </c>
      <c r="M781" t="s">
        <v>7648</v>
      </c>
      <c r="N781">
        <f>-676.876881219687 -88.2536878802964 -553.782283701616</f>
        <v>-1318.9128528015995</v>
      </c>
      <c r="O781">
        <f>-653.591456148602 -222.018418462773 -532.302436979535</f>
        <v>-1407.9123115909101</v>
      </c>
      <c r="P781">
        <f>-629.000565416191 -311.93828619017 -253.195027294706</f>
        <v>-1194.133878901067</v>
      </c>
      <c r="Q781">
        <f>-493.166593387377 -128.474715121957 -330.273704659293</f>
        <v>-951.91501316862707</v>
      </c>
      <c r="R781" t="s">
        <v>7649</v>
      </c>
      <c r="S781" t="s">
        <v>7650</v>
      </c>
      <c r="T781" t="s">
        <v>7651</v>
      </c>
      <c r="U781" t="s">
        <v>7652</v>
      </c>
      <c r="V781">
        <f>-611.934774584727 -144.487819335026 -92.6587341032305</f>
        <v>-849.08132802298348</v>
      </c>
      <c r="W781" t="s">
        <v>7653</v>
      </c>
      <c r="X781" t="s">
        <v>7654</v>
      </c>
      <c r="Y781" t="s">
        <v>7655</v>
      </c>
    </row>
    <row r="782" spans="1:25" x14ac:dyDescent="0.3">
      <c r="A782">
        <v>39050</v>
      </c>
      <c r="B782" t="s">
        <v>7656</v>
      </c>
      <c r="C782">
        <f>-644.938633533736 -54.8725884511989 -94.4018536930596</f>
        <v>-794.21307567799454</v>
      </c>
      <c r="D782">
        <f>-670.518862779005 -67.9231513458972 -206.613981483662</f>
        <v>-945.0559956085641</v>
      </c>
      <c r="E782">
        <f>-680.516495888517 -70.4044528100037 -304.698329553057</f>
        <v>-1055.6192782515777</v>
      </c>
      <c r="F782">
        <f>-685.140118115925 -69.5438891149465 -393.67084962525</f>
        <v>-1148.3548568561216</v>
      </c>
      <c r="G782">
        <f>-684.907747595304 -65.6246737289719 -482.681110221641</f>
        <v>-1233.2135315459168</v>
      </c>
      <c r="H782">
        <f>-679.409932346655 -57.0811442918455 -606.848854311228</f>
        <v>-1343.3399309497286</v>
      </c>
      <c r="I782">
        <f>-653.127071991919 -44.0545939638071 -684.595457732145</f>
        <v>-1381.7771236878712</v>
      </c>
      <c r="J782">
        <f>-687.435635600315 -33.7528917045195 -550.59320318965</f>
        <v>-1271.7817304944845</v>
      </c>
      <c r="K782" t="s">
        <v>7657</v>
      </c>
      <c r="L782" t="s">
        <v>7658</v>
      </c>
      <c r="M782" t="s">
        <v>7659</v>
      </c>
      <c r="N782">
        <f>-676.222893403076 -87.9285592261194 -553.82431343198</f>
        <v>-1317.9757660611754</v>
      </c>
      <c r="O782">
        <f>-653.029552911674 -221.716184925922 -532.379299372256</f>
        <v>-1407.1250372098521</v>
      </c>
      <c r="P782">
        <f>-628.443309452126 -311.91261588521 -253.360643628885</f>
        <v>-1193.7165689662211</v>
      </c>
      <c r="Q782">
        <f>-492.771585570763 -128.195429354858 -330.120217042173</f>
        <v>-951.08723196779397</v>
      </c>
      <c r="R782" t="s">
        <v>7660</v>
      </c>
      <c r="S782" t="s">
        <v>7661</v>
      </c>
      <c r="T782" t="s">
        <v>7662</v>
      </c>
      <c r="U782" t="s">
        <v>7663</v>
      </c>
      <c r="V782">
        <f>-611.741725134146 -144.279344798815 -92.6647043575174</f>
        <v>-848.68577429047843</v>
      </c>
      <c r="W782" t="s">
        <v>7664</v>
      </c>
      <c r="X782" t="s">
        <v>7665</v>
      </c>
      <c r="Y782" t="s">
        <v>7666</v>
      </c>
    </row>
    <row r="783" spans="1:25" x14ac:dyDescent="0.3">
      <c r="A783">
        <v>39100</v>
      </c>
      <c r="B783" t="s">
        <v>7667</v>
      </c>
      <c r="C783">
        <f>-644.450895481478 -54.6715732630773 -94.4014445421585</f>
        <v>-793.52391328671388</v>
      </c>
      <c r="D783">
        <f>-669.79753707192 -67.6557382641345 -206.674182745815</f>
        <v>-944.12745808186946</v>
      </c>
      <c r="E783">
        <f>-679.569106904438 -70.0374820971349 -304.783888730637</f>
        <v>-1054.3904777322098</v>
      </c>
      <c r="F783">
        <f>-683.976890070055 -69.0717314972972 -393.766396418111</f>
        <v>-1146.8150179854631</v>
      </c>
      <c r="G783">
        <f>-683.516865416794 -65.034071113449 -482.770397955867</f>
        <v>-1231.3213344861101</v>
      </c>
      <c r="H783">
        <f>-677.688418215409 -56.3125030762556 -606.910544968183</f>
        <v>-1340.9114662598477</v>
      </c>
      <c r="I783">
        <f>-651.273625807967 -43.1045391673433 -684.58188212829</f>
        <v>-1378.9600471036003</v>
      </c>
      <c r="J783">
        <f>-685.85189522879 -33.0624779766399 -550.64242746977</f>
        <v>-1269.5568006752001</v>
      </c>
      <c r="K783" t="s">
        <v>7668</v>
      </c>
      <c r="L783" t="s">
        <v>7669</v>
      </c>
      <c r="M783" t="s">
        <v>7670</v>
      </c>
      <c r="N783">
        <f>-674.654656998685 -87.2384553966078 -553.922838312593</f>
        <v>-1315.8159507078858</v>
      </c>
      <c r="O783">
        <f>-651.473830443221 -221.053354813989 -532.611731353923</f>
        <v>-1405.138916611133</v>
      </c>
      <c r="P783">
        <f>-627.09505056273 -311.76514762682 -253.742099560311</f>
        <v>-1192.602297749861</v>
      </c>
      <c r="Q783">
        <f>-491.658920110737 -127.496507649637 -329.590544258429</f>
        <v>-948.74597201880306</v>
      </c>
      <c r="R783" t="s">
        <v>7671</v>
      </c>
      <c r="S783" t="s">
        <v>7672</v>
      </c>
      <c r="T783" t="s">
        <v>7673</v>
      </c>
      <c r="U783" t="s">
        <v>7674</v>
      </c>
      <c r="V783">
        <f>-611.295114019426 -144.021150925384 -92.6765331937989</f>
        <v>-847.99279813860892</v>
      </c>
      <c r="W783" t="s">
        <v>7675</v>
      </c>
      <c r="X783" t="s">
        <v>7676</v>
      </c>
      <c r="Y783" t="s">
        <v>7677</v>
      </c>
    </row>
    <row r="784" spans="1:25" x14ac:dyDescent="0.3">
      <c r="A784">
        <v>39150</v>
      </c>
      <c r="B784" t="s">
        <v>7678</v>
      </c>
      <c r="C784">
        <f>-644.183158753273 -54.6580449455919 -94.4173003318973</f>
        <v>-793.2585040307622</v>
      </c>
      <c r="D784">
        <f>-669.412738492811 -67.5999843367463 -206.721367645783</f>
        <v>-943.73409047534028</v>
      </c>
      <c r="E784">
        <f>-679.066347380883 -69.9183393570884 -304.844073808814</f>
        <v>-1053.8287605467854</v>
      </c>
      <c r="F784">
        <f>-683.359856245689 -68.8857802837601 -393.831472379003</f>
        <v>-1146.0771089084521</v>
      </c>
      <c r="G784">
        <f>-682.777613759828 -64.7724102352856 -482.831451714649</f>
        <v>-1230.3814757097625</v>
      </c>
      <c r="H784">
        <f>-676.770059401106 -55.9363097424118 -606.95487294057</f>
        <v>-1339.6612420840879</v>
      </c>
      <c r="I784">
        <f>-650.312914728555 -42.6064296747136 -684.590957359632</f>
        <v>-1377.5103017629006</v>
      </c>
      <c r="J784">
        <f>-685.022120456504 -32.7395997018953 -550.677593492649</f>
        <v>-1268.4393136510482</v>
      </c>
      <c r="K784" t="s">
        <v>7679</v>
      </c>
      <c r="L784" t="s">
        <v>7680</v>
      </c>
      <c r="M784" t="s">
        <v>7681</v>
      </c>
      <c r="N784">
        <f>-673.805326887767 -86.9095028244578 -553.990969579297</f>
        <v>-1314.705799291522</v>
      </c>
      <c r="O784">
        <f>-650.543520243476 -220.727864120103 -532.776198521383</f>
        <v>-1404.0475828849621</v>
      </c>
      <c r="P784">
        <f>-626.211180207187 -311.708688942074 -253.990256571002</f>
        <v>-1191.9101257202631</v>
      </c>
      <c r="Q784">
        <f>-491.042128990593 -127.012672105448 -329.273614580064</f>
        <v>-947.32841567610512</v>
      </c>
      <c r="R784" t="s">
        <v>7682</v>
      </c>
      <c r="S784" t="s">
        <v>7683</v>
      </c>
      <c r="T784" t="s">
        <v>7684</v>
      </c>
      <c r="U784" t="s">
        <v>7685</v>
      </c>
      <c r="V784">
        <f>-611.031385613188 -144.004330575055 -92.6900078465958</f>
        <v>-847.72572403483878</v>
      </c>
      <c r="W784" t="s">
        <v>7686</v>
      </c>
      <c r="X784" t="s">
        <v>7687</v>
      </c>
      <c r="Y784" t="s">
        <v>7688</v>
      </c>
    </row>
    <row r="785" spans="1:25" x14ac:dyDescent="0.3">
      <c r="A785">
        <v>39200</v>
      </c>
      <c r="B785" t="s">
        <v>7689</v>
      </c>
      <c r="C785">
        <f>-643.48265188596 -54.6512709911558 -94.4145745663036</f>
        <v>-792.54849744341936</v>
      </c>
      <c r="D785">
        <f>-668.456218339798 -67.494427540915 -206.787057727532</f>
        <v>-942.73770360824506</v>
      </c>
      <c r="E785">
        <f>-677.878017263737 -69.6306313072744 -304.93660581512</f>
        <v>-1052.4452543861314</v>
      </c>
      <c r="F785">
        <f>-681.956743268749 -68.3939097866091 -393.93148405931</f>
        <v>-1144.2821371146681</v>
      </c>
      <c r="G785">
        <f>-681.154824274891 -64.0360275617406 -482.917984301312</f>
        <v>-1228.1088361379436</v>
      </c>
      <c r="H785">
        <f>-674.835613831354 -54.8156864110824 -606.998141523256</f>
        <v>-1336.6494417656922</v>
      </c>
      <c r="I785">
        <f>-648.347234034335 -41.1490064159248 -684.564976919229</f>
        <v>-1374.0612173694888</v>
      </c>
      <c r="J785">
        <f>-683.29400030516 -31.8066985426105 -550.674370392047</f>
        <v>-1265.7750692398176</v>
      </c>
      <c r="K785" t="s">
        <v>7690</v>
      </c>
      <c r="L785" t="s">
        <v>7691</v>
      </c>
      <c r="M785" t="s">
        <v>7692</v>
      </c>
      <c r="N785">
        <f>-671.938860833816 -85.9395422459932 -554.118721017673</f>
        <v>-1311.9971240974821</v>
      </c>
      <c r="O785">
        <f>-648.377251285415 -219.734722890627 -533.126853837034</f>
        <v>-1401.238828013076</v>
      </c>
      <c r="P785">
        <f>-623.850121666546 -311.388177920245 -254.578348233427</f>
        <v>-1189.8166478202181</v>
      </c>
      <c r="Q785">
        <f>-489.589743148836 -125.538988691303 -328.639715931066</f>
        <v>-943.76844777120505</v>
      </c>
      <c r="R785" t="s">
        <v>7693</v>
      </c>
      <c r="S785" t="s">
        <v>7694</v>
      </c>
      <c r="T785" t="s">
        <v>7695</v>
      </c>
      <c r="U785" t="s">
        <v>7696</v>
      </c>
      <c r="V785">
        <f>-610.314415304794 -144.058771506058 -92.688562224884</f>
        <v>-847.06174903573606</v>
      </c>
      <c r="W785" t="s">
        <v>7697</v>
      </c>
      <c r="X785" t="s">
        <v>7698</v>
      </c>
      <c r="Y785" t="s">
        <v>7699</v>
      </c>
    </row>
    <row r="786" spans="1:25" x14ac:dyDescent="0.3">
      <c r="A786">
        <v>39250</v>
      </c>
      <c r="B786" t="s">
        <v>7700</v>
      </c>
      <c r="C786">
        <f>-643.006216332905 -54.5780936183476 -94.404723888687</f>
        <v>-791.98903383993957</v>
      </c>
      <c r="D786">
        <f>-667.854556484184 -67.3640987403321 -206.811629441658</f>
        <v>-942.03028466617411</v>
      </c>
      <c r="E786">
        <f>-677.151372424124 -69.3927293495403 -304.975257349956</f>
        <v>-1051.5193591236202</v>
      </c>
      <c r="F786">
        <f>-681.110298035412 -68.0351025285051 -393.973730028509</f>
        <v>-1143.1191305924262</v>
      </c>
      <c r="G786">
        <f>-680.182328829399 -63.5312023391182 -482.951827122883</f>
        <v>-1226.6653582914003</v>
      </c>
      <c r="H786">
        <f>-673.680537318013 -54.0805358496482 -607.005133321258</f>
        <v>-1334.7662064889191</v>
      </c>
      <c r="I786">
        <f>-647.173041395733 -40.2293568070243 -684.532788950215</f>
        <v>-1371.9351871529723</v>
      </c>
      <c r="J786">
        <f>-682.274390439115 -31.1871750154621 -550.654990039978</f>
        <v>-1264.1165554945551</v>
      </c>
      <c r="K786" t="s">
        <v>7701</v>
      </c>
      <c r="L786" t="s">
        <v>7702</v>
      </c>
      <c r="M786" t="s">
        <v>7703</v>
      </c>
      <c r="N786">
        <f>-670.80887756986 -85.2917605572006 -554.175851932493</f>
        <v>-1310.2764900595546</v>
      </c>
      <c r="O786">
        <f>-646.990058263933 -219.059246743725 -533.314974272193</f>
        <v>-1399.364279279851</v>
      </c>
      <c r="P786">
        <f>-622.220200868662 -311.088477589895 -254.911783146996</f>
        <v>-1188.2204616055531</v>
      </c>
      <c r="Q786">
        <f>-488.604054681272 -124.511456923035 -328.305574953824</f>
        <v>-941.42108655813104</v>
      </c>
      <c r="R786" t="s">
        <v>7704</v>
      </c>
      <c r="S786" t="s">
        <v>7705</v>
      </c>
      <c r="T786" t="s">
        <v>7706</v>
      </c>
      <c r="U786" t="s">
        <v>7707</v>
      </c>
      <c r="V786">
        <f>-609.815711467636 -143.909038304974 -92.7007242667175</f>
        <v>-846.42547403932758</v>
      </c>
      <c r="W786" t="s">
        <v>7708</v>
      </c>
      <c r="X786" t="s">
        <v>7709</v>
      </c>
      <c r="Y786" t="s">
        <v>7710</v>
      </c>
    </row>
    <row r="787" spans="1:25" x14ac:dyDescent="0.3">
      <c r="A787">
        <v>39300</v>
      </c>
      <c r="B787" t="s">
        <v>7711</v>
      </c>
      <c r="C787">
        <f>-641.901917011126 -54.3947213271135 -94.3473544546831</f>
        <v>-790.64399279292263</v>
      </c>
      <c r="D787">
        <f>-666.52356914847 -67.1081609800694 -206.812214089934</f>
        <v>-940.44394421847346</v>
      </c>
      <c r="E787">
        <f>-675.564390443882 -68.9470348451898 -305.003714662284</f>
        <v>-1049.5151399513556</v>
      </c>
      <c r="F787">
        <f>-679.265472569091 -67.3685833410811 -394.009623523286</f>
        <v>-1140.6436794334581</v>
      </c>
      <c r="G787">
        <f>-678.053667152912 -62.5940981246047 -482.970033411692</f>
        <v>-1223.6177986892087</v>
      </c>
      <c r="H787">
        <f>-671.128142662373 -52.7137523645081 -606.967018295951</f>
        <v>-1330.808913322832</v>
      </c>
      <c r="I787">
        <f>-644.542891413643 -38.5108310255307 -684.404200789019</f>
        <v>-1367.4579232281926</v>
      </c>
      <c r="J787">
        <f>-680.030406868009 -30.0397415600103 -550.575940773169</f>
        <v>-1260.6460892011883</v>
      </c>
      <c r="K787" t="s">
        <v>7712</v>
      </c>
      <c r="L787" t="s">
        <v>7713</v>
      </c>
      <c r="M787" t="s">
        <v>7714</v>
      </c>
      <c r="N787">
        <f>-668.321158924512 -84.0835040936649 -554.228252269345</f>
        <v>-1306.6329152875219</v>
      </c>
      <c r="O787">
        <f>-643.885571479072 -217.783198377437 -533.638853082013</f>
        <v>-1395.3076229385219</v>
      </c>
      <c r="P787">
        <f>-618.115514571392 -310.663182425235 -255.609421795589</f>
        <v>-1184.3881187922161</v>
      </c>
      <c r="Q787">
        <f>-486.352239144662 -122.243909687367 -327.633585698064</f>
        <v>-936.22973453009308</v>
      </c>
      <c r="R787" t="s">
        <v>7715</v>
      </c>
      <c r="S787" t="s">
        <v>7716</v>
      </c>
      <c r="T787" t="s">
        <v>7717</v>
      </c>
      <c r="U787" t="s">
        <v>7718</v>
      </c>
      <c r="V787">
        <f>-608.575672246308 -143.553713808601 -92.7086211684004</f>
        <v>-844.83800722330943</v>
      </c>
      <c r="W787" t="s">
        <v>7719</v>
      </c>
      <c r="X787" t="s">
        <v>7720</v>
      </c>
      <c r="Y787" t="s">
        <v>7721</v>
      </c>
    </row>
    <row r="788" spans="1:25" x14ac:dyDescent="0.3">
      <c r="A788">
        <v>39350</v>
      </c>
      <c r="B788" t="s">
        <v>7722</v>
      </c>
      <c r="C788">
        <f>-641.416161262679 -54.2076825508195 -94.322770606704</f>
        <v>-789.94661442020254</v>
      </c>
      <c r="D788">
        <f>-665.925524590648 -66.8957367780458 -206.815082572932</f>
        <v>-939.63634394162591</v>
      </c>
      <c r="E788">
        <f>-674.827854795873 -68.6487699258173 -305.020726617064</f>
        <v>-1048.4973513387542</v>
      </c>
      <c r="F788">
        <f>-678.385159502399 -66.9695051572264 -394.0305772382</f>
        <v>-1139.3852418978254</v>
      </c>
      <c r="G788">
        <f>-677.011085382715 -62.0709141256357 -482.98209280736</f>
        <v>-1222.0640923157107</v>
      </c>
      <c r="H788">
        <f>-669.838910097829 -51.9940817432687 -606.948996461374</f>
        <v>-1328.7819883024717</v>
      </c>
      <c r="I788">
        <f>-643.199830966078 -37.6006644235219 -684.332597131181</f>
        <v>-1365.133092520781</v>
      </c>
      <c r="J788">
        <f>-678.901188022397 -29.4196980050344 -550.543542125711</f>
        <v>-1258.8644281531424</v>
      </c>
      <c r="K788" t="s">
        <v>7723</v>
      </c>
      <c r="L788" t="s">
        <v>7724</v>
      </c>
      <c r="M788" t="s">
        <v>7725</v>
      </c>
      <c r="N788">
        <f>-667.088798064201 -83.4370717652264 -554.251051411089</f>
        <v>-1304.7769212405165</v>
      </c>
      <c r="O788">
        <f>-642.385946381681 -217.114738120116 -533.805561580588</f>
        <v>-1393.3062460823849</v>
      </c>
      <c r="P788">
        <f>-615.825393554898 -310.287843375461 -255.948467626681</f>
        <v>-1182.0617045570402</v>
      </c>
      <c r="Q788">
        <f>-485.106726726284 -120.962445051528 -327.49860531973</f>
        <v>-933.56777709754203</v>
      </c>
      <c r="R788" t="s">
        <v>7726</v>
      </c>
      <c r="S788" t="s">
        <v>7727</v>
      </c>
      <c r="T788" t="s">
        <v>7728</v>
      </c>
      <c r="U788" t="s">
        <v>7729</v>
      </c>
      <c r="V788">
        <f>-607.961582085912 -143.447479013132 -92.6986449742375</f>
        <v>-844.10770607328152</v>
      </c>
      <c r="W788" t="s">
        <v>7730</v>
      </c>
      <c r="X788" t="s">
        <v>7731</v>
      </c>
      <c r="Y788" t="s">
        <v>7732</v>
      </c>
    </row>
    <row r="789" spans="1:25" x14ac:dyDescent="0.3">
      <c r="A789">
        <v>39400</v>
      </c>
      <c r="B789" t="s">
        <v>7733</v>
      </c>
      <c r="C789">
        <f>-640.39566556826 -53.9453930226018 -94.2987934063083</f>
        <v>-788.63985199717013</v>
      </c>
      <c r="D789">
        <f>-664.696480180303 -66.5621175822866 -206.844302385303</f>
        <v>-938.10290014789257</v>
      </c>
      <c r="E789">
        <f>-673.348076590403 -68.1016153170642 -305.075894314122</f>
        <v>-1046.5255862215893</v>
      </c>
      <c r="F789">
        <f>-676.647480473912 -66.1702868896261 -394.090646842241</f>
        <v>-1136.9084142057791</v>
      </c>
      <c r="G789">
        <f>-674.983518918182 -60.961199012118 -483.019429746731</f>
        <v>-1218.964147677031</v>
      </c>
      <c r="H789">
        <f>-667.373596994888 -50.3901330139734 -606.919248650952</f>
        <v>-1324.6829786598132</v>
      </c>
      <c r="I789">
        <f>-640.636407298488 -35.5978952870621 -684.193710293229</f>
        <v>-1360.4280128787791</v>
      </c>
      <c r="J789">
        <f>-676.730194080681 -28.0611834554918 -550.464040846582</f>
        <v>-1255.2554183827547</v>
      </c>
      <c r="K789" t="s">
        <v>7734</v>
      </c>
      <c r="L789" t="s">
        <v>7735</v>
      </c>
      <c r="M789" t="s">
        <v>7736</v>
      </c>
      <c r="N789">
        <f>-664.714483805873 -82.0226524441482 -554.330057869967</f>
        <v>-1301.0671941199882</v>
      </c>
      <c r="O789">
        <f>-639.500510131456 -215.64409460475 -534.137288660569</f>
        <v>-1389.2818933967751</v>
      </c>
      <c r="P789">
        <f>-611.11534958604 -309.320057788123 -256.630041542929</f>
        <v>-1177.065448917092</v>
      </c>
      <c r="Q789">
        <f>-482.84113487755 -118.092032294232 -327.541668398579</f>
        <v>-928.47483557036094</v>
      </c>
      <c r="R789" t="s">
        <v>7737</v>
      </c>
      <c r="S789" t="s">
        <v>7738</v>
      </c>
      <c r="T789" t="s">
        <v>7739</v>
      </c>
      <c r="U789" t="s">
        <v>7740</v>
      </c>
      <c r="V789">
        <f>-606.761993923029 -143.159041965382 -92.7113762301771</f>
        <v>-842.63241211858804</v>
      </c>
      <c r="W789" t="s">
        <v>7741</v>
      </c>
      <c r="X789" t="s">
        <v>7742</v>
      </c>
      <c r="Y789" t="s">
        <v>7743</v>
      </c>
    </row>
    <row r="790" spans="1:25" x14ac:dyDescent="0.3">
      <c r="A790">
        <v>39450</v>
      </c>
      <c r="B790" t="s">
        <v>7744</v>
      </c>
      <c r="C790">
        <f>-639.924545628515 -53.652844115752 -94.275540795037</f>
        <v>-787.85293053930411</v>
      </c>
      <c r="D790">
        <f>-664.144245750988 -66.2301003627881 -206.843113707283</f>
        <v>-937.21745982105915</v>
      </c>
      <c r="E790">
        <f>-672.682047042147 -67.6447590445468 -305.086494581666</f>
        <v>-1045.4133006683599</v>
      </c>
      <c r="F790">
        <f>-675.859757751224 -65.565025806065 -394.102157933885</f>
        <v>-1135.5269414911741</v>
      </c>
      <c r="G790">
        <f>-674.055597999091 -60.1713093106055 -483.017376845061</f>
        <v>-1217.2442841547575</v>
      </c>
      <c r="H790">
        <f>-666.229921679645 -49.3045462805173 -606.878071468787</f>
        <v>-1322.4125394289495</v>
      </c>
      <c r="I790">
        <f>-639.447023225488 -34.3262055232603 -684.10088178584</f>
        <v>-1357.8741105345885</v>
      </c>
      <c r="J790">
        <f>-675.736534403027 -27.1216271836126 -550.390475856602</f>
        <v>-1253.2486374432417</v>
      </c>
      <c r="K790" t="s">
        <v>7745</v>
      </c>
      <c r="L790" t="s">
        <v>7746</v>
      </c>
      <c r="M790" t="s">
        <v>7747</v>
      </c>
      <c r="N790">
        <f>-663.610707268242 -81.0512760853521 -554.355807832825</f>
        <v>-1299.0177911864191</v>
      </c>
      <c r="O790">
        <f>-638.097230915179 -214.638304187689 -534.331957807767</f>
        <v>-1387.0674929106349</v>
      </c>
      <c r="P790">
        <f>-608.719710187985 -308.55350010213 -257.008838269572</f>
        <v>-1174.2820485596869</v>
      </c>
      <c r="Q790">
        <f>-481.80418215047 -116.304023364221 -327.602246718274</f>
        <v>-925.71045223296505</v>
      </c>
      <c r="R790" t="s">
        <v>7748</v>
      </c>
      <c r="S790" t="s">
        <v>7749</v>
      </c>
      <c r="T790" t="s">
        <v>7750</v>
      </c>
      <c r="U790" t="s">
        <v>7751</v>
      </c>
      <c r="V790">
        <f>-606.205744035992 -142.776916025846 -92.716499463571</f>
        <v>-841.69915952540907</v>
      </c>
      <c r="W790" t="s">
        <v>7752</v>
      </c>
      <c r="X790" t="s">
        <v>7753</v>
      </c>
      <c r="Y790" t="s">
        <v>7754</v>
      </c>
    </row>
    <row r="791" spans="1:25" x14ac:dyDescent="0.3">
      <c r="A791">
        <v>39500</v>
      </c>
      <c r="B791" t="s">
        <v>7755</v>
      </c>
      <c r="C791">
        <f>-639.134222108167 -53.11056610015 -94.1993453111165</f>
        <v>-786.44413351943354</v>
      </c>
      <c r="D791">
        <f>-663.177785835859 -65.598964257169 -206.814462239796</f>
        <v>-935.59121233282394</v>
      </c>
      <c r="E791">
        <f>-671.507620547873 -66.799816413961 -305.078515608815</f>
        <v>-1043.3859525706489</v>
      </c>
      <c r="F791">
        <f>-674.472441532621 -64.4735852627175 -394.095539479097</f>
        <v>-1133.0415662744356</v>
      </c>
      <c r="G791">
        <f>-672.430437550425 -58.7805582873616 -482.986911572338</f>
        <v>-1214.1979074101246</v>
      </c>
      <c r="H791">
        <f>-664.245868719351 -47.4412625779717 -606.782123566178</f>
        <v>-1318.4692548635007</v>
      </c>
      <c r="I791">
        <f>-637.369886222906 -32.1886870989908 -683.918724573066</f>
        <v>-1353.4772978949627</v>
      </c>
      <c r="J791">
        <f>-673.991435623044 -25.4905533917961 -550.244466104245</f>
        <v>-1249.7264551190851</v>
      </c>
      <c r="K791" t="s">
        <v>7756</v>
      </c>
      <c r="L791" t="s">
        <v>7757</v>
      </c>
      <c r="M791" t="s">
        <v>7758</v>
      </c>
      <c r="N791">
        <f>-661.703642896204 -79.3716580677453 -554.36753636281</f>
        <v>-1295.4428373267592</v>
      </c>
      <c r="O791">
        <f>-635.686145486788 -212.909542403668 -534.690920746191</f>
        <v>-1383.2866086366471</v>
      </c>
      <c r="P791">
        <f>-604.062709951911 -307.365809956579 -257.79888067732</f>
        <v>-1169.2274005858101</v>
      </c>
      <c r="Q791">
        <f>-479.404488706428 -113.291518363558 -327.414478077672</f>
        <v>-920.1104851476581</v>
      </c>
      <c r="R791" t="s">
        <v>7759</v>
      </c>
      <c r="S791" t="s">
        <v>7760</v>
      </c>
      <c r="T791" t="s">
        <v>7761</v>
      </c>
      <c r="U791" t="s">
        <v>7762</v>
      </c>
      <c r="V791">
        <f>-605.30443632622 -142.080708318136 -92.7236310338252</f>
        <v>-840.10877567818113</v>
      </c>
      <c r="W791" t="s">
        <v>7763</v>
      </c>
      <c r="X791" t="s">
        <v>7764</v>
      </c>
      <c r="Y791" t="s">
        <v>7765</v>
      </c>
    </row>
    <row r="792" spans="1:25" x14ac:dyDescent="0.3">
      <c r="A792">
        <v>39550</v>
      </c>
      <c r="B792" t="s">
        <v>7766</v>
      </c>
      <c r="C792">
        <f>-638.793977960707 -52.8198507612278 -94.1632275854917</f>
        <v>-785.77705630742651</v>
      </c>
      <c r="D792">
        <f>-662.740643889897 -65.2432770768066 -206.806042165088</f>
        <v>-934.78996313179164</v>
      </c>
      <c r="E792">
        <f>-670.968479308655 -66.3563437003211 -305.079956840297</f>
        <v>-1042.4047798492729</v>
      </c>
      <c r="F792">
        <f>-673.833047397383 -63.9382182305947 -394.097839892073</f>
        <v>-1131.8691055200507</v>
      </c>
      <c r="G792">
        <f>-671.682830658228 -58.1410449778157 -482.979774278292</f>
        <v>-1212.8036499143357</v>
      </c>
      <c r="H792">
        <f>-663.339552638966 -46.644064958311 -606.749926299818</f>
        <v>-1316.7335438970949</v>
      </c>
      <c r="I792">
        <f>-636.426371101504 -31.2894855862166 -683.853296382388</f>
        <v>-1351.5691530701085</v>
      </c>
      <c r="J792">
        <f>-673.170063934905 -24.7681250356868 -550.197945257095</f>
        <v>-1248.1361342276869</v>
      </c>
      <c r="K792" t="s">
        <v>7767</v>
      </c>
      <c r="L792" t="s">
        <v>7768</v>
      </c>
      <c r="M792" t="s">
        <v>7769</v>
      </c>
      <c r="N792">
        <f>-660.852020751841 -78.6385844942049 -554.371571421908</f>
        <v>-1293.8621766679539</v>
      </c>
      <c r="O792">
        <f>-634.701032324462 -212.177663626197 -534.806866202389</f>
        <v>-1381.6855621530481</v>
      </c>
      <c r="P792">
        <f>-601.918366411965 -306.994356710982 -258.173057603326</f>
        <v>-1167.085780726273</v>
      </c>
      <c r="Q792">
        <f>-478.331378870188 -112.002610576969 -327.132169447327</f>
        <v>-917.46615889448401</v>
      </c>
      <c r="R792" t="s">
        <v>7770</v>
      </c>
      <c r="S792" t="s">
        <v>7771</v>
      </c>
      <c r="T792" t="s">
        <v>7772</v>
      </c>
      <c r="U792" t="s">
        <v>7773</v>
      </c>
      <c r="V792">
        <f>-605.01930775649 -141.804578548513 -92.7136995773592</f>
        <v>-839.53758588236224</v>
      </c>
      <c r="W792" t="s">
        <v>7774</v>
      </c>
      <c r="X792" t="s">
        <v>7775</v>
      </c>
      <c r="Y792" t="s">
        <v>7776</v>
      </c>
    </row>
    <row r="793" spans="1:25" x14ac:dyDescent="0.3">
      <c r="A793">
        <v>39600</v>
      </c>
      <c r="B793" t="s">
        <v>7777</v>
      </c>
      <c r="C793">
        <f>-638.368071052981 -52.0260790711466 -94.0878299572227</f>
        <v>-784.48198008135023</v>
      </c>
      <c r="D793">
        <f>-662.180733319841 -64.2811635895259 -206.777618163945</f>
        <v>-933.23951507331196</v>
      </c>
      <c r="E793">
        <f>-670.220455031721 -65.1834975902159 -305.069115142453</f>
        <v>-1040.47306776439</v>
      </c>
      <c r="F793">
        <f>-672.886754084315 -62.5473114856436 -394.086909250173</f>
        <v>-1129.5209748201316</v>
      </c>
      <c r="G793">
        <f>-670.510901388515 -56.5052522356621 -482.946907044166</f>
        <v>-1209.9630606683431</v>
      </c>
      <c r="H793">
        <f>-661.8242630699 -44.638324470837 -606.658426051069</f>
        <v>-1313.1210135918059</v>
      </c>
      <c r="I793">
        <f>-634.857533689419 -29.0547429112682 -683.697170792983</f>
        <v>-1347.6094473936703</v>
      </c>
      <c r="J793">
        <f>-671.801674392187 -22.9292982216825 -550.06791374796</f>
        <v>-1244.7988863618295</v>
      </c>
      <c r="K793" t="s">
        <v>7778</v>
      </c>
      <c r="L793" t="s">
        <v>7779</v>
      </c>
      <c r="M793" t="s">
        <v>7780</v>
      </c>
      <c r="N793">
        <f>-659.491880472556 -76.791476466359 -554.370232767285</f>
        <v>-1290.6535897061999</v>
      </c>
      <c r="O793">
        <f>-633.323827147937 -210.357364291262 -535.005357754271</f>
        <v>-1378.68654919347</v>
      </c>
      <c r="P793">
        <f>-598.388714495859 -306.142906328541 -258.969503383225</f>
        <v>-1163.501124207625</v>
      </c>
      <c r="Q793">
        <f>-476.893940096083 -109.22162283794 -326.140271340454</f>
        <v>-912.25583427447702</v>
      </c>
      <c r="R793" t="s">
        <v>7781</v>
      </c>
      <c r="S793" t="s">
        <v>7782</v>
      </c>
      <c r="T793" t="s">
        <v>7783</v>
      </c>
      <c r="U793" t="s">
        <v>7784</v>
      </c>
      <c r="V793">
        <f>-604.740792983135 -141.066373612651 -92.6752305973799</f>
        <v>-838.48239719316587</v>
      </c>
      <c r="W793" t="s">
        <v>7785</v>
      </c>
      <c r="X793" t="s">
        <v>7786</v>
      </c>
      <c r="Y793" t="s">
        <v>7787</v>
      </c>
    </row>
    <row r="794" spans="1:25" x14ac:dyDescent="0.3">
      <c r="A794">
        <v>39650</v>
      </c>
      <c r="B794" t="s">
        <v>7788</v>
      </c>
      <c r="C794">
        <f>-638.252257450275 -51.6359597173887 -94.011230750625</f>
        <v>-783.89944791828873</v>
      </c>
      <c r="D794">
        <f>-662.01312523427 -63.7921631402944 -206.722714596463</f>
        <v>-932.52800297102738</v>
      </c>
      <c r="E794">
        <f>-669.946165953365 -64.5775938108206 -305.023725489437</f>
        <v>-1039.5474852536227</v>
      </c>
      <c r="F794">
        <f>-672.491668128355 -61.8227122273879 -394.041551650909</f>
        <v>-1128.355932006652</v>
      </c>
      <c r="G794">
        <f>-669.97076229699 -55.6496710842039 -482.888555996497</f>
        <v>-1208.5089893776908</v>
      </c>
      <c r="H794">
        <f>-661.057058442804 -43.5873373927925 -606.564884511763</f>
        <v>-1311.2092803473595</v>
      </c>
      <c r="I794">
        <f>-634.04508127211 -27.8940845783668 -683.565735141155</f>
        <v>-1345.5049009916318</v>
      </c>
      <c r="J794">
        <f>-671.113342629799 -21.9621790214164 -549.956373230072</f>
        <v>-1243.0318948812874</v>
      </c>
      <c r="K794" t="s">
        <v>7789</v>
      </c>
      <c r="L794" t="s">
        <v>7790</v>
      </c>
      <c r="M794" t="s">
        <v>7791</v>
      </c>
      <c r="N794">
        <f>-658.84567602992 -75.8285030686127 -554.32578481953</f>
        <v>-1288.9999639180628</v>
      </c>
      <c r="O794">
        <f>-632.766584859091 -209.429675844119 -535.129337480048</f>
        <v>-1377.3255981832581</v>
      </c>
      <c r="P794">
        <f>-596.628828020115 -305.920390346978 -259.494120907806</f>
        <v>-1162.0433392748989</v>
      </c>
      <c r="Q794">
        <f>-476.329493698501 -107.845638105597 -325.413580801999</f>
        <v>-909.58871260609703</v>
      </c>
      <c r="R794" t="s">
        <v>7792</v>
      </c>
      <c r="S794" t="s">
        <v>7793</v>
      </c>
      <c r="T794" t="s">
        <v>7794</v>
      </c>
      <c r="U794" t="s">
        <v>7795</v>
      </c>
      <c r="V794">
        <f>-604.703206872259 -140.688488622817 -92.6369575827371</f>
        <v>-838.02865307781303</v>
      </c>
      <c r="W794" t="s">
        <v>7796</v>
      </c>
      <c r="X794" t="s">
        <v>7797</v>
      </c>
      <c r="Y794" t="s">
        <v>7798</v>
      </c>
    </row>
    <row r="795" spans="1:25" x14ac:dyDescent="0.3">
      <c r="A795">
        <v>39700</v>
      </c>
      <c r="B795" t="s">
        <v>7799</v>
      </c>
      <c r="C795">
        <f>-638.125672104429 -50.5817257566634 -93.8691146996298</f>
        <v>-782.57651256072222</v>
      </c>
      <c r="D795">
        <f>-661.814264615332 -62.4849486955998 -206.622777472109</f>
        <v>-930.92199078304077</v>
      </c>
      <c r="E795">
        <f>-669.505069078415 -63.0344950737576 -304.944731120311</f>
        <v>-1037.4842952724837</v>
      </c>
      <c r="F795">
        <f>-671.762721367815 -60.0568257699831 -393.963148108971</f>
        <v>-1125.782695246769</v>
      </c>
      <c r="G795">
        <f>-668.886788511357 -53.6538414100253 -482.783086552764</f>
        <v>-1205.3237164741463</v>
      </c>
      <c r="H795">
        <f>-659.408782552439 -41.2631994353756 -606.385004463509</f>
        <v>-1307.0569864513236</v>
      </c>
      <c r="I795">
        <f>-632.265681201505 -25.3984673272385 -683.304453389525</f>
        <v>-1340.9686019182684</v>
      </c>
      <c r="J795">
        <f>-669.646801298618 -19.7715793483019 -549.758085918082</f>
        <v>-1239.1764665650019</v>
      </c>
      <c r="K795" t="s">
        <v>7800</v>
      </c>
      <c r="L795" t="s">
        <v>7801</v>
      </c>
      <c r="M795" t="s">
        <v>7802</v>
      </c>
      <c r="N795">
        <f>-657.512328612794 -73.6596543846122 -554.229709631004</f>
        <v>-1285.4016926284103</v>
      </c>
      <c r="O795">
        <f>-631.732912486057 -207.360076701793 -535.336450660315</f>
        <v>-1374.429439848165</v>
      </c>
      <c r="P795">
        <f>-591.593559215102 -306.579491859867 -261.227791070735</f>
        <v>-1159.400842145704</v>
      </c>
      <c r="Q795">
        <f>-474.739424950748 -105.340784157504 -323.669838251456</f>
        <v>-903.75004735970799</v>
      </c>
      <c r="R795" t="s">
        <v>7803</v>
      </c>
      <c r="S795" t="s">
        <v>7804</v>
      </c>
      <c r="T795" t="s">
        <v>7805</v>
      </c>
      <c r="U795" t="s">
        <v>7806</v>
      </c>
      <c r="V795">
        <f>-605.018563715611 -139.647501216233 -92.5330796705026</f>
        <v>-837.19914460234656</v>
      </c>
      <c r="W795" t="s">
        <v>7807</v>
      </c>
      <c r="X795" t="s">
        <v>7808</v>
      </c>
      <c r="Y795" t="s">
        <v>7809</v>
      </c>
    </row>
    <row r="796" spans="1:25" x14ac:dyDescent="0.3">
      <c r="A796">
        <v>39750</v>
      </c>
      <c r="B796" t="s">
        <v>7810</v>
      </c>
      <c r="C796">
        <f>-638.124738082047 -50.0305559154003 -93.7917609170561</f>
        <v>-781.94705491450338</v>
      </c>
      <c r="D796">
        <f>-661.758418813613 -61.7541994066623 -206.575612790411</f>
        <v>-930.0882310106864</v>
      </c>
      <c r="E796">
        <f>-669.309132361312 -62.1774943496293 -304.909209073438</f>
        <v>-1036.3958357843794</v>
      </c>
      <c r="F796">
        <f>-671.405893597746 -59.0948594372062 -393.927868661208</f>
        <v>-1124.42862169616</v>
      </c>
      <c r="G796">
        <f>-668.336892101828 -52.5960173918261 -482.734289985191</f>
        <v>-1203.6671994788451</v>
      </c>
      <c r="H796">
        <f>-658.557132430279 -40.0811512006514 -606.300301136714</f>
        <v>-1304.9385847676444</v>
      </c>
      <c r="I796">
        <f>-631.326649877622 -24.1554994935407 -683.17627336495</f>
        <v>-1338.6584227361127</v>
      </c>
      <c r="J796">
        <f>-668.886157575279 -18.6363218403706 -549.672237047307</f>
        <v>-1237.1947164629564</v>
      </c>
      <c r="K796" t="s">
        <v>7811</v>
      </c>
      <c r="L796" t="s">
        <v>7812</v>
      </c>
      <c r="M796" t="s">
        <v>7813</v>
      </c>
      <c r="N796">
        <f>-656.835177574527 -72.5402793852854 -554.177943026349</f>
        <v>-1283.5533999861614</v>
      </c>
      <c r="O796">
        <f>-631.246933871764 -206.292709048388 -535.395616670737</f>
        <v>-1372.935259590889</v>
      </c>
      <c r="P796">
        <f>-588.546811852776 -307.190737482728 -262.288348895065</f>
        <v>-1158.0258982305691</v>
      </c>
      <c r="Q796">
        <f>-473.87175081156 -104.210340535934 -323.111960519431</f>
        <v>-901.19405186692507</v>
      </c>
      <c r="R796" t="s">
        <v>7814</v>
      </c>
      <c r="S796" t="s">
        <v>7815</v>
      </c>
      <c r="T796" t="s">
        <v>7816</v>
      </c>
      <c r="U796" t="s">
        <v>7817</v>
      </c>
      <c r="V796">
        <f>-605.298009600746 -139.162592407455 -92.5058293542777</f>
        <v>-836.96643136247872</v>
      </c>
      <c r="W796" t="s">
        <v>7818</v>
      </c>
      <c r="X796" t="s">
        <v>7819</v>
      </c>
      <c r="Y796" t="s">
        <v>7820</v>
      </c>
    </row>
    <row r="797" spans="1:25" x14ac:dyDescent="0.3">
      <c r="A797">
        <v>39800</v>
      </c>
      <c r="B797" t="s">
        <v>7821</v>
      </c>
      <c r="C797">
        <f>-638.242357280774 -48.9251595038709 -93.6630093579554</f>
        <v>-780.83052614260021</v>
      </c>
      <c r="D797">
        <f>-661.730501988398 -60.2974550016002 -206.513428242474</f>
        <v>-928.54138523247218</v>
      </c>
      <c r="E797">
        <f>-668.992797929338 -60.4696611156976 -304.869341242122</f>
        <v>-1034.3318002871576</v>
      </c>
      <c r="F797">
        <f>-670.768147976301 -57.1774014652863 -393.887610317423</f>
        <v>-1121.8331597590102</v>
      </c>
      <c r="G797">
        <f>-667.3195639834 -50.4888573786532 -482.665986124679</f>
        <v>-1200.4744074867322</v>
      </c>
      <c r="H797">
        <f>-656.951613861833 -37.7304767516009 -606.159039370272</f>
        <v>-1300.841129983706</v>
      </c>
      <c r="I797">
        <f>-629.562287493153 -21.6855968061714 -682.953791649012</f>
        <v>-1334.2016759483363</v>
      </c>
      <c r="J797">
        <f>-667.427347647347 -16.3710300022506 -549.525597256649</f>
        <v>-1233.3239749062466</v>
      </c>
      <c r="K797" t="s">
        <v>7822</v>
      </c>
      <c r="L797" t="s">
        <v>7823</v>
      </c>
      <c r="M797" t="s">
        <v>7824</v>
      </c>
      <c r="N797">
        <f>-655.60061399253 -70.3184901306847 -554.10609961217</f>
        <v>-1280.0252037353848</v>
      </c>
      <c r="O797">
        <f>-630.513677725641 -204.209994559068 -535.655720396896</f>
        <v>-1370.3793926816049</v>
      </c>
      <c r="P797">
        <f>-581.594008147238 -307.782872726457 -264.600885796051</f>
        <v>-1153.977766669746</v>
      </c>
      <c r="Q797">
        <f>-471.102874008744 -101.811473712362 -323.067507377947</f>
        <v>-895.98185509905295</v>
      </c>
      <c r="R797" t="s">
        <v>7825</v>
      </c>
      <c r="S797" t="s">
        <v>7826</v>
      </c>
      <c r="T797" t="s">
        <v>7827</v>
      </c>
      <c r="U797" t="s">
        <v>7828</v>
      </c>
      <c r="V797">
        <f>-605.992632650921 -138.013138943017 -92.4929404698719</f>
        <v>-836.49871206380988</v>
      </c>
      <c r="W797" t="s">
        <v>7829</v>
      </c>
      <c r="X797" t="s">
        <v>7830</v>
      </c>
      <c r="Y797" t="s">
        <v>7831</v>
      </c>
    </row>
    <row r="798" spans="1:25" x14ac:dyDescent="0.3">
      <c r="A798">
        <v>39850</v>
      </c>
      <c r="B798" t="s">
        <v>7832</v>
      </c>
      <c r="C798">
        <f>-638.394874277134 -48.3651000847187 -93.6172260687835</f>
        <v>-780.37720043063621</v>
      </c>
      <c r="D798">
        <f>-661.800269777602 -59.5827711165102 -206.500213545881</f>
        <v>-927.88325443999327</v>
      </c>
      <c r="E798">
        <f>-668.918266139939 -59.6238444618996 -304.866813594015</f>
        <v>-1033.4089241958536</v>
      </c>
      <c r="F798">
        <f>-670.535470909405 -56.2130436679238 -393.883728015602</f>
        <v>-1120.6322425929309</v>
      </c>
      <c r="G798">
        <f>-666.90172520669 -49.4070274993067 -482.645783541461</f>
        <v>-1198.9545362474578</v>
      </c>
      <c r="H798">
        <f>-656.248255404301 -36.4864387938887 -606.097669707081</f>
        <v>-1298.8323639052705</v>
      </c>
      <c r="I798">
        <f>-628.788629627348 -20.3394385423492 -682.84581095439</f>
        <v>-1331.973879124087</v>
      </c>
      <c r="J798">
        <f>-666.799782050886 -15.1899234409618 -549.454544756562</f>
        <v>-1231.4442502484098</v>
      </c>
      <c r="K798" t="s">
        <v>7833</v>
      </c>
      <c r="L798" t="s">
        <v>7834</v>
      </c>
      <c r="M798" t="s">
        <v>7835</v>
      </c>
      <c r="N798">
        <f>-655.072809982672 -69.1543155399829 -554.090527891373</f>
        <v>-1278.317653414028</v>
      </c>
      <c r="O798">
        <f>-630.181364097159 -203.109308341273 -535.82175956834</f>
        <v>-1369.112432006772</v>
      </c>
      <c r="P798">
        <f>-577.607446909134 -307.85316206167 -265.903467563056</f>
        <v>-1151.36407653386</v>
      </c>
      <c r="Q798">
        <f>-469.61928226078 -100.262561077594 -323.310497481891</f>
        <v>-893.19234082026492</v>
      </c>
      <c r="R798" t="s">
        <v>7836</v>
      </c>
      <c r="S798" t="s">
        <v>7837</v>
      </c>
      <c r="T798" t="s">
        <v>7838</v>
      </c>
      <c r="U798" t="s">
        <v>7839</v>
      </c>
      <c r="V798">
        <f>-606.408734692099 -137.398937550264 -92.480688003609</f>
        <v>-836.28836024597194</v>
      </c>
      <c r="W798" t="s">
        <v>7840</v>
      </c>
      <c r="X798" t="s">
        <v>7841</v>
      </c>
      <c r="Y798" t="s">
        <v>7842</v>
      </c>
    </row>
    <row r="799" spans="1:25" x14ac:dyDescent="0.3">
      <c r="A799">
        <v>39900</v>
      </c>
      <c r="B799" t="s">
        <v>7843</v>
      </c>
      <c r="C799">
        <f>-638.984808472272 -47.3299609601731 -93.6338560890345</f>
        <v>-779.94862552147958</v>
      </c>
      <c r="D799">
        <f>-662.131036008156 -58.2409425377853 -206.600341778838</f>
        <v>-926.97232032477928</v>
      </c>
      <c r="E799">
        <f>-668.930630353374 -57.9942966504111 -304.989245603681</f>
        <v>-1031.9141726074661</v>
      </c>
      <c r="F799">
        <f>-670.223764453266 -54.312993459185 -394.000506454724</f>
        <v>-1118.5372643671749</v>
      </c>
      <c r="G799">
        <f>-666.231423549476 -47.228138538414 -482.725329378675</f>
        <v>-1196.184891466565</v>
      </c>
      <c r="H799">
        <f>-655.042505838832 -33.9102597042174 -606.087719332167</f>
        <v>-1295.0404848752164</v>
      </c>
      <c r="I799">
        <f>-627.453185339757 -17.5419589090798 -682.74230742761</f>
        <v>-1327.7374516764467</v>
      </c>
      <c r="J799">
        <f>-665.780122411095 -12.783867173034 -549.415856053242</f>
        <v>-1227.979845637371</v>
      </c>
      <c r="K799" t="s">
        <v>7844</v>
      </c>
      <c r="L799" t="s">
        <v>7845</v>
      </c>
      <c r="M799" t="s">
        <v>7846</v>
      </c>
      <c r="N799">
        <f>-654.152333238194 -66.7578108167127 -554.188159925637</f>
        <v>-1275.0983039805437</v>
      </c>
      <c r="O799">
        <f>-629.157974069061 -200.750830872937 -536.370341990868</f>
        <v>-1366.2791469328658</v>
      </c>
      <c r="P799">
        <f>-568.813270381822 -307.868024472668 -269.021050451982</f>
        <v>-1145.7023453064721</v>
      </c>
      <c r="Q799">
        <f>-466.272386951142 -97.115681948907 -324.875507712863</f>
        <v>-888.26357661291195</v>
      </c>
      <c r="R799" t="s">
        <v>7847</v>
      </c>
      <c r="S799" t="s">
        <v>7848</v>
      </c>
      <c r="T799" t="s">
        <v>7849</v>
      </c>
      <c r="U799" t="s">
        <v>7850</v>
      </c>
      <c r="V799">
        <f>-607.029990601386 -136.419676793098 -92.5805084436763</f>
        <v>-836.03017583816029</v>
      </c>
      <c r="W799" t="s">
        <v>7851</v>
      </c>
      <c r="X799" t="s">
        <v>7852</v>
      </c>
      <c r="Y799" t="s">
        <v>7853</v>
      </c>
    </row>
    <row r="800" spans="1:25" x14ac:dyDescent="0.3">
      <c r="A800">
        <v>39950</v>
      </c>
      <c r="B800" t="s">
        <v>7854</v>
      </c>
      <c r="C800">
        <f>-639.382303268186 -46.886360187523 -93.6690386117508</f>
        <v>-779.93770206745978</v>
      </c>
      <c r="D800">
        <f>-662.340960153189 -57.6823126337376 -206.68483983907</f>
        <v>-926.7081126259967</v>
      </c>
      <c r="E800">
        <f>-668.968801013836 -57.2842318784021 -305.084908189715</f>
        <v>-1031.3379410819532</v>
      </c>
      <c r="F800">
        <f>-670.102452922343 -53.4455309676098 -394.091777698647</f>
        <v>-1117.6397615885999</v>
      </c>
      <c r="G800">
        <f>-665.946704280303 -46.1834286859612 -482.794870392008</f>
        <v>-1194.9250033582723</v>
      </c>
      <c r="H800">
        <f>-654.52541513764 -32.5973410215945 -606.106560628837</f>
        <v>-1293.2293167880716</v>
      </c>
      <c r="I800">
        <f>-626.902776759546 -16.0882298442241 -682.719077223011</f>
        <v>-1325.7100838267811</v>
      </c>
      <c r="J800">
        <f>-665.396772295807 -11.5997479278974 -549.412340285839</f>
        <v>-1226.4088605095435</v>
      </c>
      <c r="K800" t="s">
        <v>7855</v>
      </c>
      <c r="L800" t="s">
        <v>7856</v>
      </c>
      <c r="M800" t="s">
        <v>7857</v>
      </c>
      <c r="N800">
        <f>-653.705988841228 -65.5521971376929 -554.273874321723</f>
        <v>-1273.5320603006439</v>
      </c>
      <c r="O800">
        <f>-628.34153346518 -199.513642269491 -536.767148220517</f>
        <v>-1364.622323955188</v>
      </c>
      <c r="P800">
        <f>-564.299369036044 -308.00473508878 -270.835759718203</f>
        <v>-1143.1398638430271</v>
      </c>
      <c r="Q800">
        <f>-464.201485820878 -95.9821441470733 -326.312448533295</f>
        <v>-886.4960785012463</v>
      </c>
      <c r="R800" t="s">
        <v>7858</v>
      </c>
      <c r="S800" t="s">
        <v>7859</v>
      </c>
      <c r="T800" t="s">
        <v>7860</v>
      </c>
      <c r="U800" t="s">
        <v>7861</v>
      </c>
      <c r="V800">
        <f>-607.359296981632 -136.069851433988 -92.6387544318188</f>
        <v>-836.06790284743886</v>
      </c>
      <c r="W800" t="s">
        <v>7862</v>
      </c>
      <c r="X800" t="s">
        <v>7863</v>
      </c>
      <c r="Y800" t="s">
        <v>7864</v>
      </c>
    </row>
    <row r="801" spans="1:25" x14ac:dyDescent="0.3">
      <c r="A801">
        <v>40000</v>
      </c>
      <c r="B801" t="s">
        <v>7865</v>
      </c>
      <c r="C801">
        <f>-640.915377990947 -45.959731638955 -93.686412875657</f>
        <v>-780.56152250555897</v>
      </c>
      <c r="D801">
        <f>-663.317669574536 -56.5725390247817 -206.831140567269</f>
        <v>-926.72134916658672</v>
      </c>
      <c r="E801">
        <f>-669.509086231651 -55.8811714657561 -305.25801696146</f>
        <v>-1030.6482746588672</v>
      </c>
      <c r="F801">
        <f>-670.26138237128 -51.7302250490177 -394.254800573952</f>
        <v>-1116.2464079942497</v>
      </c>
      <c r="G801">
        <f>-665.736525100013 -44.1096467820473 -482.909776586077</f>
        <v>-1192.7559484681374</v>
      </c>
      <c r="H801">
        <f>-653.81203572333 -29.9771669274626 -606.112368917645</f>
        <v>-1289.9015715684377</v>
      </c>
      <c r="I801">
        <f>-626.123478720116 -13.0474075822569 -682.609167605117</f>
        <v>-1321.7800539074901</v>
      </c>
      <c r="J801">
        <f>-665.035927880803 -9.2562046269029 -549.385270488631</f>
        <v>-1223.6774029963369</v>
      </c>
      <c r="K801" t="s">
        <v>7866</v>
      </c>
      <c r="L801" t="s">
        <v>7867</v>
      </c>
      <c r="M801" t="s">
        <v>7868</v>
      </c>
      <c r="N801">
        <f>-653.082805810918 -63.1361919112217 -554.408756154147</f>
        <v>-1270.6277538762865</v>
      </c>
      <c r="O801">
        <f>-626.811513109606 -197.048168211475 -537.717861707419</f>
        <v>-1361.5775430285003</v>
      </c>
      <c r="P801">
        <f>-556.866162174011 -306.688338360138 -273.752081839472</f>
        <v>-1137.306582373621</v>
      </c>
      <c r="Q801">
        <f>-459.126788258805 -94.481715788447 -332.627271625366</f>
        <v>-886.23577567261805</v>
      </c>
      <c r="R801" t="s">
        <v>7869</v>
      </c>
      <c r="S801" t="s">
        <v>7870</v>
      </c>
      <c r="T801" t="s">
        <v>7871</v>
      </c>
      <c r="U801" t="s">
        <v>7872</v>
      </c>
      <c r="V801">
        <f>-608.528243264849 -134.851797912871 -92.7108492937712</f>
        <v>-836.09089047149121</v>
      </c>
      <c r="W801" t="s">
        <v>7873</v>
      </c>
      <c r="X801" t="s">
        <v>7874</v>
      </c>
      <c r="Y801" t="s">
        <v>7875</v>
      </c>
    </row>
    <row r="802" spans="1:25" x14ac:dyDescent="0.3">
      <c r="A802">
        <v>40050</v>
      </c>
      <c r="B802" t="s">
        <v>7876</v>
      </c>
      <c r="C802">
        <f>-641.797057828643 -45.7843679083587 -93.6068591886649</f>
        <v>-781.18828492566661</v>
      </c>
      <c r="D802">
        <f>-663.882785267856 -56.3133546010313 -206.821508903384</f>
        <v>-927.01764877227129</v>
      </c>
      <c r="E802">
        <f>-669.847661943449 -55.3911548640765 -305.260592296301</f>
        <v>-1030.4994091038266</v>
      </c>
      <c r="F802">
        <f>-670.40922608707 -50.9717380977122 -394.246036098347</f>
        <v>-1115.6270002831293</v>
      </c>
      <c r="G802">
        <f>-665.707377815924 -43.0233683565198 -482.862905192018</f>
        <v>-1191.5936513644617</v>
      </c>
      <c r="H802">
        <f>-653.548510449528 -28.3724475610416 -605.98187866815</f>
        <v>-1287.9028366787195</v>
      </c>
      <c r="I802">
        <f>-625.863230793209 -11.1052275054235 -682.404450896453</f>
        <v>-1319.3729091950854</v>
      </c>
      <c r="J802">
        <f>-664.991157292003 -7.91378848129693 -549.203223391827</f>
        <v>-1222.108169165127</v>
      </c>
      <c r="K802" t="s">
        <v>7877</v>
      </c>
      <c r="L802" t="s">
        <v>7878</v>
      </c>
      <c r="M802" t="s">
        <v>7879</v>
      </c>
      <c r="N802">
        <f>-652.806891284576 -61.7252177510741 -554.403358915171</f>
        <v>-1268.935467950821</v>
      </c>
      <c r="O802">
        <f>-626.043370135698 -195.60541861779 -538.209878727015</f>
        <v>-1359.8586674805028</v>
      </c>
      <c r="P802">
        <f>-554.335999156836 -305.148859018078 -274.677016694883</f>
        <v>-1134.161874869797</v>
      </c>
      <c r="Q802">
        <f>-456.134736460336 -94.2372437034367 -337.316406187252</f>
        <v>-887.68838635102475</v>
      </c>
      <c r="R802" t="s">
        <v>7880</v>
      </c>
      <c r="S802" t="s">
        <v>7881</v>
      </c>
      <c r="T802" t="s">
        <v>7882</v>
      </c>
      <c r="U802" t="s">
        <v>7883</v>
      </c>
      <c r="V802">
        <f>-609.119971611176 -134.494181766311 -92.7090440736238</f>
        <v>-836.32319745111067</v>
      </c>
      <c r="W802" t="s">
        <v>7884</v>
      </c>
      <c r="X802" t="s">
        <v>7885</v>
      </c>
      <c r="Y802" t="s">
        <v>7886</v>
      </c>
    </row>
    <row r="803" spans="1:25" x14ac:dyDescent="0.3">
      <c r="A803">
        <v>40100</v>
      </c>
      <c r="B803" t="s">
        <v>7887</v>
      </c>
      <c r="C803">
        <f>-643.396416221778 -46.0557483819546 -93.4678632391456</f>
        <v>-782.9200278428782</v>
      </c>
      <c r="D803">
        <f>-664.934032508127 -56.567440842925 -206.789813579054</f>
        <v>-928.29128693010591</v>
      </c>
      <c r="E803">
        <f>-670.52160162511 -55.2152791560386 -305.245979570969</f>
        <v>-1030.9828603521175</v>
      </c>
      <c r="F803">
        <f>-670.76975236133 -50.249985762955 -394.203896056174</f>
        <v>-1115.2236341804592</v>
      </c>
      <c r="G803">
        <f>-665.779106399515 -41.5980958475911 -482.739167524453</f>
        <v>-1190.1163697715592</v>
      </c>
      <c r="H803">
        <f>-653.239381540536 -25.8029261898587 -605.678357028814</f>
        <v>-1284.7206647592088</v>
      </c>
      <c r="I803">
        <f>-625.533254303875 -7.79062008596543 -681.921180353377</f>
        <v>-1315.2450547432175</v>
      </c>
      <c r="J803">
        <f>-665.136549760153 -5.93418984409982 -548.783891521671</f>
        <v>-1219.8546311259238</v>
      </c>
      <c r="K803" t="s">
        <v>7888</v>
      </c>
      <c r="L803" t="s">
        <v>7889</v>
      </c>
      <c r="M803" t="s">
        <v>7890</v>
      </c>
      <c r="N803">
        <f>-652.378476678442 -59.5732330425788 -554.373973820041</f>
        <v>-1266.3256835410616</v>
      </c>
      <c r="O803">
        <f>-624.335024600583 -193.298113192154 -539.295773012282</f>
        <v>-1356.9289108050189</v>
      </c>
      <c r="P803">
        <f>-551.7641706605 -301.328590278096 -275.375259715237</f>
        <v>-1128.468020653833</v>
      </c>
      <c r="Q803">
        <f>-451.096183131832 -94.783429400487 -347.872961145665</f>
        <v>-893.75257367798395</v>
      </c>
      <c r="R803" t="s">
        <v>7891</v>
      </c>
      <c r="S803" t="s">
        <v>7892</v>
      </c>
      <c r="T803" t="s">
        <v>7893</v>
      </c>
      <c r="U803" t="s">
        <v>7894</v>
      </c>
      <c r="V803">
        <f>-610.034255683766 -134.43084419869 -92.7545785212521</f>
        <v>-837.21967840370814</v>
      </c>
      <c r="W803" t="s">
        <v>7895</v>
      </c>
      <c r="X803" t="s">
        <v>7896</v>
      </c>
      <c r="Y803" t="s">
        <v>7897</v>
      </c>
    </row>
    <row r="804" spans="1:25" x14ac:dyDescent="0.3">
      <c r="A804">
        <v>40150</v>
      </c>
      <c r="B804" t="s">
        <v>7898</v>
      </c>
      <c r="C804">
        <f>-644.110193148629 -46.4411768099496 -93.4796974231904</f>
        <v>-784.03106738176905</v>
      </c>
      <c r="D804">
        <f>-665.457255259541 -57.0355212953393 -206.829991625001</f>
        <v>-929.32276817988122</v>
      </c>
      <c r="E804">
        <f>-670.935067308105 -55.5884802312009 -305.290965023239</f>
        <v>-1031.8145125625449</v>
      </c>
      <c r="F804">
        <f>-671.099608948346 -50.4767197023139 -394.240839045631</f>
        <v>-1115.8171676962909</v>
      </c>
      <c r="G804">
        <f>-666.039197296794 -41.6179683929213 -482.75158677954</f>
        <v>-1190.4087524692552</v>
      </c>
      <c r="H804">
        <f>-653.41387469416 -25.4728606111878 -605.636698760734</f>
        <v>-1284.5234340660818</v>
      </c>
      <c r="I804">
        <f>-625.660122036933 -7.11929672793644 -681.780653678375</f>
        <v>-1314.5600724432443</v>
      </c>
      <c r="J804">
        <f>-665.475132947016 -5.79429534863584 -548.71059752354</f>
        <v>-1219.9800258191917</v>
      </c>
      <c r="K804" t="s">
        <v>7899</v>
      </c>
      <c r="L804" t="s">
        <v>7900</v>
      </c>
      <c r="M804" t="s">
        <v>7901</v>
      </c>
      <c r="N804">
        <f>-652.464109069363 -59.360840400529 -554.411599121133</f>
        <v>-1266.236548591025</v>
      </c>
      <c r="O804">
        <f>-623.868231984179 -193.016440022341 -539.708351520875</f>
        <v>-1356.593023527395</v>
      </c>
      <c r="P804">
        <f>-551.218895185368 -300.123547432914 -275.433138696488</f>
        <v>-1126.7755813147699</v>
      </c>
      <c r="Q804">
        <f>-449.125549245243 -96.4337102214486 -353.78064598951</f>
        <v>-899.33990545620168</v>
      </c>
      <c r="R804" t="s">
        <v>7902</v>
      </c>
      <c r="S804" t="s">
        <v>7903</v>
      </c>
      <c r="T804" t="s">
        <v>7904</v>
      </c>
      <c r="U804" t="s">
        <v>7905</v>
      </c>
      <c r="V804">
        <f>-610.365488100785 -134.702203514891 -92.781525897855</f>
        <v>-837.84921751353102</v>
      </c>
      <c r="W804" t="s">
        <v>7906</v>
      </c>
      <c r="X804" t="s">
        <v>7907</v>
      </c>
      <c r="Y804" t="s">
        <v>7908</v>
      </c>
    </row>
    <row r="805" spans="1:25" x14ac:dyDescent="0.3">
      <c r="A805">
        <v>40200</v>
      </c>
      <c r="B805" t="s">
        <v>7909</v>
      </c>
      <c r="C805">
        <f>-645.749436053068 -47.7485824088751 -93.4857417694344</f>
        <v>-786.98376023137757</v>
      </c>
      <c r="D805">
        <f>-666.771293683081 -58.5587382456531 -206.87640280593</f>
        <v>-932.20643473466407</v>
      </c>
      <c r="E805">
        <f>-672.110263804323 -57.0670541322511 -305.344417151136</f>
        <v>-1034.5217350877101</v>
      </c>
      <c r="F805">
        <f>-672.195499309817 -51.8316151608851 -394.287130387357</f>
        <v>-1118.3142448580593</v>
      </c>
      <c r="G805">
        <f>-667.098138284442 -42.7659362016584 -482.774775125239</f>
        <v>-1192.6388496113395</v>
      </c>
      <c r="H805">
        <f>-654.46179851364 -26.2474162370204 -605.609274758765</f>
        <v>-1286.3184895094255</v>
      </c>
      <c r="I805">
        <f>-626.601771705767 -7.38695669069648 -681.59020002138</f>
        <v>-1315.5789284178436</v>
      </c>
      <c r="J805">
        <f>-666.711990085232 -6.78444360850631 -548.649193841264</f>
        <v>-1222.1456275350024</v>
      </c>
      <c r="K805" t="s">
        <v>7910</v>
      </c>
      <c r="L805" t="s">
        <v>7911</v>
      </c>
      <c r="M805" t="s">
        <v>7912</v>
      </c>
      <c r="N805">
        <f>-653.332795371005 -60.248255591812 -554.462580021856</f>
        <v>-1268.043630984673</v>
      </c>
      <c r="O805">
        <f>-623.971404429421 -193.784013068232 -540.062204056427</f>
        <v>-1357.8176215540802</v>
      </c>
      <c r="P805">
        <f>-551.987075208334 -298.653291785904 -274.709834899717</f>
        <v>-1125.350201893955</v>
      </c>
      <c r="Q805">
        <f>-446.966577795181 -101.811155685829 -365.675349651703</f>
        <v>-914.45308313271312</v>
      </c>
      <c r="R805" t="s">
        <v>7913</v>
      </c>
      <c r="S805" t="s">
        <v>7914</v>
      </c>
      <c r="T805" t="s">
        <v>7915</v>
      </c>
      <c r="U805" t="s">
        <v>7916</v>
      </c>
      <c r="V805">
        <f>-611.234401436981 -135.971539834193 -92.7094857595429</f>
        <v>-839.91542703071684</v>
      </c>
      <c r="W805" t="s">
        <v>7917</v>
      </c>
      <c r="X805" t="s">
        <v>7918</v>
      </c>
      <c r="Y805" t="s">
        <v>7919</v>
      </c>
    </row>
    <row r="806" spans="1:25" x14ac:dyDescent="0.3">
      <c r="A806">
        <v>40250</v>
      </c>
      <c r="B806" t="s">
        <v>7920</v>
      </c>
      <c r="C806">
        <f>-646.588895211254 -48.7566555935623 -93.4583740962333</f>
        <v>-788.80392490104964</v>
      </c>
      <c r="D806">
        <f>-667.499017349247 -59.6496990236726 -206.861729011378</f>
        <v>-934.01044538429755</v>
      </c>
      <c r="E806">
        <f>-672.793257054431 -58.1520152621647 -305.331941537515</f>
        <v>-1036.2772138541106</v>
      </c>
      <c r="F806">
        <f>-672.855987717483 -52.8817155443608 -394.272626741707</f>
        <v>-1120.0103300035507</v>
      </c>
      <c r="G806">
        <f>-667.753295700601 -43.7510893167607 -482.753490582658</f>
        <v>-1194.2578756000198</v>
      </c>
      <c r="H806">
        <f>-655.126563903564 -27.1107657112721 -605.572300811563</f>
        <v>-1287.8096304263991</v>
      </c>
      <c r="I806">
        <f>-627.212469796423 -8.07959774760252 -681.490983420978</f>
        <v>-1316.7830509650034</v>
      </c>
      <c r="J806">
        <f>-667.462607030327 -7.72583994020715 -548.604260202874</f>
        <v>-1223.7927071734082</v>
      </c>
      <c r="K806" t="s">
        <v>7921</v>
      </c>
      <c r="L806" t="s">
        <v>7922</v>
      </c>
      <c r="M806" t="s">
        <v>7923</v>
      </c>
      <c r="N806">
        <f>-653.903280024659 -61.1409537490288 -554.447366453188</f>
        <v>-1269.4916002268758</v>
      </c>
      <c r="O806">
        <f>-624.236853498176 -194.607413603296 -540.093918163276</f>
        <v>-1358.938185264748</v>
      </c>
      <c r="P806">
        <f>-553.79698528955 -297.897619494568 -273.709827481331</f>
        <v>-1125.404432265449</v>
      </c>
      <c r="Q806">
        <f>-447.042485558937 -105.495139623135 -371.871060776573</f>
        <v>-924.40868595864504</v>
      </c>
      <c r="R806" t="s">
        <v>7924</v>
      </c>
      <c r="S806" t="s">
        <v>7925</v>
      </c>
      <c r="T806" t="s">
        <v>7926</v>
      </c>
      <c r="U806" t="s">
        <v>7927</v>
      </c>
      <c r="V806">
        <f>-611.785236186662 -137.040928490121 -92.6527692430078</f>
        <v>-841.47893391979085</v>
      </c>
      <c r="W806" t="s">
        <v>7928</v>
      </c>
      <c r="X806" t="s">
        <v>7929</v>
      </c>
      <c r="Y806" t="s">
        <v>7930</v>
      </c>
    </row>
    <row r="807" spans="1:25" x14ac:dyDescent="0.3">
      <c r="A807">
        <v>40300</v>
      </c>
      <c r="B807" t="s">
        <v>7931</v>
      </c>
      <c r="C807">
        <f>-647.680887029372 -51.2721347890995 -93.3641847676831</f>
        <v>-792.31720658615461</v>
      </c>
      <c r="D807">
        <f>-668.485413915487 -62.3434991705251 -206.769686401498</f>
        <v>-937.59859948751011</v>
      </c>
      <c r="E807">
        <f>-673.775059748851 -61.0187932695515 -305.242678822537</f>
        <v>-1040.0365318409395</v>
      </c>
      <c r="F807">
        <f>-673.868733079971 -55.9125713584033 -394.193061232101</f>
        <v>-1123.9743656704752</v>
      </c>
      <c r="G807">
        <f>-668.833278620948 -46.949314359807 -482.694736172312</f>
        <v>-1198.4773291530669</v>
      </c>
      <c r="H807">
        <f>-656.338211160678 -30.543466189461 -605.558569725065</f>
        <v>-1292.4402470752041</v>
      </c>
      <c r="I807">
        <f>-628.307016537883 -11.4355473939152 -681.414796325002</f>
        <v>-1321.1573602568001</v>
      </c>
      <c r="J807">
        <f>-668.7730942876 -11.0885089340577 -548.635824770958</f>
        <v>-1228.4974279926157</v>
      </c>
      <c r="K807" t="s">
        <v>7932</v>
      </c>
      <c r="L807" t="s">
        <v>7933</v>
      </c>
      <c r="M807" t="s">
        <v>7934</v>
      </c>
      <c r="N807">
        <f>-654.900192367778 -64.4371087814513 -554.348682084037</f>
        <v>-1273.6859832332664</v>
      </c>
      <c r="O807">
        <f>-624.633718542322 -197.720030145751 -539.649617334379</f>
        <v>-1362.0033660224519</v>
      </c>
      <c r="P807">
        <f>-558.691827560184 -296.404507993866 -270.383623468257</f>
        <v>-1125.479959022307</v>
      </c>
      <c r="Q807">
        <f>-448.946156736255 -114.548430337321 -384.116385541951</f>
        <v>-947.61097261552698</v>
      </c>
      <c r="R807" t="s">
        <v>7935</v>
      </c>
      <c r="S807" t="s">
        <v>7936</v>
      </c>
      <c r="T807" t="s">
        <v>7937</v>
      </c>
      <c r="U807" t="s">
        <v>7938</v>
      </c>
      <c r="V807">
        <f>-612.467180958239 -139.411727078738 -92.578394846378</f>
        <v>-844.45730288335506</v>
      </c>
      <c r="W807" t="s">
        <v>7939</v>
      </c>
      <c r="X807" t="s">
        <v>7940</v>
      </c>
      <c r="Y807" t="s">
        <v>7941</v>
      </c>
    </row>
    <row r="808" spans="1:25" x14ac:dyDescent="0.3">
      <c r="A808">
        <v>40350</v>
      </c>
      <c r="B808" t="s">
        <v>7942</v>
      </c>
      <c r="C808">
        <f>-648.095478122717 -52.5966925444652 -93.3318410166537</f>
        <v>-794.02401168383597</v>
      </c>
      <c r="D808">
        <f>-668.922505542499 -63.8348381884759 -206.716784648467</f>
        <v>-939.47412837944194</v>
      </c>
      <c r="E808">
        <f>-674.297853147355 -62.7144032903302 -305.187660426818</f>
        <v>-1042.1999168645032</v>
      </c>
      <c r="F808">
        <f>-674.496706078741 -57.8161540282622 -394.149572601464</f>
        <v>-1126.4624327084671</v>
      </c>
      <c r="G808">
        <f>-669.594602389393 -49.0808984371033 -482.681463881287</f>
        <v>-1201.3569647077834</v>
      </c>
      <c r="H808">
        <f>-657.315776097109 -33.0128214816259 -605.61172361075</f>
        <v>-1295.9403211894851</v>
      </c>
      <c r="I808">
        <f>-629.229804177754 -13.9722943257918 -681.464675833006</f>
        <v>-1324.666774336552</v>
      </c>
      <c r="J808">
        <f>-669.713009909319 -13.4169664889657 -548.729288558975</f>
        <v>-1231.8592649572597</v>
      </c>
      <c r="K808" t="s">
        <v>7943</v>
      </c>
      <c r="L808" t="s">
        <v>7944</v>
      </c>
      <c r="M808" t="s">
        <v>7945</v>
      </c>
      <c r="N808">
        <f>-655.72502647113 -66.7501755296594 -554.303224329759</f>
        <v>-1276.7784263305484</v>
      </c>
      <c r="O808">
        <f>-625.2222451834 -199.92401038406 -539.154701184269</f>
        <v>-1364.300956751729</v>
      </c>
      <c r="P808">
        <f>-561.363185686139 -295.686824030586 -268.336162479077</f>
        <v>-1125.3861721958021</v>
      </c>
      <c r="Q808">
        <f>-450.348583840272 -119.6746362056 -389.770769271132</f>
        <v>-959.79398931700393</v>
      </c>
      <c r="R808" t="s">
        <v>7946</v>
      </c>
      <c r="S808" t="s">
        <v>7947</v>
      </c>
      <c r="T808" t="s">
        <v>7948</v>
      </c>
      <c r="U808" t="s">
        <v>7949</v>
      </c>
      <c r="V808">
        <f>-612.812640339197 -140.684727201422 -92.4947438428466</f>
        <v>-845.9921113834655</v>
      </c>
      <c r="W808" t="s">
        <v>7950</v>
      </c>
      <c r="X808" t="s">
        <v>7951</v>
      </c>
      <c r="Y808" t="s">
        <v>7952</v>
      </c>
    </row>
    <row r="809" spans="1:25" x14ac:dyDescent="0.3">
      <c r="A809">
        <v>40400</v>
      </c>
      <c r="B809" t="s">
        <v>7953</v>
      </c>
      <c r="C809">
        <f>-648.663370270989 -55.408465110803 -93.3700577459067</f>
        <v>-797.44189312769879</v>
      </c>
      <c r="D809">
        <f>-669.673456452973 -67.1348666690021 -206.671807251023</f>
        <v>-943.48013037299813</v>
      </c>
      <c r="E809">
        <f>-675.28906929848 -66.6373498957607 -305.134353405033</f>
        <v>-1047.0607725992736</v>
      </c>
      <c r="F809">
        <f>-675.737465106824 -62.386031238666 -394.12856716814</f>
        <v>-1132.25206351363</v>
      </c>
      <c r="G809">
        <f>-671.116480272206 -54.3794404947328 -482.744642901783</f>
        <v>-1208.2405636687217</v>
      </c>
      <c r="H809">
        <f>-659.262056575442 -39.4138277581455 -605.855529077246</f>
        <v>-1304.5314134108335</v>
      </c>
      <c r="I809">
        <f>-630.987887866621 -20.6496716580798 -681.707455266528</f>
        <v>-1333.3450147912288</v>
      </c>
      <c r="J809">
        <f>-671.498074701959 -19.3175657197894 -549.112880138076</f>
        <v>-1239.9285205598244</v>
      </c>
      <c r="K809" t="s">
        <v>7954</v>
      </c>
      <c r="L809" t="s">
        <v>7955</v>
      </c>
      <c r="M809" t="s">
        <v>7956</v>
      </c>
      <c r="N809">
        <f>-657.459311559854 -72.6815473705433 -554.247986878108</f>
        <v>-1284.3888458085053</v>
      </c>
      <c r="O809">
        <f>-626.596092202619 -205.630653553665 -537.789190895178</f>
        <v>-1370.0159366514622</v>
      </c>
      <c r="P809">
        <f>-565.279142317812 -295.02442994063 -264.219809305273</f>
        <v>-1124.523381563715</v>
      </c>
      <c r="Q809">
        <f>-455.659690618565 -128.731068965749 -399.795925874475</f>
        <v>-984.18668545878904</v>
      </c>
      <c r="R809" t="s">
        <v>7957</v>
      </c>
      <c r="S809" t="s">
        <v>7958</v>
      </c>
      <c r="T809" t="s">
        <v>7959</v>
      </c>
      <c r="U809" t="s">
        <v>7960</v>
      </c>
      <c r="V809">
        <f>-612.945595930505 -143.378646771156 -92.3603105964061</f>
        <v>-848.68455329806704</v>
      </c>
      <c r="W809" t="s">
        <v>7961</v>
      </c>
      <c r="X809" t="s">
        <v>7962</v>
      </c>
      <c r="Y809" t="s">
        <v>7963</v>
      </c>
    </row>
    <row r="810" spans="1:25" x14ac:dyDescent="0.3">
      <c r="A810">
        <v>40450</v>
      </c>
      <c r="B810" t="s">
        <v>7964</v>
      </c>
      <c r="C810">
        <f>-648.941928106301 -56.9732638813225 -93.4567676907271</f>
        <v>-799.37195967835066</v>
      </c>
      <c r="D810">
        <f>-670.087356683817 -68.9805701314285 -206.70380054448</f>
        <v>-945.77172735972556</v>
      </c>
      <c r="E810">
        <f>-675.795479596865 -68.797532350701 -305.162157004956</f>
        <v>-1049.7551689525219</v>
      </c>
      <c r="F810">
        <f>-676.315918486399 -64.8624033125095 -394.17057074966</f>
        <v>-1135.3488925485685</v>
      </c>
      <c r="G810">
        <f>-671.754775537694 -57.2051962301855 -482.820500175154</f>
        <v>-1211.7804719430335</v>
      </c>
      <c r="H810">
        <f>-659.970039305148 -42.7631256472816 -606.000719840593</f>
        <v>-1308.7338847930228</v>
      </c>
      <c r="I810">
        <f>-631.557409324693 -24.0862877607867 -681.822363666831</f>
        <v>-1337.4660607523108</v>
      </c>
      <c r="J810">
        <f>-672.163482166152 -22.4230561366667 -549.335642450385</f>
        <v>-1243.9221807532035</v>
      </c>
      <c r="K810" t="s">
        <v>7965</v>
      </c>
      <c r="L810" t="s">
        <v>7966</v>
      </c>
      <c r="M810" t="s">
        <v>7967</v>
      </c>
      <c r="N810">
        <f>-658.148512854965 -75.8137096343942 -554.254472178906</f>
        <v>-1288.2166946682651</v>
      </c>
      <c r="O810">
        <f>-627.372259558814 -208.726807952777 -537.210223564805</f>
        <v>-1373.309291076396</v>
      </c>
      <c r="P810">
        <f>-565.825557569733 -296.112982547762 -263.044577415955</f>
        <v>-1124.98311753345</v>
      </c>
      <c r="Q810">
        <f>-458.103469518733 -133.61876941421 -404.615792607624</f>
        <v>-996.33803154056704</v>
      </c>
      <c r="R810" t="s">
        <v>7968</v>
      </c>
      <c r="S810" t="s">
        <v>7969</v>
      </c>
      <c r="T810" t="s">
        <v>7970</v>
      </c>
      <c r="U810" t="s">
        <v>7971</v>
      </c>
      <c r="V810">
        <f>-613.070559200417 -144.967488346888 -92.33346812581</f>
        <v>-850.37151567311503</v>
      </c>
      <c r="W810" t="s">
        <v>7972</v>
      </c>
      <c r="X810" t="s">
        <v>7973</v>
      </c>
      <c r="Y810" t="s">
        <v>7974</v>
      </c>
    </row>
    <row r="811" spans="1:25" x14ac:dyDescent="0.3">
      <c r="A811">
        <v>40500</v>
      </c>
      <c r="B811" t="s">
        <v>7975</v>
      </c>
      <c r="C811">
        <f>-649.672819046595 -59.743920059763 -93.5847386156556</f>
        <v>-803.00147772201365</v>
      </c>
      <c r="D811">
        <f>-671.029342045038 -72.3020013428588 -206.732509368993</f>
        <v>-950.06385275688979</v>
      </c>
      <c r="E811">
        <f>-676.941086188734 -72.5899518110593 -305.178606356616</f>
        <v>-1054.7096443564092</v>
      </c>
      <c r="F811">
        <f>-677.649683458325 -69.0827554462467 -394.203476237699</f>
        <v>-1140.9359151422707</v>
      </c>
      <c r="G811">
        <f>-673.277593534873 -61.8565423111349 -482.899201465307</f>
        <v>-1218.0333373113149</v>
      </c>
      <c r="H811">
        <f>-661.75557438015 -48.0213110805396 -606.173820400013</f>
        <v>-1315.9507058607028</v>
      </c>
      <c r="I811">
        <f>-633.103084153029 -29.4140274503238 -681.922363268332</f>
        <v>-1344.439474871685</v>
      </c>
      <c r="J811">
        <f>-673.80983267949 -27.397793382087 -549.581616638692</f>
        <v>-1250.7892427002689</v>
      </c>
      <c r="K811" t="s">
        <v>7976</v>
      </c>
      <c r="L811" t="s">
        <v>7977</v>
      </c>
      <c r="M811" t="s">
        <v>7978</v>
      </c>
      <c r="N811">
        <f>-659.841825838226 -80.8211610164228 -554.271849432604</f>
        <v>-1294.9348362872529</v>
      </c>
      <c r="O811">
        <f>-629.405919465062 -213.733846123717 -536.67482234988</f>
        <v>-1379.8145879386589</v>
      </c>
      <c r="P811">
        <f>-565.345235379981 -299.241254676113 -262.492602968131</f>
        <v>-1127.0790930242249</v>
      </c>
      <c r="Q811">
        <f>-462.335188587949 -143.102086511293 -414.349107318045</f>
        <v>-1019.7863824172871</v>
      </c>
      <c r="R811" t="s">
        <v>7979</v>
      </c>
      <c r="S811" t="s">
        <v>7980</v>
      </c>
      <c r="T811" t="s">
        <v>7981</v>
      </c>
      <c r="U811" t="s">
        <v>7982</v>
      </c>
      <c r="V811">
        <f>-613.593393680798 -147.421762602719 -92.1795324239476</f>
        <v>-853.19468870746471</v>
      </c>
      <c r="W811" t="s">
        <v>7983</v>
      </c>
      <c r="X811" t="s">
        <v>7984</v>
      </c>
      <c r="Y811" t="s">
        <v>7985</v>
      </c>
    </row>
    <row r="812" spans="1:25" x14ac:dyDescent="0.3">
      <c r="A812">
        <v>40550</v>
      </c>
      <c r="B812" t="s">
        <v>7986</v>
      </c>
      <c r="C812">
        <f>-650.016914898912 -61.1189900044217 -93.6924228256981</f>
        <v>-804.8283277290318</v>
      </c>
      <c r="D812">
        <f>-671.423038724198 -73.932692828542 -206.802224642767</f>
        <v>-952.15795619550704</v>
      </c>
      <c r="E812">
        <f>-677.437184838109 -74.418066601216 -305.241267905897</f>
        <v>-1057.0965193452221</v>
      </c>
      <c r="F812">
        <f>-678.259069737201 -71.0820268678096 -394.271807396222</f>
        <v>-1143.6129040012327</v>
      </c>
      <c r="G812">
        <f>-674.018764581724 -64.019729646036 -482.987027854694</f>
        <v>-1221.025522082454</v>
      </c>
      <c r="H812">
        <f>-662.69857250765 -50.4068462334378 -606.305003239541</f>
        <v>-1319.4104219806288</v>
      </c>
      <c r="I812">
        <f>-633.976691836897 -31.8441509559786 -682.038143463158</f>
        <v>-1347.8589862560336</v>
      </c>
      <c r="J812">
        <f>-674.646296825668 -29.6778848917102 -549.728870644397</f>
        <v>-1254.0530523617751</v>
      </c>
      <c r="K812" t="s">
        <v>7987</v>
      </c>
      <c r="L812" t="s">
        <v>7988</v>
      </c>
      <c r="M812" t="s">
        <v>7989</v>
      </c>
      <c r="N812">
        <f>-660.713914918137 -83.1167013721511 -554.348937844202</f>
        <v>-1298.17955413449</v>
      </c>
      <c r="O812">
        <f>-630.463482470586 -216.02933362452 -536.630580843537</f>
        <v>-1383.1233969386431</v>
      </c>
      <c r="P812">
        <f>-564.697676984592 -301.814418849638 -262.939183385854</f>
        <v>-1129.451279220084</v>
      </c>
      <c r="Q812">
        <f>-464.490168705849 -148.186458341296 -419.169132605639</f>
        <v>-1031.845759652784</v>
      </c>
      <c r="R812" t="s">
        <v>7990</v>
      </c>
      <c r="S812" t="s">
        <v>7991</v>
      </c>
      <c r="T812" t="s">
        <v>7992</v>
      </c>
      <c r="U812" t="s">
        <v>7993</v>
      </c>
      <c r="V812">
        <f>-613.792143804624 -148.719386756925 -92.1509896784803</f>
        <v>-854.66252024002927</v>
      </c>
      <c r="W812" t="s">
        <v>7994</v>
      </c>
      <c r="X812" t="s">
        <v>7995</v>
      </c>
      <c r="Y812" t="s">
        <v>7996</v>
      </c>
    </row>
    <row r="813" spans="1:25" x14ac:dyDescent="0.3">
      <c r="A813">
        <v>40600</v>
      </c>
      <c r="B813" t="s">
        <v>7997</v>
      </c>
      <c r="C813">
        <f>-650.508743810704 -64.2492785050688 -93.985339950728</f>
        <v>-808.74336226650075</v>
      </c>
      <c r="D813">
        <f>-671.941019778097 -77.6029110784662 -207.027714994634</f>
        <v>-956.57164585119733</v>
      </c>
      <c r="E813">
        <f>-678.11569702566 -78.6070043511177 -305.452884336035</f>
        <v>-1062.1755857128128</v>
      </c>
      <c r="F813">
        <f>-679.134985438964 -75.7627287497105 -394.498365191549</f>
        <v>-1149.3960793802235</v>
      </c>
      <c r="G813">
        <f>-675.141874794052 -69.2140941215082 -483.264495307322</f>
        <v>-1227.6204642228822</v>
      </c>
      <c r="H813">
        <f>-664.21687845821 -56.3408791811087 -606.697588567839</f>
        <v>-1327.2553462071578</v>
      </c>
      <c r="I813">
        <f>-635.391101375451 -37.9096782767206 -682.423451708882</f>
        <v>-1355.7242313610536</v>
      </c>
      <c r="J813">
        <f>-675.974565509003 -35.270621093799 -550.207659768338</f>
        <v>-1261.4528463711399</v>
      </c>
      <c r="K813" t="s">
        <v>7998</v>
      </c>
      <c r="L813" t="s">
        <v>7999</v>
      </c>
      <c r="M813" t="s">
        <v>8000</v>
      </c>
      <c r="N813">
        <f>-662.074401262077 -88.7407735239965 -554.55386096371</f>
        <v>-1305.3690357497835</v>
      </c>
      <c r="O813">
        <f>-632.051152536503 -221.628009840656 -536.25552247936</f>
        <v>-1389.934684856519</v>
      </c>
      <c r="P813">
        <f>-563.292996629401 -307.467702037773 -263.317600216072</f>
        <v>-1134.0782988832459</v>
      </c>
      <c r="Q813">
        <f>-469.16096781999 -158.524506430588 -427.652491268071</f>
        <v>-1055.3379655186491</v>
      </c>
      <c r="R813" t="s">
        <v>8001</v>
      </c>
      <c r="S813" t="s">
        <v>8002</v>
      </c>
      <c r="T813" t="s">
        <v>8003</v>
      </c>
      <c r="U813" t="s">
        <v>8004</v>
      </c>
      <c r="V813">
        <f>-614.049424142948 -151.78031670585 -92.1400955819307</f>
        <v>-857.96983643072883</v>
      </c>
      <c r="W813" t="s">
        <v>8005</v>
      </c>
      <c r="X813" t="s">
        <v>8006</v>
      </c>
      <c r="Y813" t="s">
        <v>8007</v>
      </c>
    </row>
    <row r="814" spans="1:25" x14ac:dyDescent="0.3">
      <c r="A814">
        <v>40650</v>
      </c>
      <c r="B814" t="s">
        <v>8008</v>
      </c>
      <c r="C814">
        <f>-650.621592160196 -65.9290587558376 -94.1256773345858</f>
        <v>-810.67632825061935</v>
      </c>
      <c r="D814">
        <f>-672.077836473187 -79.5564945189572 -207.130779612826</f>
        <v>-958.76511060497012</v>
      </c>
      <c r="E814">
        <f>-678.352855391085 -80.8900671691877 -305.545743441579</f>
        <v>-1064.7886660018517</v>
      </c>
      <c r="F814">
        <f>-679.495133562625 -78.380760188044 -394.599764566162</f>
        <v>-1152.475658316831</v>
      </c>
      <c r="G814">
        <f>-675.657754951472 -72.2024200194442 -483.399186146834</f>
        <v>-1231.2593611177501</v>
      </c>
      <c r="H814">
        <f>-664.98359103235 -59.8820536117807 -606.910695723141</f>
        <v>-1331.7763403672716</v>
      </c>
      <c r="I814">
        <f>-636.105835650494 -41.5641686893425 -682.644161502796</f>
        <v>-1360.3141658426325</v>
      </c>
      <c r="J814">
        <f>-676.644982462291 -38.5638126638617 -550.493964105194</f>
        <v>-1265.7027592313466</v>
      </c>
      <c r="K814" t="s">
        <v>8009</v>
      </c>
      <c r="L814" t="s">
        <v>8010</v>
      </c>
      <c r="M814" t="s">
        <v>8011</v>
      </c>
      <c r="N814">
        <f>-662.716460354971 -92.0435676225954 -554.624905486596</f>
        <v>-1309.3849334641625</v>
      </c>
      <c r="O814">
        <f>-632.57806990458 -224.824822388676 -535.822093795249</f>
        <v>-1393.2249860885049</v>
      </c>
      <c r="P814">
        <f>-562.558861238762 -310.204193446708 -263.060432644212</f>
        <v>-1135.8234873296819</v>
      </c>
      <c r="Q814">
        <f>-472.013590743131 -163.268368168669 -431.174404888177</f>
        <v>-1066.456363799977</v>
      </c>
      <c r="R814" t="s">
        <v>8012</v>
      </c>
      <c r="S814" t="s">
        <v>8013</v>
      </c>
      <c r="T814" t="s">
        <v>8014</v>
      </c>
      <c r="U814" t="s">
        <v>8015</v>
      </c>
      <c r="V814">
        <f>-613.993327611583 -153.314569401889 -92.1176746240226</f>
        <v>-859.42557163749461</v>
      </c>
      <c r="W814" t="s">
        <v>8016</v>
      </c>
      <c r="X814" t="s">
        <v>8017</v>
      </c>
      <c r="Y814" t="s">
        <v>8018</v>
      </c>
    </row>
    <row r="815" spans="1:25" x14ac:dyDescent="0.3">
      <c r="A815">
        <v>40700</v>
      </c>
      <c r="B815" t="s">
        <v>8019</v>
      </c>
      <c r="C815">
        <f>-650.546825144542 -69.4636257661102 -94.4589465042533</f>
        <v>-814.46939741490553</v>
      </c>
      <c r="D815">
        <f>-672.118222112658 -83.6038882198388 -207.379145473648</f>
        <v>-963.10125580614488</v>
      </c>
      <c r="E815">
        <f>-678.60966864369 -85.6446256200206 -305.76781715908</f>
        <v>-1070.0221114227907</v>
      </c>
      <c r="F815">
        <f>-679.998252995442 -83.8807538274759 -394.836331248899</f>
        <v>-1158.7153380718169</v>
      </c>
      <c r="G815">
        <f>-676.459357945305 -78.5496327577282 -483.703118600287</f>
        <v>-1238.7121093033202</v>
      </c>
      <c r="H815">
        <f>-666.257689051365 -67.5156145555702 -607.376011755977</f>
        <v>-1341.1493153629121</v>
      </c>
      <c r="I815">
        <f>-637.21483854663 -49.4359282697649 -683.103566718613</f>
        <v>-1369.7543335350078</v>
      </c>
      <c r="J815">
        <f>-677.779815293777 -45.6302189350106 -551.147945898128</f>
        <v>-1274.5579801269155</v>
      </c>
      <c r="K815" t="s">
        <v>8020</v>
      </c>
      <c r="L815" t="s">
        <v>8021</v>
      </c>
      <c r="M815" t="s">
        <v>8022</v>
      </c>
      <c r="N815">
        <f>-663.714063311905 -99.1118316611221 -554.759357726375</f>
        <v>-1317.5852526994022</v>
      </c>
      <c r="O815">
        <f>-633.073235658681 -231.620869219389 -534.799378233566</f>
        <v>-1399.4934831116361</v>
      </c>
      <c r="P815">
        <f>-560.580624180742 -314.705703187361 -261.975383000661</f>
        <v>-1137.2617103687639</v>
      </c>
      <c r="Q815">
        <f>-477.016432437446 -172.16130039016 -437.329330135874</f>
        <v>-1086.5070629634799</v>
      </c>
      <c r="R815" t="s">
        <v>8023</v>
      </c>
      <c r="S815" t="s">
        <v>8024</v>
      </c>
      <c r="T815" t="s">
        <v>8025</v>
      </c>
      <c r="U815" t="s">
        <v>8026</v>
      </c>
      <c r="V815">
        <f>-613.513195226761 -156.897220453767 -92.1870108304774</f>
        <v>-862.59742651100544</v>
      </c>
      <c r="W815" t="s">
        <v>8027</v>
      </c>
      <c r="X815" t="s">
        <v>8028</v>
      </c>
      <c r="Y815" t="s">
        <v>8029</v>
      </c>
    </row>
    <row r="816" spans="1:25" x14ac:dyDescent="0.3">
      <c r="A816">
        <v>40750</v>
      </c>
      <c r="B816" t="s">
        <v>8030</v>
      </c>
      <c r="C816">
        <f>-650.416439895462 -71.2215441120436 -94.6412469953282</f>
        <v>-816.27923100283374</v>
      </c>
      <c r="D816">
        <f>-672.06511951913 -85.6476635352055 -207.510347704836</f>
        <v>-965.22313075917157</v>
      </c>
      <c r="E816">
        <f>-678.716883301909 -88.0894027260981 -305.879351828859</f>
        <v>-1072.6856378568662</v>
      </c>
      <c r="F816">
        <f>-680.289249130317 -86.7504967552816 -394.952207125256</f>
        <v>-1161.9919530108546</v>
      </c>
      <c r="G816">
        <f>-676.973895932261 -81.9042012182076 -483.855306679787</f>
        <v>-1242.7334038302556</v>
      </c>
      <c r="H816">
        <f>-667.126095154351 -71.6090732817665 -607.620588929004</f>
        <v>-1346.3557573651215</v>
      </c>
      <c r="I816">
        <f>-638.026178619205 -53.6677314946428 -683.359100922805</f>
        <v>-1375.0530110366528</v>
      </c>
      <c r="J816">
        <f>-678.524876965586 -49.3979901272896 -551.495320021557</f>
        <v>-1279.4181871144326</v>
      </c>
      <c r="K816" t="s">
        <v>8031</v>
      </c>
      <c r="L816" t="s">
        <v>8032</v>
      </c>
      <c r="M816" t="s">
        <v>8033</v>
      </c>
      <c r="N816">
        <f>-664.39446904007 -102.881034400961 -554.819875519491</f>
        <v>-1322.0953789605219</v>
      </c>
      <c r="O816">
        <f>-633.407869974292 -235.221913719184 -534.248194275053</f>
        <v>-1402.877977968529</v>
      </c>
      <c r="P816">
        <f>-559.036805108569 -316.94579518139 -261.518784374297</f>
        <v>-1137.501384664256</v>
      </c>
      <c r="Q816">
        <f>-479.058403391949 -176.785987425102 -440.431019880934</f>
        <v>-1096.2754106979851</v>
      </c>
      <c r="R816" t="s">
        <v>8034</v>
      </c>
      <c r="S816" t="s">
        <v>8035</v>
      </c>
      <c r="T816" t="s">
        <v>8036</v>
      </c>
      <c r="U816" t="s">
        <v>8037</v>
      </c>
      <c r="V816">
        <f>-613.173680652094 -158.609390072692 -92.2113249076137</f>
        <v>-863.9943956323998</v>
      </c>
      <c r="W816" t="s">
        <v>8038</v>
      </c>
      <c r="X816" t="s">
        <v>8039</v>
      </c>
      <c r="Y816" t="s">
        <v>8040</v>
      </c>
    </row>
    <row r="817" spans="1:25" x14ac:dyDescent="0.3">
      <c r="A817">
        <v>40800</v>
      </c>
      <c r="B817" t="s">
        <v>8041</v>
      </c>
      <c r="C817">
        <f>-650.128563508387 -74.2049965669698 -95.0543690664157</f>
        <v>-819.38792914177247</v>
      </c>
      <c r="D817">
        <f>-671.791221588703 -89.1651371490589 -207.85117556167</f>
        <v>-968.80753429943184</v>
      </c>
      <c r="E817">
        <f>-678.8223420243 -92.3391836980529 -306.172918872127</f>
        <v>-1077.3344445944799</v>
      </c>
      <c r="F817">
        <f>-680.887274489303 -91.7703461400747 -395.243974324238</f>
        <v>-1167.9015949536156</v>
      </c>
      <c r="G817">
        <f>-678.214119365041 -87.7961901802962 -484.211839903343</f>
        <v>-1250.2221494486803</v>
      </c>
      <c r="H817">
        <f>-669.418919263868 -78.8213874097887 -608.1591919059</f>
        <v>-1356.3994985795566</v>
      </c>
      <c r="I817">
        <f>-640.295331458779 -61.1092609311504 -683.942663112785</f>
        <v>-1385.3472555027142</v>
      </c>
      <c r="J817">
        <f>-680.421557945873 -56.0335769987807 -552.186224826366</f>
        <v>-1288.6413597710198</v>
      </c>
      <c r="K817" t="s">
        <v>8042</v>
      </c>
      <c r="L817" t="s">
        <v>8043</v>
      </c>
      <c r="M817" t="s">
        <v>8044</v>
      </c>
      <c r="N817">
        <f>-666.156960373195 -109.507920540927 -555.046017272366</f>
        <v>-1330.7108981864881</v>
      </c>
      <c r="O817">
        <f>-634.510757585047 -241.566150456866 -533.560434860224</f>
        <v>-1409.6373429021369</v>
      </c>
      <c r="P817">
        <f>-555.046773207623 -321.957419881059 -261.873203344322</f>
        <v>-1138.8773964330042</v>
      </c>
      <c r="Q817">
        <f>-482.467337403564 -185.851800417632 -446.963276964924</f>
        <v>-1115.2824147861199</v>
      </c>
      <c r="R817" t="s">
        <v>8045</v>
      </c>
      <c r="S817" t="s">
        <v>8046</v>
      </c>
      <c r="T817" t="s">
        <v>8047</v>
      </c>
      <c r="U817" t="s">
        <v>8048</v>
      </c>
      <c r="V817">
        <f>-612.251569175047 -161.363897030284 -92.3317777007688</f>
        <v>-865.94724390609986</v>
      </c>
      <c r="W817" t="s">
        <v>8049</v>
      </c>
      <c r="X817" t="s">
        <v>8050</v>
      </c>
      <c r="Y817" t="s">
        <v>8051</v>
      </c>
    </row>
    <row r="818" spans="1:25" x14ac:dyDescent="0.3">
      <c r="A818">
        <v>40850</v>
      </c>
      <c r="B818" t="s">
        <v>8052</v>
      </c>
      <c r="C818">
        <f>-649.912329400836 -75.5016932803669 -95.2576487309952</f>
        <v>-820.67167141219818</v>
      </c>
      <c r="D818">
        <f>-671.561791765655 -90.7082706149547 -208.024219658242</f>
        <v>-970.29428203885175</v>
      </c>
      <c r="E818">
        <f>-678.805532589646 -94.1824086879669 -306.320211284549</f>
        <v>-1079.3081525621619</v>
      </c>
      <c r="F818">
        <f>-681.152635898593 -93.9187751588654 -395.385685675183</f>
        <v>-1170.4570967326413</v>
      </c>
      <c r="G818">
        <f>-678.850928087287 -90.2803618415808 -484.378315861185</f>
        <v>-1253.5096057900528</v>
      </c>
      <c r="H818">
        <f>-670.667137973879 -81.80471113819 -608.402570047084</f>
        <v>-1360.8744191591531</v>
      </c>
      <c r="I818">
        <f>-641.5895595943 -64.1975113269887 -684.228178738319</f>
        <v>-1390.0152496596077</v>
      </c>
      <c r="J818">
        <f>-681.424441353109 -58.7996874042467 -552.470724646295</f>
        <v>-1292.6948534036508</v>
      </c>
      <c r="K818" t="s">
        <v>8053</v>
      </c>
      <c r="L818" t="s">
        <v>8054</v>
      </c>
      <c r="M818" t="s">
        <v>8055</v>
      </c>
      <c r="N818">
        <f>-667.11250068349 -112.269199390845 -555.180540327012</f>
        <v>-1334.562240401347</v>
      </c>
      <c r="O818">
        <f>-635.223271177264 -244.226462034914 -533.459353126132</f>
        <v>-1412.9090863383099</v>
      </c>
      <c r="P818">
        <f>-553.187524568188 -324.935095858448 -262.63192087062</f>
        <v>-1140.7545412972559</v>
      </c>
      <c r="Q818">
        <f>-484.003932441684 -189.464136025826 -449.479694916269</f>
        <v>-1122.9477633837789</v>
      </c>
      <c r="R818" t="s">
        <v>8056</v>
      </c>
      <c r="S818" t="s">
        <v>8057</v>
      </c>
      <c r="T818" t="s">
        <v>8058</v>
      </c>
      <c r="U818" t="s">
        <v>8059</v>
      </c>
      <c r="V818">
        <f>-611.842169893898 -162.518327881125 -92.4063600813737</f>
        <v>-866.76685785639677</v>
      </c>
      <c r="W818" t="s">
        <v>8060</v>
      </c>
      <c r="X818" t="s">
        <v>8061</v>
      </c>
      <c r="Y818" t="s">
        <v>8062</v>
      </c>
    </row>
    <row r="819" spans="1:25" x14ac:dyDescent="0.3">
      <c r="A819">
        <v>40900</v>
      </c>
      <c r="B819" t="s">
        <v>8063</v>
      </c>
      <c r="C819">
        <f>-649.543801164401 -77.0071772373226 -95.7180388594003</f>
        <v>-822.26901726112385</v>
      </c>
      <c r="D819">
        <f>-671.169242356882 -92.697759778496 -208.422745058164</f>
        <v>-972.28974719354198</v>
      </c>
      <c r="E819">
        <f>-678.796205393098 -96.625864322461 -306.672759742927</f>
        <v>-1082.0948294584859</v>
      </c>
      <c r="F819">
        <f>-681.64975548963 -96.7840756264293 -395.723679391341</f>
        <v>-1174.1575105074003</v>
      </c>
      <c r="G819">
        <f>-680.012512685901 -93.573654575546 -484.747643663374</f>
        <v>-1258.3338109248211</v>
      </c>
      <c r="H819">
        <f>-672.919609839288 -85.6975855248447 -608.878588844577</f>
        <v>-1367.4957842087097</v>
      </c>
      <c r="I819">
        <f>-644.043319560699 -68.1742269237316 -684.800437440541</f>
        <v>-1397.0179839249718</v>
      </c>
      <c r="J819">
        <f>-683.224215437561 -62.4326974129049 -552.969150051914</f>
        <v>-1298.62606290238</v>
      </c>
      <c r="K819" t="s">
        <v>8064</v>
      </c>
      <c r="L819" t="s">
        <v>8065</v>
      </c>
      <c r="M819" t="s">
        <v>8066</v>
      </c>
      <c r="N819">
        <f>-668.85749602479 -115.894268410412 -555.540320999702</f>
        <v>-1340.292085434904</v>
      </c>
      <c r="O819">
        <f>-636.631629932227 -247.738182139565 -533.64281684269</f>
        <v>-1418.0126289144819</v>
      </c>
      <c r="P819">
        <f>-550.248438054063 -330.931933669717 -264.927504266298</f>
        <v>-1146.1078759900779</v>
      </c>
      <c r="Q819">
        <f>-484.933071777149 -193.554272134801 -451.775363226883</f>
        <v>-1130.2627071388329</v>
      </c>
      <c r="R819" t="s">
        <v>8067</v>
      </c>
      <c r="S819" t="s">
        <v>8068</v>
      </c>
      <c r="T819" t="s">
        <v>8069</v>
      </c>
      <c r="U819" t="s">
        <v>8070</v>
      </c>
      <c r="V819">
        <f>-611.129577884967 -163.617652056639 -92.5592264124969</f>
        <v>-867.30645635410292</v>
      </c>
      <c r="W819" t="s">
        <v>8071</v>
      </c>
      <c r="X819" t="s">
        <v>8072</v>
      </c>
      <c r="Y819" t="s">
        <v>8073</v>
      </c>
    </row>
    <row r="820" spans="1:25" x14ac:dyDescent="0.3">
      <c r="A820">
        <v>40950</v>
      </c>
      <c r="B820" t="s">
        <v>8074</v>
      </c>
      <c r="C820">
        <f>-649.275959009289 -77.3838724635455 -95.9641526396706</f>
        <v>-822.62398411250501</v>
      </c>
      <c r="D820">
        <f>-670.923121959945 -93.2418550706132 -208.641287525786</f>
        <v>-972.8062645563441</v>
      </c>
      <c r="E820">
        <f>-678.701872280601 -97.3118042467172 -306.873616421408</f>
        <v>-1082.8872929487261</v>
      </c>
      <c r="F820">
        <f>-681.744878471272 -97.5959915694248 -395.918017361675</f>
        <v>-1175.2588874023718</v>
      </c>
      <c r="G820">
        <f>-680.348847421475 -94.5074994281333 -484.950369890963</f>
        <v>-1259.8067167405713</v>
      </c>
      <c r="H820">
        <f>-673.645964387189 -86.7957627438643 -609.11303628541</f>
        <v>-1369.5547634164632</v>
      </c>
      <c r="I820">
        <f>-644.918768794529 -69.2809077756376 -685.093490478214</f>
        <v>-1399.2931670483806</v>
      </c>
      <c r="J820">
        <f>-683.790142035147 -63.4608339658128 -553.203582220783</f>
        <v>-1300.4545582217429</v>
      </c>
      <c r="K820" t="s">
        <v>8075</v>
      </c>
      <c r="L820" t="s">
        <v>8076</v>
      </c>
      <c r="M820" t="s">
        <v>8077</v>
      </c>
      <c r="N820">
        <f>-669.400933113322 -116.917751192821 -555.746940044235</f>
        <v>-1342.0656243503781</v>
      </c>
      <c r="O820">
        <f>-637.042680412909 -248.720141956814 -533.837603565027</f>
        <v>-1419.6004259347501</v>
      </c>
      <c r="P820">
        <f>-549.531105833168 -334.082938932073 -266.16978947674</f>
        <v>-1149.7838342419809</v>
      </c>
      <c r="Q820">
        <f>-484.540286454206 -194.133157137684 -451.213289472007</f>
        <v>-1129.8867330638968</v>
      </c>
      <c r="R820" t="s">
        <v>8078</v>
      </c>
      <c r="S820" t="s">
        <v>8079</v>
      </c>
      <c r="T820" t="s">
        <v>8080</v>
      </c>
      <c r="U820" t="s">
        <v>8081</v>
      </c>
      <c r="V820">
        <f>-610.613223204502 -163.952725734552 -92.6578538494392</f>
        <v>-867.22380278849323</v>
      </c>
      <c r="W820" t="s">
        <v>8082</v>
      </c>
      <c r="X820" t="s">
        <v>8083</v>
      </c>
      <c r="Y820" t="s">
        <v>8084</v>
      </c>
    </row>
    <row r="821" spans="1:25" x14ac:dyDescent="0.3">
      <c r="A821">
        <v>41000</v>
      </c>
      <c r="B821" t="s">
        <v>8085</v>
      </c>
      <c r="C821">
        <f>-648.439756560507 -78.3012750244802 -96.2996431232714</f>
        <v>-823.04067470825862</v>
      </c>
      <c r="D821">
        <f>-670.090585682899 -94.380020829155 -208.944869457131</f>
        <v>-973.41547596918508</v>
      </c>
      <c r="E821">
        <f>-678.043525617454 -98.6103427456192 -307.156444741285</f>
        <v>-1083.8103131043581</v>
      </c>
      <c r="F821">
        <f>-681.311390652272 -99.0252402324281 -396.192363436811</f>
        <v>-1176.5289943215112</v>
      </c>
      <c r="G821">
        <f>-680.206545771335 -96.050452726053 -485.232658396509</f>
        <v>-1261.4896568938971</v>
      </c>
      <c r="H821">
        <f>-673.978456485873 -88.4777642065249 -609.428733014064</f>
        <v>-1371.8849537064621</v>
      </c>
      <c r="I821">
        <f>-645.643739106002 -70.9372366750235 -685.550292391478</f>
        <v>-1402.1312681725035</v>
      </c>
      <c r="J821">
        <f>-683.950642134676 -65.0913625213957 -553.509684343646</f>
        <v>-1302.5516889997175</v>
      </c>
      <c r="K821" t="s">
        <v>8086</v>
      </c>
      <c r="L821" t="s">
        <v>8087</v>
      </c>
      <c r="M821" t="s">
        <v>8088</v>
      </c>
      <c r="N821">
        <f>-669.487562491195 -118.528901187578 -556.04265653922</f>
        <v>-1344.059120217993</v>
      </c>
      <c r="O821">
        <f>-636.8066946379 -250.24088521513 -534.169770119181</f>
        <v>-1421.217349972211</v>
      </c>
      <c r="P821">
        <f>-549.381801355245 -339.744052775677 -267.829203866302</f>
        <v>-1156.955057997224</v>
      </c>
      <c r="Q821">
        <f>-481.595775338276 -193.775090812551 -447.130806537278</f>
        <v>-1122.5016726881049</v>
      </c>
      <c r="R821" t="s">
        <v>8089</v>
      </c>
      <c r="S821" t="s">
        <v>8090</v>
      </c>
      <c r="T821" t="s">
        <v>8091</v>
      </c>
      <c r="U821" t="s">
        <v>8092</v>
      </c>
      <c r="V821">
        <f>-609.516732878436 -164.99909414024 -92.7899336801513</f>
        <v>-867.30576069882727</v>
      </c>
      <c r="W821" t="s">
        <v>8093</v>
      </c>
      <c r="X821" t="s">
        <v>8094</v>
      </c>
      <c r="Y821" t="s">
        <v>8095</v>
      </c>
    </row>
    <row r="822" spans="1:25" x14ac:dyDescent="0.3">
      <c r="A822">
        <v>41050</v>
      </c>
      <c r="B822" t="s">
        <v>8096</v>
      </c>
      <c r="C822">
        <f>-647.996504241537 -78.6935536398369 -96.4067821619078</f>
        <v>-823.09684004328165</v>
      </c>
      <c r="D822">
        <f>-669.65008383724 -94.8224954890466 -209.044272480356</f>
        <v>-973.51685180664253</v>
      </c>
      <c r="E822">
        <f>-677.644455323299 -99.0803151255936 -307.251285140168</f>
        <v>-1083.9760555890607</v>
      </c>
      <c r="F822">
        <f>-680.96515466099 -99.5132892945423 -396.285160744769</f>
        <v>-1176.7636047003014</v>
      </c>
      <c r="G822">
        <f>-679.928413368816 -96.5487517094325 -485.326613388946</f>
        <v>-1261.8037784671944</v>
      </c>
      <c r="H822">
        <f>-673.811525498528 -88.9812560469984 -609.528572258107</f>
        <v>-1372.3213538036334</v>
      </c>
      <c r="I822">
        <f>-645.69676670553 -71.39360248143 -685.720814680048</f>
        <v>-1402.8111838670079</v>
      </c>
      <c r="J822">
        <f>-683.761309106477 -65.599877985698 -553.603341587899</f>
        <v>-1302.964528680074</v>
      </c>
      <c r="K822" t="s">
        <v>8097</v>
      </c>
      <c r="L822" t="s">
        <v>8098</v>
      </c>
      <c r="M822" t="s">
        <v>8099</v>
      </c>
      <c r="N822">
        <f>-669.245296567247 -119.022804667033 -556.143407347247</f>
        <v>-1344.411508581527</v>
      </c>
      <c r="O822">
        <f>-636.373085441777 -250.69564553664 -534.303209644012</f>
        <v>-1421.3719406224291</v>
      </c>
      <c r="P822">
        <f>-549.867678661618 -341.24504274465 -268.016158333211</f>
        <v>-1159.1288797394791</v>
      </c>
      <c r="Q822">
        <f>-479.199684949311 -192.56994782676 -443.949825849792</f>
        <v>-1115.7194586258629</v>
      </c>
      <c r="R822" t="s">
        <v>8100</v>
      </c>
      <c r="S822" t="s">
        <v>8101</v>
      </c>
      <c r="T822" t="s">
        <v>8102</v>
      </c>
      <c r="U822" t="s">
        <v>8103</v>
      </c>
      <c r="V822">
        <f>-609.022475166126 -165.372240774691 -92.8415303393879</f>
        <v>-867.23624628020491</v>
      </c>
      <c r="W822" t="s">
        <v>8104</v>
      </c>
      <c r="X822" t="s">
        <v>8105</v>
      </c>
      <c r="Y822" t="s">
        <v>8106</v>
      </c>
    </row>
    <row r="823" spans="1:25" x14ac:dyDescent="0.3">
      <c r="A823">
        <v>41100</v>
      </c>
      <c r="B823" t="s">
        <v>8107</v>
      </c>
      <c r="C823">
        <f>-647.326634656941 -78.8942803600607 -96.5788095101663</f>
        <v>-822.799724527168</v>
      </c>
      <c r="D823">
        <f>-668.933634322719 -94.9904803857969 -209.229906323062</f>
        <v>-973.15402103157783</v>
      </c>
      <c r="E823">
        <f>-676.975542584711 -99.2216018635179 -307.434199154802</f>
        <v>-1083.6313436030309</v>
      </c>
      <c r="F823">
        <f>-680.376648800475 -99.6276391956749 -396.465189644388</f>
        <v>-1176.4694776405379</v>
      </c>
      <c r="G823">
        <f>-679.459021785903 -96.6295358576638 -485.506720626909</f>
        <v>-1261.5952782704758</v>
      </c>
      <c r="H823">
        <f>-673.549880435538 -89.0057632178452 -609.715378822132</f>
        <v>-1372.2710224755151</v>
      </c>
      <c r="I823">
        <f>-645.909598790371 -71.2503625135791 -686.04224302925</f>
        <v>-1403.2022043332001</v>
      </c>
      <c r="J823">
        <f>-683.493497384628 -65.6733743088348 -553.768641262264</f>
        <v>-1302.9355129557268</v>
      </c>
      <c r="K823" t="s">
        <v>8108</v>
      </c>
      <c r="L823" t="s">
        <v>8109</v>
      </c>
      <c r="M823" t="s">
        <v>8110</v>
      </c>
      <c r="N823">
        <f>-668.806818783285 -119.047723333545 -556.346035151035</f>
        <v>-1344.2005772678651</v>
      </c>
      <c r="O823">
        <f>-635.421978551281 -250.602969838961 -534.533218500332</f>
        <v>-1420.5581668905741</v>
      </c>
      <c r="P823">
        <f>-551.835710878632 -341.691203815825 -267.49860135795</f>
        <v>-1161.0255160524071</v>
      </c>
      <c r="Q823">
        <f>-474.540075703196 -188.877274347362 -436.980662152984</f>
        <v>-1100.3980122035421</v>
      </c>
      <c r="R823" t="s">
        <v>8111</v>
      </c>
      <c r="S823" t="s">
        <v>8112</v>
      </c>
      <c r="T823" t="s">
        <v>8113</v>
      </c>
      <c r="U823" t="s">
        <v>8114</v>
      </c>
      <c r="V823">
        <f>-608.210637006925 -165.615819633139 -92.9649344080528</f>
        <v>-866.79139104811691</v>
      </c>
      <c r="W823" t="s">
        <v>8115</v>
      </c>
      <c r="X823" t="s">
        <v>8116</v>
      </c>
      <c r="Y823" t="s">
        <v>8117</v>
      </c>
    </row>
    <row r="824" spans="1:25" x14ac:dyDescent="0.3">
      <c r="A824">
        <v>41150</v>
      </c>
      <c r="B824" t="s">
        <v>8118</v>
      </c>
      <c r="C824">
        <f>-647.032621661926 -78.5563348854564 -96.6394855477961</f>
        <v>-822.22844209517848</v>
      </c>
      <c r="D824">
        <f>-668.630681805519 -94.5811093453933 -209.302535059307</f>
        <v>-972.51432621021922</v>
      </c>
      <c r="E824">
        <f>-676.681977736563 -98.7431070105388 -307.508920414362</f>
        <v>-1082.9340051614638</v>
      </c>
      <c r="F824">
        <f>-680.100533129449 -99.0815983175896 -396.539606141206</f>
        <v>-1175.7217375882447</v>
      </c>
      <c r="G824">
        <f>-679.2103553769 -96.0086324005397 -485.578951010226</f>
        <v>-1260.7979387876658</v>
      </c>
      <c r="H824">
        <f>-673.350991376799 -88.2707380650581 -609.782791128193</f>
        <v>-1371.4045205700502</v>
      </c>
      <c r="I824">
        <f>-645.922899178252 -70.3962099199787 -686.158297877766</f>
        <v>-1402.4774069759967</v>
      </c>
      <c r="J824">
        <f>-683.326504218603 -65.0044901712654 -553.814141956665</f>
        <v>-1302.1451363465335</v>
      </c>
      <c r="K824" t="s">
        <v>8119</v>
      </c>
      <c r="L824" t="s">
        <v>8120</v>
      </c>
      <c r="M824" t="s">
        <v>8121</v>
      </c>
      <c r="N824">
        <f>-668.532447315134 -118.346904010781 -556.439441829318</f>
        <v>-1343.3187931552329</v>
      </c>
      <c r="O824">
        <f>-634.83466546565 -249.83619308306 -534.703193228434</f>
        <v>-1419.3740517771439</v>
      </c>
      <c r="P824">
        <f>-552.755020386222 -340.636526065559 -267.103933692373</f>
        <v>-1160.495480144154</v>
      </c>
      <c r="Q824">
        <f>-472.25608179009 -185.59528165661 -433.034693400766</f>
        <v>-1090.8860568474661</v>
      </c>
      <c r="R824" t="s">
        <v>8122</v>
      </c>
      <c r="S824" t="s">
        <v>8123</v>
      </c>
      <c r="T824" t="s">
        <v>8124</v>
      </c>
      <c r="U824" t="s">
        <v>8125</v>
      </c>
      <c r="V824">
        <f>-607.936615955273 -165.176981253145 -93.0489398706176</f>
        <v>-866.16253707903559</v>
      </c>
      <c r="W824" t="s">
        <v>8126</v>
      </c>
      <c r="X824" t="s">
        <v>8127</v>
      </c>
      <c r="Y824" t="s">
        <v>8128</v>
      </c>
    </row>
    <row r="825" spans="1:25" x14ac:dyDescent="0.3">
      <c r="A825">
        <v>41200</v>
      </c>
      <c r="B825" t="s">
        <v>8129</v>
      </c>
      <c r="C825">
        <f>-646.452475419602 -77.325620049369 -96.7205914128753</f>
        <v>-820.49868688184631</v>
      </c>
      <c r="D825">
        <f>-667.997574667919 -93.1181971788656 -209.426470313523</f>
        <v>-970.54224216030752</v>
      </c>
      <c r="E825">
        <f>-676.015472725897 -97.0619819081849 -307.64472570334</f>
        <v>-1080.7221803374218</v>
      </c>
      <c r="F825">
        <f>-679.412606384526 -97.1911917775999 -396.67662609635</f>
        <v>-1173.2804242584759</v>
      </c>
      <c r="G825">
        <f>-678.512547767562 -93.8937787335688 -485.707866824789</f>
        <v>-1258.1141933259196</v>
      </c>
      <c r="H825">
        <f>-672.653509495944 -85.8231495215018 -609.890617056563</f>
        <v>-1368.3672760740087</v>
      </c>
      <c r="I825">
        <f>-645.542871009521 -67.7526714317239 -686.333367814534</f>
        <v>-1399.6289102557789</v>
      </c>
      <c r="J825">
        <f>-682.712888532104 -62.7302559855254 -553.865322060487</f>
        <v>-1299.3084665781164</v>
      </c>
      <c r="K825" t="s">
        <v>8130</v>
      </c>
      <c r="L825" t="s">
        <v>8131</v>
      </c>
      <c r="M825" t="s">
        <v>8132</v>
      </c>
      <c r="N825">
        <f>-667.750732145908 -116.019111879068 -556.62255017679</f>
        <v>-1340.3923942017659</v>
      </c>
      <c r="O825">
        <f>-633.44105599834 -247.383820689991 -535.057952255466</f>
        <v>-1415.882828943797</v>
      </c>
      <c r="P825">
        <f>-553.476804393104 -337.739574515914 -266.668773070014</f>
        <v>-1157.8851519790319</v>
      </c>
      <c r="Q825">
        <f>-466.72756272405 -178.1795114706 -424.991237933279</f>
        <v>-1069.8983121279291</v>
      </c>
      <c r="R825" t="s">
        <v>8133</v>
      </c>
      <c r="S825" t="s">
        <v>8134</v>
      </c>
      <c r="T825" t="s">
        <v>8135</v>
      </c>
      <c r="U825" t="s">
        <v>8136</v>
      </c>
      <c r="V825">
        <f>-607.519603867658 -164.001083373151 -93.2231346807406</f>
        <v>-864.74382192154962</v>
      </c>
      <c r="W825" t="s">
        <v>8137</v>
      </c>
      <c r="X825" t="s">
        <v>8138</v>
      </c>
      <c r="Y825" t="s">
        <v>8139</v>
      </c>
    </row>
    <row r="826" spans="1:25" x14ac:dyDescent="0.3">
      <c r="A826">
        <v>41250</v>
      </c>
      <c r="B826" t="s">
        <v>8140</v>
      </c>
      <c r="C826">
        <f>-646.152509160786 -76.287345662405 -96.7503715792047</f>
        <v>-819.19022640239575</v>
      </c>
      <c r="D826">
        <f>-667.656506547406 -91.9507521300893 -209.482160633931</f>
        <v>-969.08941931142635</v>
      </c>
      <c r="E826">
        <f>-675.637067204781 -95.7609351255771 -307.708647633001</f>
        <v>-1079.1066499633591</v>
      </c>
      <c r="F826">
        <f>-679.001514305597 -95.7585859532217 -396.741969474081</f>
        <v>-1171.5020697328996</v>
      </c>
      <c r="G826">
        <f>-678.070336194396 -92.3171048316956 -485.767429215973</f>
        <v>-1256.1548702420646</v>
      </c>
      <c r="H826">
        <f>-672.170568820438 -84.0315298382241 -609.934002047673</f>
        <v>-1366.1361007063351</v>
      </c>
      <c r="I826">
        <f>-645.182444295406 -65.8580837400889 -686.395756337378</f>
        <v>-1397.4362843728727</v>
      </c>
      <c r="J826">
        <f>-682.281209977259 -61.0448244173306 -553.874266974692</f>
        <v>-1297.2003013692815</v>
      </c>
      <c r="K826" t="s">
        <v>8141</v>
      </c>
      <c r="L826" t="s">
        <v>8142</v>
      </c>
      <c r="M826" t="s">
        <v>8143</v>
      </c>
      <c r="N826">
        <f>-667.25236941947 -114.310423682991 -556.714665968324</f>
        <v>-1338.277459070785</v>
      </c>
      <c r="O826">
        <f>-632.672782063364 -245.624823229699 -535.304534798095</f>
        <v>-1413.6021400911582</v>
      </c>
      <c r="P826">
        <f>-553.542799987363 -335.830027324341 -266.617659795758</f>
        <v>-1155.9904871074621</v>
      </c>
      <c r="Q826">
        <f>-463.886640898075 -173.820697727801 -420.778722158971</f>
        <v>-1058.486060784847</v>
      </c>
      <c r="R826" t="s">
        <v>8144</v>
      </c>
      <c r="S826" t="s">
        <v>8145</v>
      </c>
      <c r="T826" t="s">
        <v>8146</v>
      </c>
      <c r="U826" t="s">
        <v>8147</v>
      </c>
      <c r="V826">
        <f>-607.328131466088 -162.913112603902 -93.3051963414081</f>
        <v>-863.54644041139807</v>
      </c>
      <c r="W826" t="s">
        <v>8148</v>
      </c>
      <c r="X826" t="s">
        <v>8149</v>
      </c>
      <c r="Y826" t="s">
        <v>8150</v>
      </c>
    </row>
    <row r="827" spans="1:25" x14ac:dyDescent="0.3">
      <c r="A827">
        <v>41300</v>
      </c>
      <c r="B827" t="s">
        <v>8151</v>
      </c>
      <c r="C827">
        <f>-645.486745026995 -73.3509119395951 -96.726071044401</f>
        <v>-815.5637280109911</v>
      </c>
      <c r="D827">
        <f>-667.012227608461 -88.7775550027495 -209.486348052814</f>
        <v>-965.27613066402455</v>
      </c>
      <c r="E827">
        <f>-675.018031509859 -92.36851011159 -307.719137544196</f>
        <v>-1075.1056791656451</v>
      </c>
      <c r="F827">
        <f>-678.412241509615 -92.1564501505445 -396.751040746741</f>
        <v>-1167.3197324069006</v>
      </c>
      <c r="G827">
        <f>-677.519988121572 -88.4913728707372 -485.767891997376</f>
        <v>-1251.7792529896853</v>
      </c>
      <c r="H827">
        <f>-671.68583084279 -79.8758820851963 -609.915179084568</f>
        <v>-1361.4768920125543</v>
      </c>
      <c r="I827">
        <f>-644.940845243026 -61.5989467997031 -686.437674809575</f>
        <v>-1392.9774668523041</v>
      </c>
      <c r="J827">
        <f>-681.811010173784 -57.0504120784412 -553.792230762041</f>
        <v>-1292.6536530142662</v>
      </c>
      <c r="K827" t="s">
        <v>8152</v>
      </c>
      <c r="L827" t="s">
        <v>8153</v>
      </c>
      <c r="M827" t="s">
        <v>8154</v>
      </c>
      <c r="N827">
        <f>-666.695300652462 -110.283825048712 -556.776103975814</f>
        <v>-1333.7552296769882</v>
      </c>
      <c r="O827">
        <f>-631.67065326061 -241.508087197378 -535.520934201029</f>
        <v>-1408.6996746590171</v>
      </c>
      <c r="P827">
        <f>-553.524240544988 -330.789029137179 -266.238106004278</f>
        <v>-1150.551375686445</v>
      </c>
      <c r="Q827">
        <f>-458.632141736907 -163.67017542523 -411.557445935677</f>
        <v>-1033.859763097814</v>
      </c>
      <c r="R827" t="s">
        <v>8155</v>
      </c>
      <c r="S827" t="s">
        <v>8156</v>
      </c>
      <c r="T827" t="s">
        <v>8157</v>
      </c>
      <c r="U827" t="s">
        <v>8158</v>
      </c>
      <c r="V827">
        <f>-606.75068547064 -160.149599034516 -93.4005346134981</f>
        <v>-860.30081911865398</v>
      </c>
      <c r="W827" t="s">
        <v>8159</v>
      </c>
      <c r="X827" t="s">
        <v>8160</v>
      </c>
      <c r="Y827" t="s">
        <v>8161</v>
      </c>
    </row>
    <row r="828" spans="1:25" x14ac:dyDescent="0.3">
      <c r="A828">
        <v>41350</v>
      </c>
      <c r="B828" t="s">
        <v>8162</v>
      </c>
      <c r="C828">
        <f>-645.021980734571 -71.8563221956949 -96.6816632734186</f>
        <v>-813.55996620368455</v>
      </c>
      <c r="D828">
        <f>-666.547222422559 -87.1487443042045 -209.460375792633</f>
        <v>-963.1563425193965</v>
      </c>
      <c r="E828">
        <f>-674.556154955969 -90.6289065740607 -307.696860289962</f>
        <v>-1072.8819218199917</v>
      </c>
      <c r="F828">
        <f>-677.957593975102 -90.3152148319148 -396.728059600869</f>
        <v>-1165.0008684078857</v>
      </c>
      <c r="G828">
        <f>-677.078753153735 -86.5452112499663 -485.740772426629</f>
        <v>-1249.3647368303302</v>
      </c>
      <c r="H828">
        <f>-671.271129922284 -77.7779169608523 -609.878620091017</f>
        <v>-1358.9276669741532</v>
      </c>
      <c r="I828">
        <f>-644.65536412448 -59.4815189535291 -686.441549625587</f>
        <v>-1390.578432703596</v>
      </c>
      <c r="J828">
        <f>-681.402108530963 -55.0261699351829 -553.726789531733</f>
        <v>-1290.1550679978789</v>
      </c>
      <c r="K828" t="s">
        <v>8163</v>
      </c>
      <c r="L828" t="s">
        <v>8164</v>
      </c>
      <c r="M828" t="s">
        <v>8165</v>
      </c>
      <c r="N828">
        <f>-666.251411137855 -108.245674050597 -556.776736506259</f>
        <v>-1331.2738216947109</v>
      </c>
      <c r="O828">
        <f>-630.990116364256 -239.406941970485 -535.583178417275</f>
        <v>-1405.980236752016</v>
      </c>
      <c r="P828">
        <f>-553.292119543357 -328.564302850693 -266.129595924012</f>
        <v>-1147.986018318062</v>
      </c>
      <c r="Q828">
        <f>-456.104702255631 -158.796036564939 -406.785989376978</f>
        <v>-1021.6867281975481</v>
      </c>
      <c r="R828" t="s">
        <v>8166</v>
      </c>
      <c r="S828" t="s">
        <v>8167</v>
      </c>
      <c r="T828" t="s">
        <v>8168</v>
      </c>
      <c r="U828" t="s">
        <v>8169</v>
      </c>
      <c r="V828">
        <f>-606.379186528042 -158.766004251088 -93.4471701282372</f>
        <v>-858.59236090736727</v>
      </c>
      <c r="W828" t="s">
        <v>8170</v>
      </c>
      <c r="X828" t="s">
        <v>8171</v>
      </c>
      <c r="Y828" t="s">
        <v>8172</v>
      </c>
    </row>
    <row r="829" spans="1:25" x14ac:dyDescent="0.3">
      <c r="A829">
        <v>41400</v>
      </c>
      <c r="B829" t="s">
        <v>8173</v>
      </c>
      <c r="C829">
        <f>-643.987107189957 -68.3346340898834 -96.6367137638192</f>
        <v>-808.95845504365957</v>
      </c>
      <c r="D829">
        <f>-665.566761972192 -83.3322620290958 -209.444485766188</f>
        <v>-958.34350976747578</v>
      </c>
      <c r="E829">
        <f>-673.631161263868 -86.6042949973757 -307.683624288331</f>
        <v>-1067.9190805495746</v>
      </c>
      <c r="F829">
        <f>-677.091829860122 -86.1153233595694 -396.711901331308</f>
        <v>-1159.9190545509994</v>
      </c>
      <c r="G829">
        <f>-676.283483641887 -82.1805903428067 -485.718108353352</f>
        <v>-1244.1821823380455</v>
      </c>
      <c r="H829">
        <f>-670.588928372031 -73.1915220524584 -609.845323200816</f>
        <v>-1353.6257736253053</v>
      </c>
      <c r="I829">
        <f>-644.232825945001 -54.9530525802984 -686.511760311308</f>
        <v>-1385.6976388366074</v>
      </c>
      <c r="J829">
        <f>-680.676661323698 -50.5424029627357 -553.644236819855</f>
        <v>-1284.8633011062886</v>
      </c>
      <c r="K829" t="s">
        <v>8174</v>
      </c>
      <c r="L829" t="s">
        <v>8175</v>
      </c>
      <c r="M829" t="s">
        <v>8176</v>
      </c>
      <c r="N829">
        <f>-665.512987651995 -103.751981857239 -556.801910209509</f>
        <v>-1326.0668797187429</v>
      </c>
      <c r="O829">
        <f>-629.96060116303 -234.86103179199 -535.679789292098</f>
        <v>-1400.5014222471182</v>
      </c>
      <c r="P829">
        <f>-553.264962425492 -323.765469059307 -265.855860006324</f>
        <v>-1142.8862914911231</v>
      </c>
      <c r="Q829">
        <f>-451.658889232592 -148.825666194175 -396.711244722931</f>
        <v>-997.19580014969802</v>
      </c>
      <c r="R829" t="s">
        <v>8177</v>
      </c>
      <c r="S829" t="s">
        <v>8178</v>
      </c>
      <c r="T829" t="s">
        <v>8179</v>
      </c>
      <c r="U829" t="s">
        <v>8180</v>
      </c>
      <c r="V829">
        <f>-605.560611084972 -155.433897673565 -93.5285268668885</f>
        <v>-854.52303562542545</v>
      </c>
      <c r="W829" t="s">
        <v>8181</v>
      </c>
      <c r="X829" t="s">
        <v>8182</v>
      </c>
      <c r="Y829" t="s">
        <v>8183</v>
      </c>
    </row>
    <row r="830" spans="1:25" x14ac:dyDescent="0.3">
      <c r="A830">
        <v>41450</v>
      </c>
      <c r="B830" t="s">
        <v>8184</v>
      </c>
      <c r="C830">
        <f>-643.569692169935 -66.4412146469554 -96.5622672832827</f>
        <v>-806.57317410017311</v>
      </c>
      <c r="D830">
        <f>-665.169224643307 -81.259195224475 -209.389980392488</f>
        <v>-955.81840026026998</v>
      </c>
      <c r="E830">
        <f>-673.262663741479 -84.4139656224634 -307.630600286405</f>
        <v>-1065.3072296503474</v>
      </c>
      <c r="F830">
        <f>-676.758116147698 -83.830377346377 -396.656917168765</f>
        <v>-1157.24541066284</v>
      </c>
      <c r="G830">
        <f>-675.995433736614 -79.8106973630945 -485.659814711136</f>
        <v>-1241.4659458108445</v>
      </c>
      <c r="H830">
        <f>-670.376904011156 -70.7108869620004 -609.782311431664</f>
        <v>-1350.8701024048203</v>
      </c>
      <c r="I830">
        <f>-644.163406898028 -52.5351083871808 -686.512611483315</f>
        <v>-1383.2111267685239</v>
      </c>
      <c r="J830">
        <f>-680.440315981758 -48.1146721079831 -553.555491877051</f>
        <v>-1282.1104799667921</v>
      </c>
      <c r="K830" t="s">
        <v>8185</v>
      </c>
      <c r="L830" t="s">
        <v>8186</v>
      </c>
      <c r="M830" t="s">
        <v>8187</v>
      </c>
      <c r="N830">
        <f>-665.258189534388 -101.315752091434 -556.768754688819</f>
        <v>-1323.3426963146408</v>
      </c>
      <c r="O830">
        <f>-629.557014310166 -232.383886914121 -535.69864958151</f>
        <v>-1397.6395508057972</v>
      </c>
      <c r="P830">
        <f>-553.547867631366 -321.55834770721 -265.769488002846</f>
        <v>-1140.875703341422</v>
      </c>
      <c r="Q830">
        <f>-450.015775015845 -143.683252265008 -391.03890919897</f>
        <v>-984.73793647982302</v>
      </c>
      <c r="R830" t="s">
        <v>8188</v>
      </c>
      <c r="S830" t="s">
        <v>8189</v>
      </c>
      <c r="T830" t="s">
        <v>8190</v>
      </c>
      <c r="U830" t="s">
        <v>8191</v>
      </c>
      <c r="V830">
        <f>-605.248509221933 -153.655164707422 -93.5492554578002</f>
        <v>-852.45292938715511</v>
      </c>
      <c r="W830" t="s">
        <v>8192</v>
      </c>
      <c r="X830" t="s">
        <v>8193</v>
      </c>
      <c r="Y830" t="s">
        <v>8194</v>
      </c>
    </row>
    <row r="831" spans="1:25" x14ac:dyDescent="0.3">
      <c r="A831">
        <v>41500</v>
      </c>
      <c r="B831" t="s">
        <v>8195</v>
      </c>
      <c r="C831">
        <f>-642.717587903092 -62.7378255676203 -96.2937915519079</f>
        <v>-801.74920502262023</v>
      </c>
      <c r="D831">
        <f>-664.475868276991 -77.2477757531365 -209.131052549284</f>
        <v>-950.85469657941144</v>
      </c>
      <c r="E831">
        <f>-672.683764134089 -80.1956934445946 -307.368568611857</f>
        <v>-1060.2480261905405</v>
      </c>
      <c r="F831">
        <f>-676.279417286985 -79.4433218399492 -396.389639909543</f>
        <v>-1152.1123790364773</v>
      </c>
      <c r="G831">
        <f>-675.615890574395 -75.2715049789767 -485.386311101421</f>
        <v>-1236.2737066547927</v>
      </c>
      <c r="H831">
        <f>-670.137367657548 -65.9739135214327 -609.500557771278</f>
        <v>-1345.6118389502585</v>
      </c>
      <c r="I831">
        <f>-644.176149161014 -48.0238431884611 -686.36950335731</f>
        <v>-1378.5694957067851</v>
      </c>
      <c r="J831">
        <f>-680.126360956885 -43.4642274950627 -553.225842490998</f>
        <v>-1276.8164309429458</v>
      </c>
      <c r="K831" t="s">
        <v>8196</v>
      </c>
      <c r="L831" t="s">
        <v>8197</v>
      </c>
      <c r="M831" t="s">
        <v>8198</v>
      </c>
      <c r="N831">
        <f>-664.970014084407 -96.6662086741042 -556.542158666588</f>
        <v>-1318.1783814250991</v>
      </c>
      <c r="O831">
        <f>-629.136412905977 -227.720872299061 -535.568034675542</f>
        <v>-1392.42531988058</v>
      </c>
      <c r="P831">
        <f>-554.778926202386 -317.417526269883 -265.352151463014</f>
        <v>-1137.5486039352829</v>
      </c>
      <c r="Q831">
        <f>-447.713177432816 -134.414307577045 -379.797202098314</f>
        <v>-961.92468710817502</v>
      </c>
      <c r="R831" t="s">
        <v>8199</v>
      </c>
      <c r="S831" t="s">
        <v>8200</v>
      </c>
      <c r="T831" t="s">
        <v>8201</v>
      </c>
      <c r="U831" t="s">
        <v>8202</v>
      </c>
      <c r="V831">
        <f>-604.449016162036 -150.311355041575 -93.4911278594213</f>
        <v>-848.25149906303227</v>
      </c>
      <c r="W831" t="s">
        <v>8203</v>
      </c>
      <c r="X831" t="s">
        <v>8204</v>
      </c>
      <c r="Y831" t="s">
        <v>8205</v>
      </c>
    </row>
    <row r="832" spans="1:25" x14ac:dyDescent="0.3">
      <c r="A832">
        <v>41550</v>
      </c>
      <c r="B832" t="s">
        <v>8206</v>
      </c>
      <c r="C832">
        <f>-642.18579392708 -60.9681787987854 -96.1439569672608</f>
        <v>-799.29792969312621</v>
      </c>
      <c r="D832">
        <f>-664.016799172557 -75.3305523133718 -208.986067065413</f>
        <v>-948.33341855134177</v>
      </c>
      <c r="E832">
        <f>-672.26970328014 -78.1692403874815 -307.222966427879</f>
        <v>-1057.6619100955004</v>
      </c>
      <c r="F832">
        <f>-675.900734975776 -77.3234081120011 -396.241662020317</f>
        <v>-1149.4658051080942</v>
      </c>
      <c r="G832">
        <f>-675.267811984483 -73.0635988922152 -485.23440250242</f>
        <v>-1233.5658133791183</v>
      </c>
      <c r="H832">
        <f>-669.82785169698 -63.6485322643168 -609.341616845396</f>
        <v>-1342.8180008066929</v>
      </c>
      <c r="I832">
        <f>-643.978342214848 -45.8517812377702 -686.283800106121</f>
        <v>-1376.1139235587393</v>
      </c>
      <c r="J832">
        <f>-679.767700226037 -41.1832966834218 -553.04028727334</f>
        <v>-1273.9912841827988</v>
      </c>
      <c r="K832" t="s">
        <v>8207</v>
      </c>
      <c r="L832" t="s">
        <v>8208</v>
      </c>
      <c r="M832" t="s">
        <v>8209</v>
      </c>
      <c r="N832">
        <f>-664.675769366736 -94.3998547633282 -556.41594258698</f>
        <v>-1315.4915667170442</v>
      </c>
      <c r="O832">
        <f>-628.865175813605 -225.464330134437 -535.537542603969</f>
        <v>-1389.8670485520111</v>
      </c>
      <c r="P832">
        <f>-555.536809449778 -315.507433666989 -265.155671523659</f>
        <v>-1136.1999146404262</v>
      </c>
      <c r="Q832">
        <f>-446.86354254829 -130.336885608396 -374.484847039476</f>
        <v>-951.68527519616202</v>
      </c>
      <c r="R832" t="s">
        <v>8210</v>
      </c>
      <c r="S832" t="s">
        <v>8211</v>
      </c>
      <c r="T832" t="s">
        <v>8212</v>
      </c>
      <c r="U832" t="s">
        <v>8213</v>
      </c>
      <c r="V832">
        <f>-604.042689705591 -148.601429244491 -93.4612978015577</f>
        <v>-846.10541675163972</v>
      </c>
      <c r="W832" t="s">
        <v>8214</v>
      </c>
      <c r="X832" t="s">
        <v>8215</v>
      </c>
      <c r="Y832" t="s">
        <v>8216</v>
      </c>
    </row>
    <row r="833" spans="1:25" x14ac:dyDescent="0.3">
      <c r="A833">
        <v>41600</v>
      </c>
      <c r="B833" t="s">
        <v>8217</v>
      </c>
      <c r="C833">
        <f>-641.14734074975 -57.3484326740595 -95.9016990660685</f>
        <v>-794.39747248987806</v>
      </c>
      <c r="D833">
        <f>-663.057816413957 -71.3883475711457 -208.768941907207</f>
        <v>-943.21510589230968</v>
      </c>
      <c r="E833">
        <f>-671.376336033196 -73.9764938183375 -307.007343337827</f>
        <v>-1052.3601731893605</v>
      </c>
      <c r="F833">
        <f>-675.067449551934 -72.912289838097 -396.021328682238</f>
        <v>-1144.0010680722689</v>
      </c>
      <c r="G833">
        <f>-674.495094131449 -68.4442223694855 -485.004085623792</f>
        <v>-1227.9434021247266</v>
      </c>
      <c r="H833">
        <f>-669.140208519272 -58.7491164993107 -609.093415376221</f>
        <v>-1336.9827403948038</v>
      </c>
      <c r="I833">
        <f>-643.503008437538 -41.3910240283108 -686.206607830835</f>
        <v>-1371.1006402966837</v>
      </c>
      <c r="J833">
        <f>-678.917581677309 -36.3768080639843 -552.726828728478</f>
        <v>-1268.0212184697714</v>
      </c>
      <c r="K833" t="s">
        <v>8218</v>
      </c>
      <c r="L833" t="s">
        <v>8219</v>
      </c>
      <c r="M833" t="s">
        <v>8220</v>
      </c>
      <c r="N833">
        <f>-664.075581638714 -89.6542036370586 -556.2487797267</f>
        <v>-1309.9785650024726</v>
      </c>
      <c r="O833">
        <f>-628.761889875167 -220.900379276075 -535.59990770257</f>
        <v>-1385.262176853812</v>
      </c>
      <c r="P833">
        <f>-557.792122781733 -310.971262196398 -264.598567871741</f>
        <v>-1133.3619528498721</v>
      </c>
      <c r="Q833">
        <f>-445.166139924971 -123.138367681714 -365.02273816081</f>
        <v>-933.32724576749501</v>
      </c>
      <c r="R833" t="s">
        <v>8221</v>
      </c>
      <c r="S833" t="s">
        <v>8222</v>
      </c>
      <c r="T833" t="s">
        <v>8223</v>
      </c>
      <c r="U833" t="s">
        <v>8224</v>
      </c>
      <c r="V833">
        <f>-603.388106499963 -145.155328852837 -93.368775643998</f>
        <v>-841.91221099679797</v>
      </c>
      <c r="W833" t="s">
        <v>8225</v>
      </c>
      <c r="X833" t="s">
        <v>8226</v>
      </c>
      <c r="Y833" t="s">
        <v>8227</v>
      </c>
    </row>
    <row r="834" spans="1:25" x14ac:dyDescent="0.3">
      <c r="A834">
        <v>41650</v>
      </c>
      <c r="B834" t="s">
        <v>8228</v>
      </c>
      <c r="C834">
        <f>-640.70626098051 -55.4019522084568 -95.7933924758855</f>
        <v>-791.90160566485235</v>
      </c>
      <c r="D834">
        <f>-662.654729328792 -69.2532918151815 -208.676557047341</f>
        <v>-940.58457819131445</v>
      </c>
      <c r="E834">
        <f>-670.978575233041 -71.6943296662789 -306.918241423758</f>
        <v>-1049.591146323078</v>
      </c>
      <c r="F834">
        <f>-674.664960942437 -70.5015717610313 -395.930887370488</f>
        <v>-1141.0974200739563</v>
      </c>
      <c r="G834">
        <f>-674.078160517119 -65.9111887822232 -484.907360555117</f>
        <v>-1224.8967098544592</v>
      </c>
      <c r="H834">
        <f>-668.693833087259 -56.0513554588799 -608.982313634007</f>
        <v>-1333.7275021801461</v>
      </c>
      <c r="I834">
        <f>-643.131077752065 -38.9406021606658 -686.175570230996</f>
        <v>-1368.2472501437269</v>
      </c>
      <c r="J834">
        <f>-678.409370671036 -33.7333283852986 -552.583451452656</f>
        <v>-1264.7261505089905</v>
      </c>
      <c r="K834" t="s">
        <v>8229</v>
      </c>
      <c r="L834" t="s">
        <v>8230</v>
      </c>
      <c r="M834" t="s">
        <v>8231</v>
      </c>
      <c r="N834">
        <f>-663.716933356435 -87.0469467985465 -556.182619629406</f>
        <v>-1306.9464997843875</v>
      </c>
      <c r="O834">
        <f>-628.714337556228 -218.38132978957 -535.61443675377</f>
        <v>-1382.7101040995681</v>
      </c>
      <c r="P834">
        <f>-559.105017605618 -308.695656829856 -264.341400968544</f>
        <v>-1132.1420754040178</v>
      </c>
      <c r="Q834">
        <f>-444.65558261635 -120.026536369547 -361.068683172203</f>
        <v>-925.75080215809999</v>
      </c>
      <c r="R834" t="s">
        <v>8232</v>
      </c>
      <c r="S834" t="s">
        <v>8233</v>
      </c>
      <c r="T834" t="s">
        <v>8234</v>
      </c>
      <c r="U834" t="s">
        <v>8235</v>
      </c>
      <c r="V834">
        <f>-603.210481599415 -143.301807056634 -93.3486937869274</f>
        <v>-839.86098244297625</v>
      </c>
      <c r="W834" t="s">
        <v>8236</v>
      </c>
      <c r="X834" t="s">
        <v>8237</v>
      </c>
      <c r="Y834" t="s">
        <v>8238</v>
      </c>
    </row>
    <row r="835" spans="1:25" x14ac:dyDescent="0.3">
      <c r="A835">
        <v>41700</v>
      </c>
      <c r="B835" t="s">
        <v>8239</v>
      </c>
      <c r="C835">
        <f>-640.417005393246 -51.4301414098118 -95.5499227041374</f>
        <v>-787.39706950719517</v>
      </c>
      <c r="D835">
        <f>-662.511456401564 -64.9447401067362 -208.445370455076</f>
        <v>-935.90156696337613</v>
      </c>
      <c r="E835">
        <f>-670.859102710967 -67.1068744321897 -306.69156566291</f>
        <v>-1044.6575428060667</v>
      </c>
      <c r="F835">
        <f>-674.528153128488 -65.6641715576211 -395.701144563238</f>
        <v>-1135.8934692493472</v>
      </c>
      <c r="G835">
        <f>-673.885611853978 -60.828520287919 -484.664293489883</f>
        <v>-1219.3784256317799</v>
      </c>
      <c r="H835">
        <f>-668.383371234561 -50.6320551215185 -608.706988551068</f>
        <v>-1327.7224149071476</v>
      </c>
      <c r="I835">
        <f>-642.946576571607 -34.0851651541839 -686.064495092023</f>
        <v>-1363.0962368178139</v>
      </c>
      <c r="J835">
        <f>-678.011522005421 -28.429245741348 -552.247643127503</f>
        <v>-1258.688410874272</v>
      </c>
      <c r="K835" t="s">
        <v>8240</v>
      </c>
      <c r="L835" t="s">
        <v>8241</v>
      </c>
      <c r="M835" t="s">
        <v>8242</v>
      </c>
      <c r="N835">
        <f>-663.597725937894 -81.8086339396946 -555.996137526624</f>
        <v>-1301.4024974042127</v>
      </c>
      <c r="O835">
        <f>-629.283787709553 -213.356141864744 -535.5784168828</f>
        <v>-1378.2183464570971</v>
      </c>
      <c r="P835">
        <f>-562.554718446171 -303.927253925589 -263.667958715935</f>
        <v>-1130.1499310876952</v>
      </c>
      <c r="Q835">
        <f>-444.805398758517 -114.408942172579 -354.600726432242</f>
        <v>-913.81506736333802</v>
      </c>
      <c r="R835" t="s">
        <v>8243</v>
      </c>
      <c r="S835" t="s">
        <v>8244</v>
      </c>
      <c r="T835" t="s">
        <v>8245</v>
      </c>
      <c r="U835" t="s">
        <v>8246</v>
      </c>
      <c r="V835">
        <f>-603.330758016134 -139.610213536444 -93.2740038410155</f>
        <v>-836.21497539359359</v>
      </c>
      <c r="W835" t="s">
        <v>8247</v>
      </c>
      <c r="X835" t="s">
        <v>8248</v>
      </c>
      <c r="Y835" t="s">
        <v>8249</v>
      </c>
    </row>
    <row r="836" spans="1:25" x14ac:dyDescent="0.3">
      <c r="A836">
        <v>41750</v>
      </c>
      <c r="B836" t="s">
        <v>8250</v>
      </c>
      <c r="C836">
        <f>-640.437173853147 -49.5168424045978 -95.4413055621236</f>
        <v>-785.3953218198684</v>
      </c>
      <c r="D836">
        <f>-662.592918508953 -62.8872326359817 -208.341980714406</f>
        <v>-933.82213185934063</v>
      </c>
      <c r="E836">
        <f>-670.966607329728 -64.9307763044415 -306.588450455716</f>
        <v>-1042.4858340898854</v>
      </c>
      <c r="F836">
        <f>-674.649606983078 -63.3817947289817 -395.59573791104</f>
        <v>-1133.6271396230998</v>
      </c>
      <c r="G836">
        <f>-674.01103908334 -58.4418741976076 -484.553107303228</f>
        <v>-1217.0060205841755</v>
      </c>
      <c r="H836">
        <f>-668.504913956812 -48.1019868386682 -608.583677981417</f>
        <v>-1325.1905787768972</v>
      </c>
      <c r="I836">
        <f>-643.15216933154 -31.8639384320409 -686.034317724449</f>
        <v>-1361.0504254880298</v>
      </c>
      <c r="J836">
        <f>-678.076926121354 -25.9492938913975 -552.095258524453</f>
        <v>-1256.1214785372044</v>
      </c>
      <c r="K836" t="s">
        <v>8251</v>
      </c>
      <c r="L836" t="s">
        <v>8252</v>
      </c>
      <c r="M836" t="s">
        <v>8253</v>
      </c>
      <c r="N836">
        <f>-663.778750445541 -79.3548304113408 -555.912749761024</f>
        <v>-1299.0463306179058</v>
      </c>
      <c r="O836">
        <f>-629.795167316928 -210.975536892029 -535.516276020625</f>
        <v>-1376.286980229582</v>
      </c>
      <c r="P836">
        <f>-564.612700554665 -301.755355292337 -263.300485710053</f>
        <v>-1129.6685415570551</v>
      </c>
      <c r="Q836">
        <f>-445.241124405493 -112.256621003469 -352.134674241234</f>
        <v>-909.63241965019597</v>
      </c>
      <c r="R836" t="s">
        <v>8254</v>
      </c>
      <c r="S836" t="s">
        <v>8255</v>
      </c>
      <c r="T836" t="s">
        <v>8256</v>
      </c>
      <c r="U836" t="s">
        <v>8257</v>
      </c>
      <c r="V836">
        <f>-603.455599083062 -137.828044510971 -93.2537682198175</f>
        <v>-834.53741181385055</v>
      </c>
      <c r="W836" t="s">
        <v>8258</v>
      </c>
      <c r="X836" t="s">
        <v>8259</v>
      </c>
      <c r="Y836" t="s">
        <v>8260</v>
      </c>
    </row>
    <row r="837" spans="1:25" x14ac:dyDescent="0.3">
      <c r="A837">
        <v>41800</v>
      </c>
      <c r="B837" t="s">
        <v>8261</v>
      </c>
      <c r="C837">
        <f>-640.524774227905 -45.9446626516103 -95.2312982378543</f>
        <v>-781.70073511736962</v>
      </c>
      <c r="D837">
        <f>-662.784890081642 -59.0352674651022 -208.144259077465</f>
        <v>-929.96441662420909</v>
      </c>
      <c r="E837">
        <f>-671.232029996541 -60.8984271383401 -306.388045123906</f>
        <v>-1038.5185022587871</v>
      </c>
      <c r="F837">
        <f>-674.977405134029 -59.2083927396782 -395.389998653236</f>
        <v>-1129.5757965269431</v>
      </c>
      <c r="G837">
        <f>-674.397986308473 -54.1503069767423 -484.34134375926</f>
        <v>-1212.8896370444754</v>
      </c>
      <c r="H837">
        <f>-668.97155455126 -43.6692566993968 -608.363412264936</f>
        <v>-1321.0042235155929</v>
      </c>
      <c r="I837">
        <f>-643.726084238725 -28.0681771061452 -685.97985821902</f>
        <v>-1357.7741195638901</v>
      </c>
      <c r="J837">
        <f>-678.418746709695 -21.5577696999312 -551.837906436752</f>
        <v>-1251.8144228463782</v>
      </c>
      <c r="K837" t="s">
        <v>8262</v>
      </c>
      <c r="L837" t="s">
        <v>8263</v>
      </c>
      <c r="M837" t="s">
        <v>8264</v>
      </c>
      <c r="N837">
        <f>-664.30018235621 -75.0051024996026 -555.737049152674</f>
        <v>-1295.0423340084867</v>
      </c>
      <c r="O837">
        <f>-630.906818460589 -206.783469551931 -535.313048317416</f>
        <v>-1373.003336329936</v>
      </c>
      <c r="P837">
        <f>-568.651326562489 -297.586367665316 -262.420533917438</f>
        <v>-1128.6582281452429</v>
      </c>
      <c r="Q837">
        <f>-447.299945253706 -108.180447363913 -348.734327733737</f>
        <v>-904.21472035135605</v>
      </c>
      <c r="R837" t="s">
        <v>8265</v>
      </c>
      <c r="S837" t="s">
        <v>8266</v>
      </c>
      <c r="T837" t="s">
        <v>8267</v>
      </c>
      <c r="U837" t="s">
        <v>8268</v>
      </c>
      <c r="V837">
        <f>-603.810897309423 -134.459994658369 -93.199133237332</f>
        <v>-831.4700252051241</v>
      </c>
      <c r="W837" t="s">
        <v>8269</v>
      </c>
      <c r="X837" t="s">
        <v>8270</v>
      </c>
      <c r="Y837" t="s">
        <v>8271</v>
      </c>
    </row>
    <row r="838" spans="1:25" x14ac:dyDescent="0.3">
      <c r="A838">
        <v>41850</v>
      </c>
      <c r="B838" t="s">
        <v>8272</v>
      </c>
      <c r="C838">
        <f>-640.666557861704 -44.1816804365603 -95.1020551550534</f>
        <v>-779.95029345331773</v>
      </c>
      <c r="D838">
        <f>-662.962548260424 -57.1466490689852 -208.022510929413</f>
        <v>-928.13170825882219</v>
      </c>
      <c r="E838">
        <f>-671.451601526077 -58.9469814543752 -306.263678186691</f>
        <v>-1036.6622611671432</v>
      </c>
      <c r="F838">
        <f>-675.240953826673 -57.2168662898555 -395.263118606296</f>
        <v>-1127.7209387228245</v>
      </c>
      <c r="G838">
        <f>-674.711953725361 -52.1357661080226 -484.213385970991</f>
        <v>-1211.0611058043746</v>
      </c>
      <c r="H838">
        <f>-669.363604964051 -41.6395674921118 -608.237616570437</f>
        <v>-1319.2407890265999</v>
      </c>
      <c r="I838">
        <f>-644.125986884475 -26.3405091856941 -685.916669308369</f>
        <v>-1356.3831653785383</v>
      </c>
      <c r="J838">
        <f>-678.747449349051 -19.5277700020663 -551.701625009756</f>
        <v>-1249.9768443608732</v>
      </c>
      <c r="K838" t="s">
        <v>8273</v>
      </c>
      <c r="L838" t="s">
        <v>8274</v>
      </c>
      <c r="M838" t="s">
        <v>8275</v>
      </c>
      <c r="N838">
        <f>-664.686775818273 -72.9890866451874 -555.619785203133</f>
        <v>-1293.2956476665934</v>
      </c>
      <c r="O838">
        <f>-631.513111477745 -204.805196596644 -535.118275959584</f>
        <v>-1371.4365840339731</v>
      </c>
      <c r="P838">
        <f>-570.498504543788 -295.567898442568 -261.932423141329</f>
        <v>-1127.9988261276851</v>
      </c>
      <c r="Q838">
        <f>-448.361315601721 -106.179846111825 -347.170798230981</f>
        <v>-901.71195994452705</v>
      </c>
      <c r="R838" t="s">
        <v>8276</v>
      </c>
      <c r="S838" t="s">
        <v>8277</v>
      </c>
      <c r="T838" t="s">
        <v>8278</v>
      </c>
      <c r="U838" t="s">
        <v>8279</v>
      </c>
      <c r="V838">
        <f>-604.02456462174 -132.771847136587 -93.1559655381948</f>
        <v>-829.95237729652172</v>
      </c>
      <c r="W838" t="s">
        <v>8280</v>
      </c>
      <c r="X838" t="s">
        <v>8281</v>
      </c>
      <c r="Y838" t="s">
        <v>8282</v>
      </c>
    </row>
    <row r="839" spans="1:25" x14ac:dyDescent="0.3">
      <c r="A839">
        <v>41900</v>
      </c>
      <c r="B839" t="s">
        <v>8283</v>
      </c>
      <c r="C839">
        <f>-640.859598943269 -42.3877641778715 -94.9504555659651</f>
        <v>-778.19781868710561</v>
      </c>
      <c r="D839">
        <f>-663.215481357714 -55.2509749894202 -207.870569610788</f>
        <v>-926.33702595792226</v>
      </c>
      <c r="E839">
        <f>-671.713237434952 -57.0257625473428 -306.11168983238</f>
        <v>-1034.8506898146748</v>
      </c>
      <c r="F839">
        <f>-675.494542355665 -55.2973217161848 -395.111370573219</f>
        <v>-1125.9032346450688</v>
      </c>
      <c r="G839">
        <f>-674.942885653775 -50.2429594783034 -484.062998695092</f>
        <v>-1209.2488438271703</v>
      </c>
      <c r="H839">
        <f>-669.548113947062 -39.8108050615413 -608.090831220743</f>
        <v>-1317.4497502293461</v>
      </c>
      <c r="I839">
        <f>-644.24174653358 -24.8205244494727 -685.807633872781</f>
        <v>-1354.8699048558337</v>
      </c>
      <c r="J839">
        <f>-678.923609319006 -17.6621601799823 -551.567760312673</f>
        <v>-1248.1535298116614</v>
      </c>
      <c r="K839" t="s">
        <v>8284</v>
      </c>
      <c r="L839" t="s">
        <v>8285</v>
      </c>
      <c r="M839" t="s">
        <v>8286</v>
      </c>
      <c r="N839">
        <f>-664.920574213761 -71.1406843898571 -555.456850909224</f>
        <v>-1291.5181095128423</v>
      </c>
      <c r="O839">
        <f>-631.914874544065 -202.972283355909 -534.813351175</f>
        <v>-1369.700509074974</v>
      </c>
      <c r="P839">
        <f>-571.977037438008 -293.554782967309 -261.329383730722</f>
        <v>-1126.8612041360389</v>
      </c>
      <c r="Q839">
        <f>-449.219005899718 -104.200794731013 -345.74728155985</f>
        <v>-899.16708219058114</v>
      </c>
      <c r="R839" t="s">
        <v>8287</v>
      </c>
      <c r="S839" t="s">
        <v>8288</v>
      </c>
      <c r="T839" t="s">
        <v>8289</v>
      </c>
      <c r="U839" t="s">
        <v>8290</v>
      </c>
      <c r="V839">
        <f>-604.307244695871 -131.029391345313 -93.0864206468383</f>
        <v>-828.42305668802226</v>
      </c>
      <c r="W839" t="s">
        <v>8291</v>
      </c>
      <c r="X839" t="s">
        <v>8292</v>
      </c>
      <c r="Y839" t="s">
        <v>8293</v>
      </c>
    </row>
    <row r="840" spans="1:25" x14ac:dyDescent="0.3">
      <c r="A840">
        <v>41950</v>
      </c>
      <c r="B840" t="s">
        <v>8294</v>
      </c>
      <c r="C840">
        <f>-641.065736589686 -39.2125944758311 -94.5769424444161</f>
        <v>-774.85527350993323</v>
      </c>
      <c r="D840">
        <f>-663.520074828 -51.8724639065431 -207.500596199559</f>
        <v>-922.89313493410214</v>
      </c>
      <c r="E840">
        <f>-671.940939867756 -53.6130766106958 -305.74878072185</f>
        <v>-1031.3027972003017</v>
      </c>
      <c r="F840">
        <f>-675.592033616335 -51.9108978951867 -394.754569508567</f>
        <v>-1122.2575010200887</v>
      </c>
      <c r="G840">
        <f>-674.850860722035 -46.9416984688705 -483.709518972363</f>
        <v>-1205.5020781632686</v>
      </c>
      <c r="H840">
        <f>-669.131066098732 -36.6914562326872 -607.737914306604</f>
        <v>-1313.5604366380232</v>
      </c>
      <c r="I840">
        <f>-643.542037438692 -22.2639717492057 -685.468693197283</f>
        <v>-1351.2747023851807</v>
      </c>
      <c r="J840">
        <f>-678.605075520942 -14.4474043731398 -551.268833870897</f>
        <v>-1244.3213137649786</v>
      </c>
      <c r="K840" t="s">
        <v>8295</v>
      </c>
      <c r="L840" t="s">
        <v>8296</v>
      </c>
      <c r="M840" t="s">
        <v>8297</v>
      </c>
      <c r="N840">
        <f>-664.690908359374 -67.9569283300996 -555.049475356862</f>
        <v>-1287.6973120463356</v>
      </c>
      <c r="O840">
        <f>-631.979037785537 -199.806773313421 -533.980458045328</f>
        <v>-1365.7662691442861</v>
      </c>
      <c r="P840">
        <f>-574.193411620817 -289.872591352283 -259.863314339434</f>
        <v>-1123.9293173125341</v>
      </c>
      <c r="Q840">
        <f>-450.690213464727 -100.717371740055 -343.637487890119</f>
        <v>-895.045073094901</v>
      </c>
      <c r="R840" t="s">
        <v>8298</v>
      </c>
      <c r="S840" t="s">
        <v>8299</v>
      </c>
      <c r="T840" t="s">
        <v>8300</v>
      </c>
      <c r="U840" t="s">
        <v>8301</v>
      </c>
      <c r="V840">
        <f>-604.638799064659 -128.036092970145 -92.87342835993</f>
        <v>-825.54832039473399</v>
      </c>
      <c r="W840" t="s">
        <v>8302</v>
      </c>
      <c r="X840" t="s">
        <v>8303</v>
      </c>
      <c r="Y840" t="s">
        <v>8304</v>
      </c>
    </row>
    <row r="841" spans="1:25" x14ac:dyDescent="0.3">
      <c r="A841">
        <v>42000</v>
      </c>
      <c r="B841" t="s">
        <v>8305</v>
      </c>
      <c r="C841">
        <f>-641.023162086708 -36.1282949558263 -94.1805781222375</f>
        <v>-771.33203516477181</v>
      </c>
      <c r="D841">
        <f>-663.57219733135 -48.6090659733927 -207.105356207225</f>
        <v>-919.28661951196773</v>
      </c>
      <c r="E841">
        <f>-671.916955441216 -50.3865775529644 -305.359453470786</f>
        <v>-1027.6629864649663</v>
      </c>
      <c r="F841">
        <f>-675.439774621819 -48.7960393276217 -394.372375069243</f>
        <v>-1118.6081890186836</v>
      </c>
      <c r="G841">
        <f>-674.512559257789 -44.0195678461964 -483.336206911027</f>
        <v>-1201.8683340150124</v>
      </c>
      <c r="H841">
        <f>-668.474387674159 -34.1252159753374 -607.378279723163</f>
        <v>-1309.9778833726593</v>
      </c>
      <c r="I841">
        <f>-642.540562568334 -20.3483501240096 -685.112921033113</f>
        <v>-1348.0018337254567</v>
      </c>
      <c r="J841">
        <f>-678.016685128656 -11.6997755129134 -550.992613882197</f>
        <v>-1240.7090745237665</v>
      </c>
      <c r="K841" t="s">
        <v>8306</v>
      </c>
      <c r="L841" t="s">
        <v>8307</v>
      </c>
      <c r="M841" t="s">
        <v>8308</v>
      </c>
      <c r="N841">
        <f>-664.24646825828 -65.2588212292849 -554.594496656216</f>
        <v>-1284.0997861437809</v>
      </c>
      <c r="O841">
        <f>-632.020688439247 -197.15459714239 -533.082182419984</f>
        <v>-1362.257468001621</v>
      </c>
      <c r="P841">
        <f>-576.369326383772 -286.345901024304 -258.238470687598</f>
        <v>-1120.9536980956741</v>
      </c>
      <c r="Q841">
        <f>-451.914743433861 -97.9552234138991 -342.327178569811</f>
        <v>-892.19714541757116</v>
      </c>
      <c r="R841" t="s">
        <v>8309</v>
      </c>
      <c r="S841" t="s">
        <v>8310</v>
      </c>
      <c r="T841" t="s">
        <v>8311</v>
      </c>
      <c r="U841" t="s">
        <v>8312</v>
      </c>
      <c r="V841">
        <f>-604.873497119416 -124.96797083498 -92.5991805354098</f>
        <v>-822.44064848980577</v>
      </c>
      <c r="W841" t="s">
        <v>8313</v>
      </c>
      <c r="X841" t="s">
        <v>8314</v>
      </c>
      <c r="Y841" t="s">
        <v>8315</v>
      </c>
    </row>
    <row r="842" spans="1:25" x14ac:dyDescent="0.3">
      <c r="A842">
        <v>42050</v>
      </c>
      <c r="B842" t="s">
        <v>8316</v>
      </c>
      <c r="C842">
        <f>-640.998839319743 -34.5871689885905 -93.9707781905761</f>
        <v>-769.55678649890956</v>
      </c>
      <c r="D842">
        <f>-663.603320830314 -47.0046913401904 -206.891375269129</f>
        <v>-917.49938743963344</v>
      </c>
      <c r="E842">
        <f>-671.93516206025 -48.8351746752537 -305.145608172333</f>
        <v>-1025.9159449078368</v>
      </c>
      <c r="F842">
        <f>-675.423650621086 -47.3361647975312 -394.16140475592</f>
        <v>-1116.9212201745372</v>
      </c>
      <c r="G842">
        <f>-674.440425386232 -42.6964656969599 -483.132040943495</f>
        <v>-1200.2689320266868</v>
      </c>
      <c r="H842">
        <f>-668.30195145089 -33.0409842827075 -607.188037307697</f>
        <v>-1308.5309730412946</v>
      </c>
      <c r="I842">
        <f>-642.185381886721 -19.6501094460937 -684.928804856651</f>
        <v>-1346.7642961894658</v>
      </c>
      <c r="J842">
        <f>-677.831818733865 -10.4924254938414 -550.849307890351</f>
        <v>-1239.1735521180576</v>
      </c>
      <c r="K842" t="s">
        <v>8317</v>
      </c>
      <c r="L842" t="s">
        <v>8318</v>
      </c>
      <c r="M842" t="s">
        <v>8319</v>
      </c>
      <c r="N842">
        <f>-664.174735441557 -64.0874552050907 -554.344826504839</f>
        <v>-1282.6070171514866</v>
      </c>
      <c r="O842">
        <f>-632.278890392334 -196.023300827517 -532.588838586939</f>
        <v>-1360.8910298067899</v>
      </c>
      <c r="P842">
        <f>-577.501560663464 -284.925237224056 -257.475943786122</f>
        <v>-1119.9027416736421</v>
      </c>
      <c r="Q842">
        <f>-452.659730609063 -96.8864925114135 -341.777788278563</f>
        <v>-891.32401139903948</v>
      </c>
      <c r="R842" t="s">
        <v>8320</v>
      </c>
      <c r="S842" t="s">
        <v>8321</v>
      </c>
      <c r="T842" t="s">
        <v>8322</v>
      </c>
      <c r="U842" t="s">
        <v>8323</v>
      </c>
      <c r="V842">
        <f>-604.982638441641 -123.609387063993 -92.4402517287823</f>
        <v>-821.03227723441637</v>
      </c>
      <c r="W842" t="s">
        <v>8324</v>
      </c>
      <c r="X842" t="s">
        <v>8325</v>
      </c>
      <c r="Y842" t="s">
        <v>8326</v>
      </c>
    </row>
    <row r="843" spans="1:25" x14ac:dyDescent="0.3">
      <c r="A843">
        <v>42100</v>
      </c>
      <c r="B843" t="s">
        <v>8327</v>
      </c>
      <c r="C843">
        <f>-640.807233972655 -31.3866781389067 -93.6460531555865</f>
        <v>-765.83996526714827</v>
      </c>
      <c r="D843">
        <f>-663.561027159621 -43.7329793639888 -206.544355680329</f>
        <v>-913.83836220393869</v>
      </c>
      <c r="E843">
        <f>-671.906924357213 -45.7277394197124 -304.794209257085</f>
        <v>-1022.4288730340104</v>
      </c>
      <c r="F843">
        <f>-675.365898832243 -44.4688286303058 -393.814950280174</f>
        <v>-1113.6496777427228</v>
      </c>
      <c r="G843">
        <f>-674.311933196409 -40.1640079366384 -482.801509257032</f>
        <v>-1197.2774503900794</v>
      </c>
      <c r="H843">
        <f>-668.032863443723 -31.0779148221166 -606.893481029372</f>
        <v>-1306.0042592952116</v>
      </c>
      <c r="I843">
        <f>-641.566192001078 -18.5392928941155 -684.658054639058</f>
        <v>-1344.7635395342515</v>
      </c>
      <c r="J843">
        <f>-677.480803311975 -8.23491542297938 -550.659737064546</f>
        <v>-1236.3754557995003</v>
      </c>
      <c r="K843" t="s">
        <v>8328</v>
      </c>
      <c r="L843" t="s">
        <v>8329</v>
      </c>
      <c r="M843" t="s">
        <v>8330</v>
      </c>
      <c r="N843">
        <f>-664.111040820532 -61.91756162859 -553.913865211704</f>
        <v>-1279.942467660826</v>
      </c>
      <c r="O843">
        <f>-633.043716381945 -193.963137284876 -531.622861602263</f>
        <v>-1358.629715269084</v>
      </c>
      <c r="P843">
        <f>-579.952168821033 -282.18292943544 -255.960417866975</f>
        <v>-1118.0955161234479</v>
      </c>
      <c r="Q843">
        <f>-453.989345858106 -94.9044273663278 -340.287271952349</f>
        <v>-889.18104517678273</v>
      </c>
      <c r="R843" t="s">
        <v>8331</v>
      </c>
      <c r="S843" t="s">
        <v>8332</v>
      </c>
      <c r="T843" t="s">
        <v>8333</v>
      </c>
      <c r="U843" t="s">
        <v>8334</v>
      </c>
      <c r="V843">
        <f>-605.014262460547 -120.602313928625 -92.1975729700712</f>
        <v>-817.81414935924317</v>
      </c>
      <c r="W843" t="s">
        <v>8335</v>
      </c>
      <c r="X843" t="s">
        <v>8336</v>
      </c>
      <c r="Y843" t="s">
        <v>8337</v>
      </c>
    </row>
    <row r="844" spans="1:25" x14ac:dyDescent="0.3">
      <c r="A844">
        <v>42150</v>
      </c>
      <c r="B844" t="s">
        <v>8338</v>
      </c>
      <c r="C844">
        <f>-640.725381767504 -29.7103244255316 -93.5157897068751</f>
        <v>-763.9514958999107</v>
      </c>
      <c r="D844">
        <f>-663.579207621613 -42.0367494374345 -206.39623705361</f>
        <v>-912.01219411265754</v>
      </c>
      <c r="E844">
        <f>-671.964554317415 -44.1244776365884 -304.640732073334</f>
        <v>-1020.7297640273374</v>
      </c>
      <c r="F844">
        <f>-675.442245078032 -42.9941778995346 -393.662444488613</f>
        <v>-1112.0988674661796</v>
      </c>
      <c r="G844">
        <f>-674.390458279153 -38.8643877582886 -482.657361290028</f>
        <v>-1195.9122073274696</v>
      </c>
      <c r="H844">
        <f>-668.097630622897 -30.0719818529569 -606.769768462085</f>
        <v>-1304.9393809379389</v>
      </c>
      <c r="I844">
        <f>-641.462689563107 -17.990307767564 -684.549226615497</f>
        <v>-1344.002223946168</v>
      </c>
      <c r="J844">
        <f>-677.471309676167 -7.0763153420969 -550.585720606762</f>
        <v>-1235.1333456250259</v>
      </c>
      <c r="K844" t="s">
        <v>8339</v>
      </c>
      <c r="L844" t="s">
        <v>8340</v>
      </c>
      <c r="M844" t="s">
        <v>8341</v>
      </c>
      <c r="N844">
        <f>-664.262299316896 -60.8056808271306 -553.722272843977</f>
        <v>-1278.7902529880034</v>
      </c>
      <c r="O844">
        <f>-633.655082037586 -192.913752065246 -531.149266266554</f>
        <v>-1357.7181003693859</v>
      </c>
      <c r="P844">
        <f>-581.491236362431 -280.77297893033 -255.194898696368</f>
        <v>-1117.459113989129</v>
      </c>
      <c r="Q844">
        <f>-454.787769949897 -93.9343194095184 -339.387589796883</f>
        <v>-888.1096791562984</v>
      </c>
      <c r="R844" t="s">
        <v>8342</v>
      </c>
      <c r="S844" t="s">
        <v>8343</v>
      </c>
      <c r="T844" t="s">
        <v>8344</v>
      </c>
      <c r="U844" t="s">
        <v>8345</v>
      </c>
      <c r="V844">
        <f>-605.056404347288 -119.019797012588 -92.0807848977106</f>
        <v>-816.1569862575866</v>
      </c>
      <c r="W844" t="s">
        <v>8346</v>
      </c>
      <c r="X844" t="s">
        <v>8347</v>
      </c>
      <c r="Y844" t="s">
        <v>8348</v>
      </c>
    </row>
    <row r="845" spans="1:25" x14ac:dyDescent="0.3">
      <c r="A845">
        <v>42200</v>
      </c>
      <c r="B845" t="s">
        <v>8349</v>
      </c>
      <c r="C845">
        <f>-640.359982724932 -26.397446211251 -93.3010470776942</f>
        <v>-760.05847601387723</v>
      </c>
      <c r="D845">
        <f>-663.406223402008 -38.6244627929636 -206.153128064252</f>
        <v>-908.1838142592236</v>
      </c>
      <c r="E845">
        <f>-671.882708632002 -40.8664458001417 -304.386396436807</f>
        <v>-1017.1355508689508</v>
      </c>
      <c r="F845">
        <f>-675.418361559782 -39.9699086512871 -393.408562987298</f>
        <v>-1108.7968331983673</v>
      </c>
      <c r="G845">
        <f>-674.40198459754 -36.1700755530867 -482.418501552344</f>
        <v>-1192.9905617029708</v>
      </c>
      <c r="H845">
        <f>-668.136915232783 -27.9401985332208 -606.570943368701</f>
        <v>-1302.6480571347049</v>
      </c>
      <c r="I845">
        <f>-641.217478940509 -16.743020056394 -684.384812298312</f>
        <v>-1342.345311295215</v>
      </c>
      <c r="J845">
        <f>-677.338353652426 -4.65217716221991 -550.478980084111</f>
        <v>-1232.4695108987569</v>
      </c>
      <c r="K845" t="s">
        <v>8350</v>
      </c>
      <c r="L845" t="s">
        <v>8351</v>
      </c>
      <c r="M845" t="s">
        <v>8352</v>
      </c>
      <c r="N845">
        <f>-664.449283186712 -58.4714095423649 -553.396283726129</f>
        <v>-1276.3169764552058</v>
      </c>
      <c r="O845">
        <f>-634.812603382004 -190.69626310908 -530.2430514536</f>
        <v>-1355.751917944684</v>
      </c>
      <c r="P845">
        <f>-584.732975037105 -277.747409274497 -253.647036552491</f>
        <v>-1116.127420864093</v>
      </c>
      <c r="Q845">
        <f>-456.569880541974 -91.8027873235067 -337.609514647015</f>
        <v>-885.98218251249568</v>
      </c>
      <c r="R845" t="s">
        <v>8353</v>
      </c>
      <c r="S845" t="s">
        <v>8354</v>
      </c>
      <c r="T845" t="s">
        <v>8355</v>
      </c>
      <c r="U845" t="s">
        <v>8356</v>
      </c>
      <c r="V845">
        <f>-605.079010449032 -115.79889771836 -91.8574476867149</f>
        <v>-812.73535585410684</v>
      </c>
      <c r="W845" t="s">
        <v>8357</v>
      </c>
      <c r="X845" t="s">
        <v>8358</v>
      </c>
      <c r="Y845" t="s">
        <v>8359</v>
      </c>
    </row>
    <row r="846" spans="1:25" x14ac:dyDescent="0.3">
      <c r="A846">
        <v>42250</v>
      </c>
      <c r="B846" t="s">
        <v>8360</v>
      </c>
      <c r="C846">
        <f>-640.098905495446 -24.8449876071609 -93.1697453021483</f>
        <v>-758.11363840475519</v>
      </c>
      <c r="D846">
        <f>-663.213581161852 -36.9919526985373 -206.01644089708</f>
        <v>-906.22197475746918</v>
      </c>
      <c r="E846">
        <f>-671.715188440159 -39.3098499801858 -304.245756396435</f>
        <v>-1015.2707948167798</v>
      </c>
      <c r="F846">
        <f>-675.263659311121 -38.5383347230427 -393.268577155362</f>
        <v>-1107.0705711895257</v>
      </c>
      <c r="G846">
        <f>-674.251414256507 -34.9209247611768 -482.28613610591</f>
        <v>-1191.4584751235939</v>
      </c>
      <c r="H846">
        <f>-667.984644594913 -27.0056132330355 -606.458937582475</f>
        <v>-1301.4491954104235</v>
      </c>
      <c r="I846">
        <f>-640.927614962616 -16.2229161880218 -684.283746052336</f>
        <v>-1341.4342772029738</v>
      </c>
      <c r="J846">
        <f>-677.107714470548 -3.55687168312352 -550.42116469417</f>
        <v>-1231.0857508478416</v>
      </c>
      <c r="K846" t="s">
        <v>8361</v>
      </c>
      <c r="L846" t="s">
        <v>8362</v>
      </c>
      <c r="M846" t="s">
        <v>8363</v>
      </c>
      <c r="N846">
        <f>-664.376789744359 -57.420508359862 -553.212120789302</f>
        <v>-1275.0094188935232</v>
      </c>
      <c r="O846">
        <f>-635.264369333984 -189.701721145211 -529.726409973859</f>
        <v>-1354.692500453054</v>
      </c>
      <c r="P846">
        <f>-586.212326216375 -276.243732470984 -252.7868031655</f>
        <v>-1115.2428618528591</v>
      </c>
      <c r="Q846">
        <f>-457.266318084205 -90.760891865511 -336.571830146334</f>
        <v>-884.59904009604998</v>
      </c>
      <c r="R846" t="s">
        <v>8364</v>
      </c>
      <c r="S846" t="s">
        <v>8365</v>
      </c>
      <c r="T846" t="s">
        <v>8366</v>
      </c>
      <c r="U846" t="s">
        <v>8367</v>
      </c>
      <c r="V846">
        <f>-605.002680697539 -114.342860957063 -91.7387182090778</f>
        <v>-811.08425986367968</v>
      </c>
      <c r="W846" t="s">
        <v>8368</v>
      </c>
      <c r="X846" t="s">
        <v>8369</v>
      </c>
      <c r="Y846" t="s">
        <v>8370</v>
      </c>
    </row>
    <row r="847" spans="1:25" x14ac:dyDescent="0.3">
      <c r="A847">
        <v>42300</v>
      </c>
      <c r="B847" t="s">
        <v>8371</v>
      </c>
      <c r="C847">
        <f>-639.574056890239 -22.2227873993527 -92.8407145448508</f>
        <v>-754.63755883444253</v>
      </c>
      <c r="D847">
        <f>-662.902979581624 -34.2981217021388 -205.651127193384</f>
        <v>-902.85222847714681</v>
      </c>
      <c r="E847">
        <f>-671.469644739302 -36.8216330340185 -303.869728843997</f>
        <v>-1012.1610066173175</v>
      </c>
      <c r="F847">
        <f>-675.035250980293 -36.3410271795153 -392.893890515928</f>
        <v>-1104.2701686757364</v>
      </c>
      <c r="G847">
        <f>-674.001067203068 -33.1224190383248 -481.92642793455</f>
        <v>-1189.0499141759428</v>
      </c>
      <c r="H847">
        <f>-667.66518386425 -25.8768702355937 -606.136732296245</f>
        <v>-1299.6787863960888</v>
      </c>
      <c r="I847">
        <f>-640.268285539434 -15.8849528807414 -683.948002885791</f>
        <v>-1340.1012413059664</v>
      </c>
      <c r="J847">
        <f>-676.661691202424 -2.08992713286534 -550.221112381405</f>
        <v>-1228.9727307166943</v>
      </c>
      <c r="K847" t="s">
        <v>8372</v>
      </c>
      <c r="L847" t="s">
        <v>8373</v>
      </c>
      <c r="M847" t="s">
        <v>8374</v>
      </c>
      <c r="N847">
        <f>-664.244970480014 -56.0405462024494 -552.734810311801</f>
        <v>-1273.0203269942645</v>
      </c>
      <c r="O847">
        <f>-636.108553320201 -188.394338003601 -528.498830472529</f>
        <v>-1353.0017217963309</v>
      </c>
      <c r="P847">
        <f>-589.351551167642 -273.538508666862 -250.729972388582</f>
        <v>-1113.6200322230859</v>
      </c>
      <c r="Q847">
        <f>-458.359922395484 -89.382179070715 -334.267336185772</f>
        <v>-882.00943765197098</v>
      </c>
      <c r="R847" t="s">
        <v>8375</v>
      </c>
      <c r="S847" t="s">
        <v>8376</v>
      </c>
      <c r="T847" t="s">
        <v>8377</v>
      </c>
      <c r="U847" t="s">
        <v>8378</v>
      </c>
      <c r="V847">
        <f>-604.901826374439 -111.897815229106 -91.4382590510827</f>
        <v>-808.23790065462765</v>
      </c>
      <c r="W847" t="s">
        <v>8379</v>
      </c>
      <c r="X847" t="s">
        <v>8380</v>
      </c>
      <c r="Y847" t="s">
        <v>8381</v>
      </c>
    </row>
    <row r="848" spans="1:25" x14ac:dyDescent="0.3">
      <c r="A848">
        <v>42350</v>
      </c>
      <c r="B848" t="s">
        <v>8382</v>
      </c>
      <c r="C848">
        <f>-639.321465462363 -21.0412295766214 -92.678557863875</f>
        <v>-753.04125290285936</v>
      </c>
      <c r="D848">
        <f>-662.741995876276 -33.0918079358009 -205.472628478273</f>
        <v>-901.3064322903499</v>
      </c>
      <c r="E848">
        <f>-671.317114006794 -35.717960704292 -303.687818151304</f>
        <v>-1010.7228928623899</v>
      </c>
      <c r="F848">
        <f>-674.864883231246 -35.3794662878229 -392.713287998436</f>
        <v>-1102.957637517505</v>
      </c>
      <c r="G848">
        <f>-673.788286294104 -32.3531986163252 -481.752142113139</f>
        <v>-1187.8936270235681</v>
      </c>
      <c r="H848">
        <f>-667.369217032312 -25.4293649826054 -605.976437499701</f>
        <v>-1298.7750195146184</v>
      </c>
      <c r="I848">
        <f>-639.763634987733 -15.8198840283835 -683.762205116896</f>
        <v>-1339.3457241330125</v>
      </c>
      <c r="J848">
        <f>-676.338259038274 -1.48311018354957 -550.124435579167</f>
        <v>-1227.9458048009906</v>
      </c>
      <c r="K848" t="s">
        <v>8383</v>
      </c>
      <c r="L848" t="s">
        <v>8384</v>
      </c>
      <c r="M848" t="s">
        <v>8385</v>
      </c>
      <c r="N848">
        <f>-664.049500690995 -55.4692552684639 -552.49839564363</f>
        <v>-1272.0171516030891</v>
      </c>
      <c r="O848">
        <f>-636.336201334269 -187.856421631886 -527.934032505602</f>
        <v>-1352.1266554717572</v>
      </c>
      <c r="P848">
        <f>-590.945526190991 -272.383888689391 -249.750548361157</f>
        <v>-1113.079963241539</v>
      </c>
      <c r="Q848">
        <f>-458.990415304084 -88.844872399196 -333.129956857723</f>
        <v>-880.96524456100315</v>
      </c>
      <c r="R848" t="s">
        <v>8386</v>
      </c>
      <c r="S848" t="s">
        <v>8387</v>
      </c>
      <c r="T848" t="s">
        <v>8388</v>
      </c>
      <c r="U848" t="s">
        <v>8389</v>
      </c>
      <c r="V848">
        <f>-604.834701644226 -110.775963222457 -91.2817873523344</f>
        <v>-806.8924522190174</v>
      </c>
      <c r="W848" t="s">
        <v>8390</v>
      </c>
      <c r="X848" t="s">
        <v>8391</v>
      </c>
      <c r="Y848" t="s">
        <v>8392</v>
      </c>
    </row>
    <row r="849" spans="1:25" x14ac:dyDescent="0.3">
      <c r="A849">
        <v>42400</v>
      </c>
      <c r="B849" t="s">
        <v>8393</v>
      </c>
      <c r="C849">
        <f>-638.858102347869 -18.6047430981648 -92.4308154035882</f>
        <v>-749.89366084962205</v>
      </c>
      <c r="D849">
        <f>-662.376895056595 -30.5435856151209 -205.216238432901</f>
        <v>-898.13671910461699</v>
      </c>
      <c r="E849">
        <f>-670.961671370404 -33.3308734319755 -303.426179513696</f>
        <v>-1007.7187243160756</v>
      </c>
      <c r="F849">
        <f>-674.494572059088 -33.2388803531642 -392.452871226491</f>
        <v>-1100.1863236387433</v>
      </c>
      <c r="G849">
        <f>-673.382183138861 -30.5608941069261 -481.502434314081</f>
        <v>-1185.445511559868</v>
      </c>
      <c r="H849">
        <f>-666.893821969722 -24.2306047355098 -605.754736626661</f>
        <v>-1296.8791633318929</v>
      </c>
      <c r="I849">
        <f>-638.832410570369 -15.2940995670217 -683.457653126676</f>
        <v>-1337.5841632640668</v>
      </c>
      <c r="J849" t="s">
        <v>8394</v>
      </c>
      <c r="K849" t="s">
        <v>8395</v>
      </c>
      <c r="L849" t="s">
        <v>8396</v>
      </c>
      <c r="M849" t="s">
        <v>8397</v>
      </c>
      <c r="N849">
        <f>-663.721433246376 -54.040888083988 -552.139576005348</f>
        <v>-1269.901897335712</v>
      </c>
      <c r="O849">
        <f>-636.745174849372 -186.472173438749 -526.998566571529</f>
        <v>-1350.21591485965</v>
      </c>
      <c r="P849">
        <f>-594.364477161303 -269.536691942559 -247.901226164522</f>
        <v>-1111.8023952683841</v>
      </c>
      <c r="Q849">
        <f>-460.60342753362 -87.244767697739 -331.138941855986</f>
        <v>-878.98713708734499</v>
      </c>
      <c r="R849" t="s">
        <v>8398</v>
      </c>
      <c r="S849" t="s">
        <v>8399</v>
      </c>
      <c r="T849" t="s">
        <v>8400</v>
      </c>
      <c r="U849" t="s">
        <v>8401</v>
      </c>
      <c r="V849">
        <f>-604.755613892763 -108.442786327256 -91.0793691943804</f>
        <v>-804.27776941439947</v>
      </c>
      <c r="W849" t="s">
        <v>8402</v>
      </c>
      <c r="X849" t="s">
        <v>8403</v>
      </c>
      <c r="Y849" t="s">
        <v>8404</v>
      </c>
    </row>
    <row r="850" spans="1:25" x14ac:dyDescent="0.3">
      <c r="A850">
        <v>42450</v>
      </c>
      <c r="B850" t="s">
        <v>8405</v>
      </c>
      <c r="C850">
        <f>-638.573548066981 -17.2965078429452 -92.3376240738434</f>
        <v>-748.20767998376948</v>
      </c>
      <c r="D850">
        <f>-662.110098638016 -29.1697133455089 -205.126289295214</f>
        <v>-896.40610127873879</v>
      </c>
      <c r="E850">
        <f>-670.708945943826 -32.0486309040839 -303.332280004884</f>
        <v>-1006.0898568527939</v>
      </c>
      <c r="F850">
        <f>-674.257911922459 -32.0971317307885 -392.358401662815</f>
        <v>-1098.7134453160625</v>
      </c>
      <c r="G850">
        <f>-673.166203280874 -29.6175388066713 -481.414128302682</f>
        <v>-1184.1978703902273</v>
      </c>
      <c r="H850">
        <f>-666.713249781158 -23.6245452430351 -605.684938733949</f>
        <v>-1296.0227337581421</v>
      </c>
      <c r="I850">
        <f>-638.527345680127 -15.0045391196918 -683.378492000767</f>
        <v>-1336.9103768005857</v>
      </c>
      <c r="J850" t="s">
        <v>8406</v>
      </c>
      <c r="K850" t="s">
        <v>8407</v>
      </c>
      <c r="L850" t="s">
        <v>8408</v>
      </c>
      <c r="M850" t="s">
        <v>8409</v>
      </c>
      <c r="N850">
        <f>-663.586000346957 -53.3026148403324 -551.993721246274</f>
        <v>-1268.8823364335635</v>
      </c>
      <c r="O850">
        <f>-636.984682855806 -185.737853927694 -526.497284502008</f>
        <v>-1349.219821285508</v>
      </c>
      <c r="P850">
        <f>-596.051781687672 -268.189494636643 -247.002293420221</f>
        <v>-1111.2435697445362</v>
      </c>
      <c r="Q850">
        <f>-461.527885541677 -86.439600289701 -330.195641026456</f>
        <v>-878.16312685783396</v>
      </c>
      <c r="R850" t="s">
        <v>8410</v>
      </c>
      <c r="S850" t="s">
        <v>8411</v>
      </c>
      <c r="T850" t="s">
        <v>8412</v>
      </c>
      <c r="U850" t="s">
        <v>8413</v>
      </c>
      <c r="V850">
        <f>-604.628855882039 -107.125280228948 -90.9977513933749</f>
        <v>-802.75188750436189</v>
      </c>
      <c r="W850" t="s">
        <v>8414</v>
      </c>
      <c r="X850" t="s">
        <v>8415</v>
      </c>
      <c r="Y850" t="s">
        <v>8416</v>
      </c>
    </row>
    <row r="851" spans="1:25" x14ac:dyDescent="0.3">
      <c r="A851">
        <v>42500</v>
      </c>
      <c r="B851" t="s">
        <v>8417</v>
      </c>
      <c r="C851">
        <f>-638.120348971859 -15.2082456751939 -92.2155469896956</f>
        <v>-745.54414163674846</v>
      </c>
      <c r="D851">
        <f>-661.589822906124 -26.9510110835522 -205.031855155369</f>
        <v>-893.57268914504516</v>
      </c>
      <c r="E851">
        <f>-670.092171839169 -29.9714288798114 -303.241917583815</f>
        <v>-1003.3055183027955</v>
      </c>
      <c r="F851">
        <f>-673.543858719574 -30.2483851885902 -392.271481645521</f>
        <v>-1096.0637255536853</v>
      </c>
      <c r="G851">
        <f>-672.347659447272 -28.0993275241715 -481.334275380995</f>
        <v>-1181.7812623524385</v>
      </c>
      <c r="H851">
        <f>-665.743379509071 -22.6748337027127 -605.623375055037</f>
        <v>-1294.0415882668208</v>
      </c>
      <c r="I851">
        <f>-637.167769964846 -14.5700821550081 -683.229874479548</f>
        <v>-1334.9677265994021</v>
      </c>
      <c r="J851" t="s">
        <v>8418</v>
      </c>
      <c r="K851" t="s">
        <v>8419</v>
      </c>
      <c r="L851" t="s">
        <v>8420</v>
      </c>
      <c r="M851" t="s">
        <v>8421</v>
      </c>
      <c r="N851">
        <f>-662.788356267962 -52.1300119410159 -551.799869537709</f>
        <v>-1266.718237746687</v>
      </c>
      <c r="O851">
        <f>-636.930817570432 -184.576073496045 -525.595896975622</f>
        <v>-1347.1027880420991</v>
      </c>
      <c r="P851">
        <f>-598.954388362578 -265.77383666403 -245.317481549057</f>
        <v>-1110.045706575665</v>
      </c>
      <c r="Q851">
        <f>-463.047017697881 -85.0313653362005 -328.45723709277</f>
        <v>-876.53562012685154</v>
      </c>
      <c r="R851" t="s">
        <v>8422</v>
      </c>
      <c r="S851" t="s">
        <v>8423</v>
      </c>
      <c r="T851" t="s">
        <v>8424</v>
      </c>
      <c r="U851" t="s">
        <v>8425</v>
      </c>
      <c r="V851">
        <f>-604.411722006651 -105.197706993292 -90.8427320367002</f>
        <v>-800.45216103664325</v>
      </c>
      <c r="W851" t="s">
        <v>8426</v>
      </c>
      <c r="X851" t="s">
        <v>8427</v>
      </c>
      <c r="Y851" t="s">
        <v>8428</v>
      </c>
    </row>
    <row r="852" spans="1:25" x14ac:dyDescent="0.3">
      <c r="A852">
        <v>42550</v>
      </c>
      <c r="B852" t="s">
        <v>8429</v>
      </c>
      <c r="C852">
        <f>-637.795464429685 -14.3781566370847 -92.1436150340425</f>
        <v>-744.31723610081212</v>
      </c>
      <c r="D852">
        <f>-661.215917679112 -26.0394739112758 -204.97859162464</f>
        <v>-892.23398321502771</v>
      </c>
      <c r="E852">
        <f>-669.619837105762 -29.0964983429751 -303.196087021703</f>
        <v>-1001.9124224704401</v>
      </c>
      <c r="F852">
        <f>-672.962470315458 -29.4493194199479 -392.229442380048</f>
        <v>-1094.6412321154539</v>
      </c>
      <c r="G852">
        <f>-671.638754961249 -27.4201244593655 -481.29327700587</f>
        <v>-1180.3521564264845</v>
      </c>
      <c r="H852">
        <f>-664.837899991694 -22.2088863458748 -605.580862746374</f>
        <v>-1292.6276490839427</v>
      </c>
      <c r="I852">
        <f>-636.026650253288 -14.29813130666 -683.120361611976</f>
        <v>-1333.445143171924</v>
      </c>
      <c r="J852" t="s">
        <v>8430</v>
      </c>
      <c r="K852" t="s">
        <v>8431</v>
      </c>
      <c r="L852" t="s">
        <v>8432</v>
      </c>
      <c r="M852" t="s">
        <v>8433</v>
      </c>
      <c r="N852">
        <f>-662.002785824317 -51.5789899658889 -551.704538986896</f>
        <v>-1265.2863147771018</v>
      </c>
      <c r="O852">
        <f>-636.403390912395 -184.0183917177 -525.210692155799</f>
        <v>-1345.6324747858941</v>
      </c>
      <c r="P852">
        <f>-599.983013670917 -264.728573333492 -244.585209727678</f>
        <v>-1109.2967967320869</v>
      </c>
      <c r="Q852">
        <f>-463.52229497385 -84.3890122732928 -327.693656187868</f>
        <v>-875.60496343501086</v>
      </c>
      <c r="R852" t="s">
        <v>8434</v>
      </c>
      <c r="S852" t="s">
        <v>8435</v>
      </c>
      <c r="T852" t="s">
        <v>8436</v>
      </c>
      <c r="U852" t="s">
        <v>8437</v>
      </c>
      <c r="V852">
        <f>-604.198460450448 -104.407530725866 -90.7909113853503</f>
        <v>-799.39690256166432</v>
      </c>
      <c r="W852" t="s">
        <v>8438</v>
      </c>
      <c r="X852" t="s">
        <v>8439</v>
      </c>
      <c r="Y852" t="s">
        <v>8440</v>
      </c>
    </row>
    <row r="853" spans="1:25" x14ac:dyDescent="0.3">
      <c r="A853">
        <v>42600</v>
      </c>
      <c r="B853" t="s">
        <v>8441</v>
      </c>
      <c r="C853">
        <f>-637.05032900245 -13.1359070661697 -91.9696053914161</f>
        <v>-742.15584146003573</v>
      </c>
      <c r="D853">
        <f>-660.375474163062 -24.6850607747811 -204.835758671251</f>
        <v>-889.89629360909407</v>
      </c>
      <c r="E853">
        <f>-668.622428496432 -27.8348538580901 -303.063682818752</f>
        <v>-999.52096517327413</v>
      </c>
      <c r="F853">
        <f>-671.797549609491 -28.3475180761413 -392.10253259492</f>
        <v>-1092.2476002805524</v>
      </c>
      <c r="G853">
        <f>-670.282453173021 -26.5550846810434 -481.168252127299</f>
        <v>-1178.0057899813635</v>
      </c>
      <c r="H853">
        <f>-663.191796627369 -21.7557759683516 -605.456274691262</f>
        <v>-1290.4038472869825</v>
      </c>
      <c r="I853">
        <f>-633.933587240063 -14.1576031586394 -682.85946466454</f>
        <v>-1330.9506550632425</v>
      </c>
      <c r="J853" t="s">
        <v>8442</v>
      </c>
      <c r="K853" t="s">
        <v>8443</v>
      </c>
      <c r="L853" t="s">
        <v>8444</v>
      </c>
      <c r="M853" t="s">
        <v>8445</v>
      </c>
      <c r="N853">
        <f>-660.521743545181 -50.9555137988123 -551.478886829677</f>
        <v>-1262.9561441736703</v>
      </c>
      <c r="O853">
        <f>-635.307944771476 -183.366071246879 -524.477925497447</f>
        <v>-1343.1519415158018</v>
      </c>
      <c r="P853">
        <f>-601.630476814413 -262.904635822841 -243.176372060177</f>
        <v>-1107.7114846974309</v>
      </c>
      <c r="Q853">
        <f>-464.104609736851 -83.2660808811763 -326.046389007264</f>
        <v>-873.41707962529131</v>
      </c>
      <c r="R853" t="s">
        <v>8446</v>
      </c>
      <c r="S853" t="s">
        <v>8447</v>
      </c>
      <c r="T853" t="s">
        <v>8448</v>
      </c>
      <c r="U853" t="s">
        <v>8449</v>
      </c>
      <c r="V853">
        <f>-603.669310781293 -103.336633057121 -90.6430477460384</f>
        <v>-797.64899158445246</v>
      </c>
      <c r="W853" t="s">
        <v>8450</v>
      </c>
      <c r="X853" t="s">
        <v>8451</v>
      </c>
      <c r="Y853" t="s">
        <v>8452</v>
      </c>
    </row>
    <row r="854" spans="1:25" x14ac:dyDescent="0.3">
      <c r="A854">
        <v>42650</v>
      </c>
      <c r="B854" t="s">
        <v>8453</v>
      </c>
      <c r="C854">
        <f>-636.620818295286 -12.6073308375874 -91.8626292731142</f>
        <v>-741.09077840598752</v>
      </c>
      <c r="D854">
        <f>-659.916441355668 -24.1200800212632 -204.738522437288</f>
        <v>-888.7750438142192</v>
      </c>
      <c r="E854">
        <f>-668.089349240279 -27.3116904759595 -302.971311988286</f>
        <v>-998.37235170452459</v>
      </c>
      <c r="F854">
        <f>-671.179681510753 -27.8917328181988 -392.012701459747</f>
        <v>-1091.0841157886987</v>
      </c>
      <c r="G854">
        <f>-669.563180371493 -26.196022578436 -481.078747830106</f>
        <v>-1176.837950780035</v>
      </c>
      <c r="H854">
        <f>-662.314061105139 -21.5637581346905 -605.363831033507</f>
        <v>-1289.2416502733365</v>
      </c>
      <c r="I854">
        <f>-632.845971213093 -14.078768332243 -682.698405190848</f>
        <v>-1329.623144736184</v>
      </c>
      <c r="J854" t="s">
        <v>8454</v>
      </c>
      <c r="K854" t="s">
        <v>8455</v>
      </c>
      <c r="L854" t="s">
        <v>8456</v>
      </c>
      <c r="M854" t="s">
        <v>8457</v>
      </c>
      <c r="N854">
        <f>-659.720912033254 -50.6927395057894 -551.344430407019</f>
        <v>-1261.7580819460622</v>
      </c>
      <c r="O854">
        <f>-634.636369644039 -183.077590178853 -524.094484690488</f>
        <v>-1341.80844451338</v>
      </c>
      <c r="P854">
        <f>-602.047535094076 -262.167311985351 -242.538225446044</f>
        <v>-1106.753072525471</v>
      </c>
      <c r="Q854">
        <f>-464.120588564457 -82.7675278075415 -325.25942539319</f>
        <v>-872.14754176518852</v>
      </c>
      <c r="R854" t="s">
        <v>8458</v>
      </c>
      <c r="S854" t="s">
        <v>8459</v>
      </c>
      <c r="T854" t="s">
        <v>8460</v>
      </c>
      <c r="U854" t="s">
        <v>8461</v>
      </c>
      <c r="V854">
        <f>-603.276748458505 -102.77313694063 -90.5656285056133</f>
        <v>-796.61551390474835</v>
      </c>
      <c r="W854" t="s">
        <v>8462</v>
      </c>
      <c r="X854" t="s">
        <v>8463</v>
      </c>
      <c r="Y854" t="s">
        <v>8464</v>
      </c>
    </row>
    <row r="855" spans="1:25" x14ac:dyDescent="0.3">
      <c r="A855">
        <v>42700</v>
      </c>
      <c r="B855" t="s">
        <v>8465</v>
      </c>
      <c r="C855">
        <f>-635.686334059609 -11.9001573642595 -91.6345839976844</f>
        <v>-739.22107542155288</v>
      </c>
      <c r="D855">
        <f>-658.899821069552 -23.3207671986254 -204.536978226763</f>
        <v>-886.75756649494042</v>
      </c>
      <c r="E855">
        <f>-666.885160655902 -26.574796291929 -302.783106421279</f>
        <v>-996.24306336911013</v>
      </c>
      <c r="F855">
        <f>-669.762303801753 -27.268355113674 -391.830640235507</f>
        <v>-1088.861299150934</v>
      </c>
      <c r="G855">
        <f>-667.891476240848 -25.7443172502158 -480.894784717533</f>
        <v>-1174.5305782085968</v>
      </c>
      <c r="H855">
        <f>-660.245829493979 -21.4127077840205 -605.167079299739</f>
        <v>-1286.8256165777386</v>
      </c>
      <c r="I855">
        <f>-630.287407803936 -14.115319034855 -682.330935371779</f>
        <v>-1326.7336622105699</v>
      </c>
      <c r="J855" t="s">
        <v>8466</v>
      </c>
      <c r="K855" t="s">
        <v>8467</v>
      </c>
      <c r="L855" t="s">
        <v>8468</v>
      </c>
      <c r="M855" t="s">
        <v>8469</v>
      </c>
      <c r="N855">
        <f>-657.844295564979 -50.4148602834352 -551.070648461148</f>
        <v>-1259.3298043095624</v>
      </c>
      <c r="O855">
        <f>-632.97646214633 -182.758553201902 -523.394565047656</f>
        <v>-1339.1295803958881</v>
      </c>
      <c r="P855">
        <f>-602.33076320123 -261.188562685903 -241.435730753411</f>
        <v>-1104.9550566405439</v>
      </c>
      <c r="Q855">
        <f>-463.922266395675 -81.9267094487614 -323.649898325467</f>
        <v>-869.49887416990339</v>
      </c>
      <c r="R855" t="s">
        <v>8470</v>
      </c>
      <c r="S855" t="s">
        <v>8471</v>
      </c>
      <c r="T855" t="s">
        <v>8472</v>
      </c>
      <c r="U855" t="s">
        <v>8473</v>
      </c>
      <c r="V855">
        <f>-602.515899422287 -102.102806482726 -90.3829711930928</f>
        <v>-795.0016770981058</v>
      </c>
      <c r="W855" t="s">
        <v>8474</v>
      </c>
      <c r="X855" t="s">
        <v>8475</v>
      </c>
      <c r="Y855" t="s">
        <v>8476</v>
      </c>
    </row>
    <row r="856" spans="1:25" x14ac:dyDescent="0.3">
      <c r="A856">
        <v>42750</v>
      </c>
      <c r="B856" t="s">
        <v>8477</v>
      </c>
      <c r="C856">
        <f>-635.168116492775 -11.5443621110444 -91.5151877949346</f>
        <v>-738.22766639875397</v>
      </c>
      <c r="D856">
        <f>-658.346030741148 -22.9252918424809 -204.428896199716</f>
        <v>-885.70021878334478</v>
      </c>
      <c r="E856">
        <f>-666.229423162238 -26.2152859344963 -302.681985036547</f>
        <v>-995.12669413328126</v>
      </c>
      <c r="F856">
        <f>-668.98786497422 -26.9695898980958 -391.732916733697</f>
        <v>-1087.6903716060128</v>
      </c>
      <c r="G856">
        <f>-666.972791686462 -25.5344928982308 -480.795287392295</f>
        <v>-1173.3025719769878</v>
      </c>
      <c r="H856">
        <f>-659.100152010907 -21.3570090352096 -605.058677740177</f>
        <v>-1285.5158387862934</v>
      </c>
      <c r="I856">
        <f>-628.928951325451 -14.180254975699 -682.151027198066</f>
        <v>-1325.2602334992159</v>
      </c>
      <c r="J856" t="s">
        <v>8478</v>
      </c>
      <c r="K856" t="s">
        <v>8479</v>
      </c>
      <c r="L856" t="s">
        <v>8480</v>
      </c>
      <c r="M856" t="s">
        <v>8481</v>
      </c>
      <c r="N856">
        <f>-656.808133291832 -50.2944068952497 -550.922857899928</f>
        <v>-1258.0253980870098</v>
      </c>
      <c r="O856">
        <f>-632.077631232681 -182.615098203945 -523.049002352507</f>
        <v>-1337.7417317891332</v>
      </c>
      <c r="P856">
        <f>-602.341827574481 -260.575460794396 -240.862619932304</f>
        <v>-1103.779908301181</v>
      </c>
      <c r="Q856">
        <f>-463.713061268735 -81.3514633476932 -322.787270813032</f>
        <v>-867.85179542946014</v>
      </c>
      <c r="R856" t="s">
        <v>8482</v>
      </c>
      <c r="S856" t="s">
        <v>8483</v>
      </c>
      <c r="T856" t="s">
        <v>8484</v>
      </c>
      <c r="U856" t="s">
        <v>8485</v>
      </c>
      <c r="V856">
        <f>-602.124875788113 -101.729490719829 -90.2695770882971</f>
        <v>-794.12394359623897</v>
      </c>
      <c r="W856" t="s">
        <v>8486</v>
      </c>
      <c r="X856" t="s">
        <v>8487</v>
      </c>
      <c r="Y856" t="s">
        <v>8488</v>
      </c>
    </row>
    <row r="857" spans="1:25" x14ac:dyDescent="0.3">
      <c r="A857">
        <v>42800</v>
      </c>
      <c r="B857" t="s">
        <v>8489</v>
      </c>
      <c r="C857">
        <f>-634.215580091394 -10.4497756633968 -91.3471419159364</f>
        <v>-736.01249767072727</v>
      </c>
      <c r="D857">
        <f>-657.256004215572 -21.7463700033754 -204.297342310606</f>
        <v>-883.29971652955351</v>
      </c>
      <c r="E857">
        <f>-664.884957194901 -25.1306399816381 -302.567405808505</f>
        <v>-992.583002985044</v>
      </c>
      <c r="F857">
        <f>-667.363534662261 -26.0356159337416 -391.625171511013</f>
        <v>-1085.0243221070157</v>
      </c>
      <c r="G857">
        <f>-665.021379674268 -24.8171005732743 -480.682809856333</f>
        <v>-1170.5212901038753</v>
      </c>
      <c r="H857">
        <f>-656.645417231502 -21.0107866987848 -604.925158630766</f>
        <v>-1282.5813625610529</v>
      </c>
      <c r="I857">
        <f>-626.194582978737 -14.1354793680582 -681.93500429355</f>
        <v>-1322.2650666403451</v>
      </c>
      <c r="J857" t="s">
        <v>8490</v>
      </c>
      <c r="K857" t="s">
        <v>8491</v>
      </c>
      <c r="L857" t="s">
        <v>8492</v>
      </c>
      <c r="M857" t="s">
        <v>8493</v>
      </c>
      <c r="N857">
        <f>-654.589633955581 -49.7897709985778 -550.695514754609</f>
        <v>-1255.0749197087678</v>
      </c>
      <c r="O857">
        <f>-630.136081707114 -182.050587385579 -522.324352393818</f>
        <v>-1334.511021486511</v>
      </c>
      <c r="P857">
        <f>-602.186109729768 -259.436273922659 -239.797340365112</f>
        <v>-1101.419724017539</v>
      </c>
      <c r="Q857">
        <f>-463.840948694641 -79.7116407386147 -321.102523079683</f>
        <v>-864.65511251293867</v>
      </c>
      <c r="R857" t="s">
        <v>8494</v>
      </c>
      <c r="S857" t="s">
        <v>8495</v>
      </c>
      <c r="T857" t="s">
        <v>8496</v>
      </c>
      <c r="U857" t="s">
        <v>8497</v>
      </c>
      <c r="V857">
        <f>-601.369511218176 -100.501415063365 -90.0916690636652</f>
        <v>-791.96259534520618</v>
      </c>
      <c r="W857" t="s">
        <v>8498</v>
      </c>
      <c r="X857" t="s">
        <v>8499</v>
      </c>
      <c r="Y857" t="s">
        <v>8500</v>
      </c>
    </row>
    <row r="858" spans="1:25" x14ac:dyDescent="0.3">
      <c r="A858">
        <v>42850</v>
      </c>
      <c r="B858" t="s">
        <v>8501</v>
      </c>
      <c r="C858">
        <f>-633.722257479868 -10.0374920372656 -91.2634430013283</f>
        <v>-735.02319251846177</v>
      </c>
      <c r="D858">
        <f>-656.668822834536 -21.3082838688233 -204.235330308918</f>
        <v>-882.21243701227729</v>
      </c>
      <c r="E858">
        <f>-664.139311100801 -24.7683888671579 -302.514944352252</f>
        <v>-991.42264432021091</v>
      </c>
      <c r="F858">
        <f>-666.445590899708 -25.7818365252597 -391.576082528806</f>
        <v>-1083.8035099537738</v>
      </c>
      <c r="G858">
        <f>-663.903800482897 -24.7119037439247 -480.630227257479</f>
        <v>-1169.2459314843009</v>
      </c>
      <c r="H858">
        <f>-655.221638804945 -21.155418100748 -604.85897154132</f>
        <v>-1281.2360284470128</v>
      </c>
      <c r="I858">
        <f>-624.619670491548 -14.4435085838352 -681.82319173669</f>
        <v>-1320.8863708120732</v>
      </c>
      <c r="J858" t="s">
        <v>8502</v>
      </c>
      <c r="K858" t="s">
        <v>8503</v>
      </c>
      <c r="L858" t="s">
        <v>8504</v>
      </c>
      <c r="M858" t="s">
        <v>8505</v>
      </c>
      <c r="N858">
        <f>-653.305993395564 -49.8266583424786 -550.567070221802</f>
        <v>-1253.6997219598447</v>
      </c>
      <c r="O858">
        <f>-628.968239680459 -182.051769711562 -521.922835031302</f>
        <v>-1332.9428444233231</v>
      </c>
      <c r="P858">
        <f>-602.040816887013 -258.996355850364 -239.176226246586</f>
        <v>-1100.2133989839631</v>
      </c>
      <c r="Q858">
        <f>-464.092941624689 -78.8311720228903 -320.181137045972</f>
        <v>-863.10525069355117</v>
      </c>
      <c r="R858" t="s">
        <v>8506</v>
      </c>
      <c r="S858" t="s">
        <v>8507</v>
      </c>
      <c r="T858" t="s">
        <v>8508</v>
      </c>
      <c r="U858" t="s">
        <v>8509</v>
      </c>
      <c r="V858">
        <f>-600.907560745431 -100.064087117358 -89.9975275513989</f>
        <v>-790.96917541418793</v>
      </c>
      <c r="W858" t="s">
        <v>8510</v>
      </c>
      <c r="X858" t="s">
        <v>8511</v>
      </c>
      <c r="Y858" t="s">
        <v>8512</v>
      </c>
    </row>
    <row r="859" spans="1:25" x14ac:dyDescent="0.3">
      <c r="A859">
        <v>42900</v>
      </c>
      <c r="B859" t="s">
        <v>8513</v>
      </c>
      <c r="C859">
        <f>-633.21125206457 -9.77747722871572 -91.1805545469789</f>
        <v>-734.1692838402646</v>
      </c>
      <c r="D859">
        <f>-656.056448640301 -21.016771816815 -204.176118561954</f>
        <v>-881.24933901907002</v>
      </c>
      <c r="E859">
        <f>-663.37635179174 -24.5581476716975 -302.464142030306</f>
        <v>-990.39864149374353</v>
      </c>
      <c r="F859">
        <f>-665.52338355549 -25.689165864188 -391.527852390725</f>
        <v>-1082.740401810403</v>
      </c>
      <c r="G859">
        <f>-662.800789744058 -24.781632878831 -480.5784856053</f>
        <v>-1168.1609082281889</v>
      </c>
      <c r="H859">
        <f>-653.845044102636 -21.49948317096 -604.795308525405</f>
        <v>-1280.139835799001</v>
      </c>
      <c r="I859">
        <f>-623.119433577662 -14.9523139147939 -681.724639239157</f>
        <v>-1319.796386731613</v>
      </c>
      <c r="J859" t="s">
        <v>8514</v>
      </c>
      <c r="K859" t="s">
        <v>8515</v>
      </c>
      <c r="L859" t="s">
        <v>8516</v>
      </c>
      <c r="M859" t="s">
        <v>8517</v>
      </c>
      <c r="N859">
        <f>-652.060168437349 -50.0530064086024 -550.437077685531</f>
        <v>-1252.5502525314823</v>
      </c>
      <c r="O859">
        <f>-627.831099616596 -182.228970051624 -521.452291494145</f>
        <v>-1331.5123611623649</v>
      </c>
      <c r="P859">
        <f>-601.885839933879 -258.656514567272 -238.473711847477</f>
        <v>-1099.0160663486279</v>
      </c>
      <c r="Q859">
        <f>-464.524215287466 -77.8774704212935 -319.106213261366</f>
        <v>-861.50789897012555</v>
      </c>
      <c r="R859" t="s">
        <v>8518</v>
      </c>
      <c r="S859" t="s">
        <v>8519</v>
      </c>
      <c r="T859" t="s">
        <v>8520</v>
      </c>
      <c r="U859" t="s">
        <v>8521</v>
      </c>
      <c r="V859">
        <f>-600.478731292612 -99.7858039635562 -89.9164899763489</f>
        <v>-790.18102523251707</v>
      </c>
      <c r="W859" t="s">
        <v>8522</v>
      </c>
      <c r="X859" t="s">
        <v>8523</v>
      </c>
      <c r="Y859" t="s">
        <v>8524</v>
      </c>
    </row>
    <row r="860" spans="1:25" x14ac:dyDescent="0.3">
      <c r="A860">
        <v>42950</v>
      </c>
      <c r="B860" t="s">
        <v>8525</v>
      </c>
      <c r="C860">
        <f>-632.263222198742 -9.27330164203522 -90.9828485934011</f>
        <v>-732.51937243417831</v>
      </c>
      <c r="D860">
        <f>-654.91194342989 -20.4288593720973 -204.026297935255</f>
        <v>-879.36710073724237</v>
      </c>
      <c r="E860">
        <f>-661.936698102216 -24.1822820271432 -302.32801077411</f>
        <v>-988.44699090346921</v>
      </c>
      <c r="F860">
        <f>-663.773330359167 -25.6170225531375 -391.394297462453</f>
        <v>-1080.7846503747573</v>
      </c>
      <c r="G860">
        <f>-660.701181581147 -25.1244815172186 -480.436750907712</f>
        <v>-1166.2624140060775</v>
      </c>
      <c r="H860">
        <f>-651.21980269671 -22.5376275227204 -604.631019546858</f>
        <v>-1278.3884497662884</v>
      </c>
      <c r="I860">
        <f>-620.25578386071 -16.3552510816278 -681.494897245154</f>
        <v>-1318.1059321874918</v>
      </c>
      <c r="J860" t="s">
        <v>8526</v>
      </c>
      <c r="K860" t="s">
        <v>8527</v>
      </c>
      <c r="L860" t="s">
        <v>8528</v>
      </c>
      <c r="M860" t="s">
        <v>8529</v>
      </c>
      <c r="N860">
        <f>-649.670672824494 -50.7874297616013 -550.107143280807</f>
        <v>-1250.5652458669024</v>
      </c>
      <c r="O860">
        <f>-625.650491742223 -182.815205628138 -520.294197163967</f>
        <v>-1328.7598945343279</v>
      </c>
      <c r="P860">
        <f>-601.95921822805 -257.361753431987 -236.617011797143</f>
        <v>-1095.9379834571801</v>
      </c>
      <c r="Q860">
        <f>-465.704329104558 -75.4690264610636 -316.620402824496</f>
        <v>-857.79375839011755</v>
      </c>
      <c r="R860" t="s">
        <v>8530</v>
      </c>
      <c r="S860" t="s">
        <v>8531</v>
      </c>
      <c r="T860" t="s">
        <v>8532</v>
      </c>
      <c r="U860" t="s">
        <v>8533</v>
      </c>
      <c r="V860">
        <f>-599.780701641737 -99.3407724663875 -89.6947980866971</f>
        <v>-788.81627219482164</v>
      </c>
      <c r="W860" t="s">
        <v>8534</v>
      </c>
      <c r="X860" t="s">
        <v>8535</v>
      </c>
      <c r="Y860" t="s">
        <v>8536</v>
      </c>
    </row>
    <row r="861" spans="1:25" x14ac:dyDescent="0.3">
      <c r="A861">
        <v>43000</v>
      </c>
      <c r="B861" t="s">
        <v>8537</v>
      </c>
      <c r="C861">
        <f>-631.310534550794 -8.34414392344524 -90.8796796926641</f>
        <v>-730.53435816690342</v>
      </c>
      <c r="D861">
        <f>-653.730145257719 -19.3941865307625 -203.979100881833</f>
        <v>-877.10343267031442</v>
      </c>
      <c r="E861">
        <f>-660.441657932616 -23.3580321692834 -302.29431969642</f>
        <v>-986.09400979831935</v>
      </c>
      <c r="F861">
        <f>-661.95636901641 -25.1009131674732 -391.361278190903</f>
        <v>-1078.4185603747862</v>
      </c>
      <c r="G861">
        <f>-658.528274707507 -25.0328698015212 -480.392122040942</f>
        <v>-1163.9532665499701</v>
      </c>
      <c r="H861">
        <f>-648.518230570202 -23.159365340191 -604.557759097023</f>
        <v>-1276.235355007416</v>
      </c>
      <c r="I861">
        <f>-617.349538996322 -17.433888434402 -681.37413814982</f>
        <v>-1316.1575655805441</v>
      </c>
      <c r="J861" t="s">
        <v>8538</v>
      </c>
      <c r="K861" t="s">
        <v>8539</v>
      </c>
      <c r="L861" t="s">
        <v>8540</v>
      </c>
      <c r="M861" t="s">
        <v>8541</v>
      </c>
      <c r="N861">
        <f>-647.20471741501 -51.0962098827868 -549.866634685816</f>
        <v>-1248.1675619836128</v>
      </c>
      <c r="O861">
        <f>-623.493109465801 -182.983454946324 -519.16394459571</f>
        <v>-1325.6405090078351</v>
      </c>
      <c r="P861">
        <f>-603.070832415519 -254.978846921555 -234.575145095893</f>
        <v>-1092.624824432967</v>
      </c>
      <c r="Q861">
        <f>-466.737331086544 -72.5262047500769 -313.156879553411</f>
        <v>-852.42041539003185</v>
      </c>
      <c r="R861" t="s">
        <v>8542</v>
      </c>
      <c r="S861" t="s">
        <v>8543</v>
      </c>
      <c r="T861" t="s">
        <v>8544</v>
      </c>
      <c r="U861" t="s">
        <v>8545</v>
      </c>
      <c r="V861">
        <f>-599.084164058735 -98.1869758269261 -89.5844360739745</f>
        <v>-786.85557595963564</v>
      </c>
      <c r="W861" t="s">
        <v>8546</v>
      </c>
      <c r="X861" t="s">
        <v>8547</v>
      </c>
      <c r="Y861" t="s">
        <v>8548</v>
      </c>
    </row>
    <row r="862" spans="1:25" x14ac:dyDescent="0.3">
      <c r="A862">
        <v>43050</v>
      </c>
      <c r="B862" t="s">
        <v>8549</v>
      </c>
      <c r="C862">
        <f>-630.892926509468 -7.74878119021014 -90.8411787996549</f>
        <v>-729.48288649933306</v>
      </c>
      <c r="D862">
        <f>-653.176336468723 -18.73929277252 -203.973386866407</f>
        <v>-875.88901610764992</v>
      </c>
      <c r="E862">
        <f>-659.698359692554 -22.8148247827016 -302.29689892319</f>
        <v>-984.81008339844561</v>
      </c>
      <c r="F862">
        <f>-661.01686903771 -24.7234552408756 -391.363367991544</f>
        <v>-1077.1036922701296</v>
      </c>
      <c r="G862">
        <f>-657.369474870101 -24.8865815727743 -480.385479417982</f>
        <v>-1162.6415358608574</v>
      </c>
      <c r="H862">
        <f>-647.03076056585 -23.4047266082707 -604.529336851355</f>
        <v>-1274.9648240254755</v>
      </c>
      <c r="I862">
        <f>-615.727302576984 -17.9451205714438 -681.310334663547</f>
        <v>-1314.9827578119748</v>
      </c>
      <c r="J862" t="s">
        <v>8550</v>
      </c>
      <c r="K862" t="s">
        <v>8551</v>
      </c>
      <c r="L862" t="s">
        <v>8552</v>
      </c>
      <c r="M862" t="s">
        <v>8553</v>
      </c>
      <c r="N862">
        <f>-645.895246257652 -51.176033318691 -549.750018326954</f>
        <v>-1246.8212979032969</v>
      </c>
      <c r="O862">
        <f>-622.519164714725 -183.010930351327 -518.595197153645</f>
        <v>-1324.125292219697</v>
      </c>
      <c r="P862">
        <f>-604.14577321994 -253.700408513492 -233.539783780827</f>
        <v>-1091.3859655142589</v>
      </c>
      <c r="Q862">
        <f>-467.814355892489 -70.8199720773423 -311.124260802328</f>
        <v>-849.75858877215933</v>
      </c>
      <c r="R862" t="s">
        <v>8554</v>
      </c>
      <c r="S862" t="s">
        <v>8555</v>
      </c>
      <c r="T862" t="s">
        <v>8556</v>
      </c>
      <c r="U862" t="s">
        <v>8557</v>
      </c>
      <c r="V862">
        <f>-598.802468922665 -97.4760278178787 -89.52170967719</f>
        <v>-785.80020641773365</v>
      </c>
      <c r="W862" t="s">
        <v>8558</v>
      </c>
      <c r="X862" t="s">
        <v>8559</v>
      </c>
      <c r="Y862" t="s">
        <v>8560</v>
      </c>
    </row>
    <row r="863" spans="1:25" x14ac:dyDescent="0.3">
      <c r="A863">
        <v>43100</v>
      </c>
      <c r="B863" t="s">
        <v>8561</v>
      </c>
      <c r="C863">
        <f>-630.036532303161 -6.68537253139789 -90.7730496121968</f>
        <v>-727.49495444675574</v>
      </c>
      <c r="D863">
        <f>-651.911024697603 -17.4658244821105 -204.005191675437</f>
        <v>-873.38204085515054</v>
      </c>
      <c r="E863">
        <f>-657.895169233766 -21.7198539815181 -302.355359145532</f>
        <v>-981.97038236081607</v>
      </c>
      <c r="F863">
        <f>-658.661505298355 -23.931375512416 -391.421387980909</f>
        <v>-1074.01426879168</v>
      </c>
      <c r="G863">
        <f>-654.40123960988 -24.540513376008 -480.414195474407</f>
        <v>-1159.3559484602949</v>
      </c>
      <c r="H863">
        <f>-643.147477604856 -23.831566215611 -604.4853873847</f>
        <v>-1271.4644312051669</v>
      </c>
      <c r="I863">
        <f>-611.557396340272 -18.8925799451013 -681.184151113047</f>
        <v>-1311.6341273984203</v>
      </c>
      <c r="J863" t="s">
        <v>8562</v>
      </c>
      <c r="K863" t="s">
        <v>8563</v>
      </c>
      <c r="L863" t="s">
        <v>8564</v>
      </c>
      <c r="M863" t="s">
        <v>8565</v>
      </c>
      <c r="N863">
        <f>-642.5287204359 -51.2844628372047 -549.53756057661</f>
        <v>-1243.3507438497147</v>
      </c>
      <c r="O863">
        <f>-620.153616191664 -183.059112031787 -517.387179111729</f>
        <v>-1320.59990733518</v>
      </c>
      <c r="P863">
        <f>-606.089300418639 -251.589126572581 -231.560084129457</f>
        <v>-1089.238511120677</v>
      </c>
      <c r="Q863">
        <f>-469.51582467714 -67.5385834501315 -305.88330377261</f>
        <v>-842.93771189988149</v>
      </c>
      <c r="R863" t="s">
        <v>8566</v>
      </c>
      <c r="S863" t="s">
        <v>8567</v>
      </c>
      <c r="T863" t="s">
        <v>8568</v>
      </c>
      <c r="U863" t="s">
        <v>8569</v>
      </c>
      <c r="V863">
        <f>-598.409267733689 -96.4617172947737 -89.4105387400183</f>
        <v>-784.28152376848107</v>
      </c>
      <c r="W863" t="s">
        <v>8570</v>
      </c>
      <c r="X863" t="s">
        <v>8571</v>
      </c>
      <c r="Y863" t="s">
        <v>8572</v>
      </c>
    </row>
    <row r="864" spans="1:25" x14ac:dyDescent="0.3">
      <c r="A864">
        <v>43150</v>
      </c>
      <c r="B864" t="s">
        <v>8573</v>
      </c>
      <c r="C864">
        <f>-629.585575209906 -6.15252897195023 -90.805297221268</f>
        <v>-726.54340140312422</v>
      </c>
      <c r="D864">
        <f>-651.238803063448 -16.7872900039804 -204.093751210067</f>
        <v>-872.11984427749542</v>
      </c>
      <c r="E864">
        <f>-656.935559709538 -21.1315526324943 -302.456889544498</f>
        <v>-980.52400188653019</v>
      </c>
      <c r="F864">
        <f>-657.408940642684 -23.5079443223065 -391.520821795351</f>
        <v>-1072.4377067603414</v>
      </c>
      <c r="G864">
        <f>-652.825665264612 -24.3647919083614 -480.495532306016</f>
        <v>-1157.6859894789895</v>
      </c>
      <c r="H864">
        <f>-641.092227198045 -24.0879788138004 -604.524063477567</f>
        <v>-1269.7042694894124</v>
      </c>
      <c r="I864">
        <f>-609.338754432186 -19.4266535541349 -681.172641366234</f>
        <v>-1309.9380493525548</v>
      </c>
      <c r="J864" t="s">
        <v>8574</v>
      </c>
      <c r="K864" t="s">
        <v>8575</v>
      </c>
      <c r="L864" t="s">
        <v>8576</v>
      </c>
      <c r="M864" t="s">
        <v>8577</v>
      </c>
      <c r="N864">
        <f>-640.739301445067 -51.3602637521585 -549.483997461762</f>
        <v>-1241.5835626589874</v>
      </c>
      <c r="O864">
        <f>-618.794483398575 -183.061059937841 -516.781931277693</f>
        <v>-1318.6374746141091</v>
      </c>
      <c r="P864">
        <f>-607.201036362492 -250.483699314595 -230.580915002311</f>
        <v>-1088.265650679398</v>
      </c>
      <c r="Q864">
        <f>-470.387403141724 -65.8687481175104 -303.039216789893</f>
        <v>-839.29536804912743</v>
      </c>
      <c r="R864" t="s">
        <v>8578</v>
      </c>
      <c r="S864" t="s">
        <v>8579</v>
      </c>
      <c r="T864" t="s">
        <v>8580</v>
      </c>
      <c r="U864" t="s">
        <v>8581</v>
      </c>
      <c r="V864">
        <f>-598.355614729315 -95.8860401263084 -89.4042300880732</f>
        <v>-783.64588494369661</v>
      </c>
      <c r="W864" t="s">
        <v>8582</v>
      </c>
      <c r="X864" t="s">
        <v>8583</v>
      </c>
      <c r="Y864" t="s">
        <v>8584</v>
      </c>
    </row>
    <row r="865" spans="1:25" x14ac:dyDescent="0.3">
      <c r="A865">
        <v>43200</v>
      </c>
      <c r="B865" t="s">
        <v>8585</v>
      </c>
      <c r="C865">
        <f>-629.062863522262 -4.85275874030435 -90.9275624786446</f>
        <v>-724.84318474121096</v>
      </c>
      <c r="D865">
        <f>-650.139534736439 -15.1139861515071 -204.359093315467</f>
        <v>-869.61261420341316</v>
      </c>
      <c r="E865">
        <f>-655.163609458596 -19.6580534108332 -302.75002273921</f>
        <v>-977.5716856086392</v>
      </c>
      <c r="F865">
        <f>-654.971201114445 -22.4161059251285 -391.803832447006</f>
        <v>-1069.1911394865795</v>
      </c>
      <c r="G865">
        <f>-649.671970939096 -23.8546217814333 -480.73132433699</f>
        <v>-1154.2579170575193</v>
      </c>
      <c r="H865">
        <f>-636.892727570566 -24.5971159806647 -604.654587629475</f>
        <v>-1266.1444311807059</v>
      </c>
      <c r="I865">
        <f>-604.746805255579 -20.5178526837885 -681.172546327285</f>
        <v>-1306.4372042666525</v>
      </c>
      <c r="J865" t="s">
        <v>8586</v>
      </c>
      <c r="K865" t="s">
        <v>8587</v>
      </c>
      <c r="L865" t="s">
        <v>8588</v>
      </c>
      <c r="M865" t="s">
        <v>8589</v>
      </c>
      <c r="N865">
        <f>-637.118948165994 -51.4391909717704 -549.402699541502</f>
        <v>-1237.9608386792663</v>
      </c>
      <c r="O865">
        <f>-616.257051146622 -183.006536455779 -515.470508597501</f>
        <v>-1314.7340961999021</v>
      </c>
      <c r="P865">
        <f>-609.548078164456 -247.678739359771 -228.479669341391</f>
        <v>-1085.706486865618</v>
      </c>
      <c r="Q865">
        <f>-470.98360748122 -63.0010595692622 -297.363103610369</f>
        <v>-831.34777066085121</v>
      </c>
      <c r="R865" t="s">
        <v>8590</v>
      </c>
      <c r="S865" t="s">
        <v>8591</v>
      </c>
      <c r="T865" t="s">
        <v>8592</v>
      </c>
      <c r="U865" t="s">
        <v>8593</v>
      </c>
      <c r="V865">
        <f>-598.47792688902 -94.6250448645255 -89.4559091935531</f>
        <v>-782.5588809470986</v>
      </c>
      <c r="W865" t="s">
        <v>8594</v>
      </c>
      <c r="X865" t="s">
        <v>8595</v>
      </c>
      <c r="Y865" t="s">
        <v>8596</v>
      </c>
    </row>
    <row r="866" spans="1:25" x14ac:dyDescent="0.3">
      <c r="A866">
        <v>43250</v>
      </c>
      <c r="B866" t="s">
        <v>8597</v>
      </c>
      <c r="C866">
        <f>-628.84338781052 -4.26017088996696 -90.9672919681242</f>
        <v>-724.07085066861111</v>
      </c>
      <c r="D866">
        <f>-649.562866594389 -14.2570014022626 -204.488257034546</f>
        <v>-868.30812503119762</v>
      </c>
      <c r="E866">
        <f>-654.216272954959 -18.8843620365005 -302.893404046121</f>
        <v>-975.99403903758048</v>
      </c>
      <c r="F866">
        <f>-653.670973126265 -21.8365956400855 -391.939653804792</f>
        <v>-1067.4472225711424</v>
      </c>
      <c r="G866">
        <f>-648.00547515154 -23.5873892292079 -480.838842973754</f>
        <v>-1152.4317073545021</v>
      </c>
      <c r="H866">
        <f>-634.704192029907 -24.8871853335966 -604.702597551898</f>
        <v>-1264.2939749154016</v>
      </c>
      <c r="I866">
        <f>-602.395232054709 -21.133240424502 -681.168583718417</f>
        <v>-1304.6970561976282</v>
      </c>
      <c r="J866" t="s">
        <v>8598</v>
      </c>
      <c r="K866" t="s">
        <v>8599</v>
      </c>
      <c r="L866" t="s">
        <v>8600</v>
      </c>
      <c r="M866" t="s">
        <v>8601</v>
      </c>
      <c r="N866">
        <f>-635.244647138099 -51.4966444385163 -549.340454382454</f>
        <v>-1236.0817459590694</v>
      </c>
      <c r="O866">
        <f>-615.109354813576 -183.01067441186 -514.719876656897</f>
        <v>-1312.8399058823329</v>
      </c>
      <c r="P866">
        <f>-610.657305050685 -246.073626785213 -227.327315308851</f>
        <v>-1084.058247144749</v>
      </c>
      <c r="Q866">
        <f>-470.841667441652 -61.8080374558126 -294.771025819269</f>
        <v>-827.42073071673371</v>
      </c>
      <c r="R866" t="s">
        <v>8602</v>
      </c>
      <c r="S866" t="s">
        <v>8603</v>
      </c>
      <c r="T866" t="s">
        <v>8604</v>
      </c>
      <c r="U866" t="s">
        <v>8605</v>
      </c>
      <c r="V866">
        <f>-598.697127206039 -94.1304914588136 -89.5126164669234</f>
        <v>-782.34023513177601</v>
      </c>
      <c r="W866" t="s">
        <v>8606</v>
      </c>
      <c r="X866" t="s">
        <v>8607</v>
      </c>
      <c r="Y866" t="s">
        <v>8608</v>
      </c>
    </row>
    <row r="867" spans="1:25" x14ac:dyDescent="0.3">
      <c r="A867">
        <v>43300</v>
      </c>
      <c r="B867" t="s">
        <v>8609</v>
      </c>
      <c r="C867">
        <f>-628.569863788517 -2.79880511436113 -90.981124181051</f>
        <v>-722.34979308392906</v>
      </c>
      <c r="D867">
        <f>-648.60909008223 -12.3292164486011 -204.664069320476</f>
        <v>-865.60237585130699</v>
      </c>
      <c r="E867">
        <f>-652.523490517029 -17.1392397239892 -303.09277909417</f>
        <v>-972.75550933518821</v>
      </c>
      <c r="F867">
        <f>-651.263242731619 -20.4772792092726 -392.118060367725</f>
        <v>-1063.8585823086166</v>
      </c>
      <c r="G867">
        <f>-644.843598770948 -22.8323434452486 -480.951997738467</f>
        <v>-1148.6279399546636</v>
      </c>
      <c r="H867">
        <f>-630.45485692604 -25.2013689876455 -604.678221013386</f>
        <v>-1260.3344469270714</v>
      </c>
      <c r="I867">
        <f>-597.797022110477 -22.16051057867 -681.027804862242</f>
        <v>-1300.985337551389</v>
      </c>
      <c r="J867" t="s">
        <v>8610</v>
      </c>
      <c r="K867" t="s">
        <v>8611</v>
      </c>
      <c r="L867" t="s">
        <v>8612</v>
      </c>
      <c r="M867" t="s">
        <v>8613</v>
      </c>
      <c r="N867">
        <f>-631.67955006024 -51.3704282706535 -549.117449002928</f>
        <v>-1232.1674273338215</v>
      </c>
      <c r="O867">
        <f>-613.143262724072 -182.782234288945 -513.248684037379</f>
        <v>-1309.1741810503959</v>
      </c>
      <c r="P867">
        <f>-613.618761549259 -242.44990966614 -225.098008463398</f>
        <v>-1081.166679678797</v>
      </c>
      <c r="Q867">
        <f>-470.314978923436 -60.076024159315 -290.326037290073</f>
        <v>-820.71704037282393</v>
      </c>
      <c r="R867" t="s">
        <v>8614</v>
      </c>
      <c r="S867" t="s">
        <v>8615</v>
      </c>
      <c r="T867" t="s">
        <v>8616</v>
      </c>
      <c r="U867" t="s">
        <v>8617</v>
      </c>
      <c r="V867">
        <f>-599.515620179291 -92.6353460218652 -89.5470294038166</f>
        <v>-781.69799560497279</v>
      </c>
      <c r="W867" t="s">
        <v>8618</v>
      </c>
      <c r="X867" t="s">
        <v>8619</v>
      </c>
      <c r="Y867" t="s">
        <v>8620</v>
      </c>
    </row>
    <row r="868" spans="1:25" x14ac:dyDescent="0.3">
      <c r="A868">
        <v>43350</v>
      </c>
      <c r="B868" t="s">
        <v>8621</v>
      </c>
      <c r="C868">
        <f>-628.585129274291 -1.86722576774355 -91.0213543955571</f>
        <v>-721.47370943759165</v>
      </c>
      <c r="D868">
        <f>-648.2626105257 -11.1793694295995 -204.785496948967</f>
        <v>-864.2274769042665</v>
      </c>
      <c r="E868">
        <f>-651.797479439762 -16.0675815238847 -303.224704465321</f>
        <v>-971.08976542896767</v>
      </c>
      <c r="F868">
        <f>-650.173781637286 -19.5759337986979 -392.237512713294</f>
        <v>-1061.9872281492778</v>
      </c>
      <c r="G868">
        <f>-643.373088349649 -22.2003684525253 -481.035669922714</f>
        <v>-1146.6091267248883</v>
      </c>
      <c r="H868">
        <f>-628.437500801972 -25.0467733406726 -604.68699735803</f>
        <v>-1258.1712715006747</v>
      </c>
      <c r="I868">
        <f>-595.567822321734 -22.3557871732735 -680.958712628525</f>
        <v>-1298.8823221235325</v>
      </c>
      <c r="J868" t="s">
        <v>8622</v>
      </c>
      <c r="K868" t="s">
        <v>8623</v>
      </c>
      <c r="L868" t="s">
        <v>8624</v>
      </c>
      <c r="M868" t="s">
        <v>8625</v>
      </c>
      <c r="N868">
        <f>-630.021396644231 -51.0228258707316 -549.044710396205</f>
        <v>-1230.0889329111676</v>
      </c>
      <c r="O868">
        <f>-612.392002814041 -182.408262066883 -512.602415722769</f>
        <v>-1307.4026806036932</v>
      </c>
      <c r="P868">
        <f>-615.384704846517 -240.358448493131 -224.116629900442</f>
        <v>-1079.8597832400899</v>
      </c>
      <c r="Q868">
        <f>-469.910139946252 -59.3451829803748 -288.321020531668</f>
        <v>-817.57634345829479</v>
      </c>
      <c r="R868" t="s">
        <v>8626</v>
      </c>
      <c r="S868" t="s">
        <v>8627</v>
      </c>
      <c r="T868" t="s">
        <v>8628</v>
      </c>
      <c r="U868" t="s">
        <v>8629</v>
      </c>
      <c r="V868">
        <f>-599.983135474801 -91.6026793681344 -89.5853485912161</f>
        <v>-781.17116343415148</v>
      </c>
      <c r="W868" t="s">
        <v>8630</v>
      </c>
      <c r="X868" t="s">
        <v>8631</v>
      </c>
      <c r="Y868" t="s">
        <v>8632</v>
      </c>
    </row>
    <row r="869" spans="1:25" x14ac:dyDescent="0.3">
      <c r="A869">
        <v>43400</v>
      </c>
      <c r="B869" t="s">
        <v>8633</v>
      </c>
      <c r="C869">
        <f>-628.536132134778 -0.447453726719914 -91.0338398289331</f>
        <v>-720.01742569043097</v>
      </c>
      <c r="D869">
        <f>-647.460047621041 -9.27207575444027 -204.964566624957</f>
        <v>-861.69669000043825</v>
      </c>
      <c r="E869">
        <f>-650.245556297255 -14.2320968327883 -303.424295833202</f>
        <v>-967.90194896324533</v>
      </c>
      <c r="F869">
        <f>-647.91684256477 -17.9834969056546 -392.411576173239</f>
        <v>-1058.3119156436637</v>
      </c>
      <c r="G869">
        <f>-640.389924102264 -21.0259710707001 -481.137789057681</f>
        <v>-1142.5536842306451</v>
      </c>
      <c r="H869">
        <f>-624.422902620626 -24.6332493901612 -604.640294195332</f>
        <v>-1253.6964462061192</v>
      </c>
      <c r="I869">
        <f>-591.128919562206 -22.5541753150251 -680.746830849684</f>
        <v>-1294.4299257269149</v>
      </c>
      <c r="J869" t="s">
        <v>8634</v>
      </c>
      <c r="K869" t="s">
        <v>8635</v>
      </c>
      <c r="L869" t="s">
        <v>8636</v>
      </c>
      <c r="M869" t="s">
        <v>8637</v>
      </c>
      <c r="N869">
        <f>-626.696766350637 -50.3078561357624 -548.882290262777</f>
        <v>-1225.8869127491764</v>
      </c>
      <c r="O869">
        <f>-610.89514531149 -181.634749770694 -511.443116325597</f>
        <v>-1303.9730114077809</v>
      </c>
      <c r="P869">
        <f>-619.271836376558 -236.290768724788 -222.421006968363</f>
        <v>-1077.9836120697089</v>
      </c>
      <c r="Q869">
        <f>-469.330438389664 -57.7882541249949 -283.29215007651</f>
        <v>-810.41084259116883</v>
      </c>
      <c r="R869" t="s">
        <v>8638</v>
      </c>
      <c r="S869" t="s">
        <v>8639</v>
      </c>
      <c r="T869" t="s">
        <v>8640</v>
      </c>
      <c r="U869" t="s">
        <v>8641</v>
      </c>
      <c r="V869">
        <f>-600.94593705937 -90.085272467765 -89.5702998123729</f>
        <v>-780.60150933950786</v>
      </c>
      <c r="W869" t="s">
        <v>8642</v>
      </c>
      <c r="X869" t="s">
        <v>8643</v>
      </c>
      <c r="Y869" t="s">
        <v>8644</v>
      </c>
    </row>
    <row r="870" spans="1:25" x14ac:dyDescent="0.3">
      <c r="A870">
        <v>43450</v>
      </c>
      <c r="B870" t="s">
        <v>8645</v>
      </c>
      <c r="C870">
        <f>-628.35861075689 -0.0550584956154125 -91.0185269945408</f>
        <v>-719.43219624704625</v>
      </c>
      <c r="D870">
        <f>-646.922467042361 -8.57842689158338 -205.031440718183</f>
        <v>-860.53233465212736</v>
      </c>
      <c r="E870">
        <f>-649.293250307592 -13.5652817458852 -303.500607867184</f>
        <v>-966.35913992066116</v>
      </c>
      <c r="F870">
        <f>-646.554002617845 -17.4454472644709 -392.470743804056</f>
        <v>-1056.4701936863719</v>
      </c>
      <c r="G870">
        <f>-638.5848755901 -20.7194334196613 -481.150064775927</f>
        <v>-1140.4543737856882</v>
      </c>
      <c r="H870">
        <f>-621.970228347734 -24.7536572594506 -604.553836388856</f>
        <v>-1251.2777219960406</v>
      </c>
      <c r="I870">
        <f>-588.418930325094 -22.9710584617135 -680.554851592783</f>
        <v>-1291.9448403795905</v>
      </c>
      <c r="J870" t="s">
        <v>8646</v>
      </c>
      <c r="K870" t="s">
        <v>8647</v>
      </c>
      <c r="L870" t="s">
        <v>8648</v>
      </c>
      <c r="M870" t="s">
        <v>8649</v>
      </c>
      <c r="N870">
        <f>-624.639910994543 -50.2537110599922 -548.73335834266</f>
        <v>-1223.6269803971952</v>
      </c>
      <c r="O870">
        <f>-609.665076681039 -181.516762143595 -510.782649031946</f>
        <v>-1301.96448785658</v>
      </c>
      <c r="P870">
        <f>-620.940509589892 -234.893074067511 -221.620114572199</f>
        <v>-1077.4536982296022</v>
      </c>
      <c r="Q870">
        <f>-468.965017164225 -57.5028951010768 -280.671672380006</f>
        <v>-807.13958464530788</v>
      </c>
      <c r="R870" t="s">
        <v>8650</v>
      </c>
      <c r="S870" t="s">
        <v>8651</v>
      </c>
      <c r="T870" t="s">
        <v>8652</v>
      </c>
      <c r="U870" t="s">
        <v>8653</v>
      </c>
      <c r="V870">
        <f>-601.528760040577 -89.5895985221844 -89.5853716284436</f>
        <v>-780.70373019120495</v>
      </c>
      <c r="W870" t="s">
        <v>8654</v>
      </c>
      <c r="X870" t="s">
        <v>8655</v>
      </c>
      <c r="Y870" t="s">
        <v>8656</v>
      </c>
    </row>
    <row r="871" spans="1:25" x14ac:dyDescent="0.3">
      <c r="A871">
        <v>43500</v>
      </c>
      <c r="B871" t="s">
        <v>8657</v>
      </c>
      <c r="C871" t="s">
        <v>8658</v>
      </c>
      <c r="D871">
        <f>-645.658135050568 -7.31580198705092 -205.222148630421</f>
        <v>-858.19608566803993</v>
      </c>
      <c r="E871">
        <f>-646.990721947917 -12.2776905220835 -303.712074504664</f>
        <v>-962.98048697466447</v>
      </c>
      <c r="F871">
        <f>-643.216615320175 -16.3459518725242 -392.635827565022</f>
        <v>-1052.1983947577212</v>
      </c>
      <c r="G871">
        <f>-634.123598503598 -20.0153634708765 -481.19142947068</f>
        <v>-1135.3303914451546</v>
      </c>
      <c r="H871">
        <f>-615.853643417244 -24.8125554269659 -604.33372807652</f>
        <v>-1244.9999269207299</v>
      </c>
      <c r="I871">
        <f>-581.773276620306 -23.5757370336867 -680.109839428945</f>
        <v>-1285.4588530829376</v>
      </c>
      <c r="J871" t="s">
        <v>8659</v>
      </c>
      <c r="K871" t="s">
        <v>8660</v>
      </c>
      <c r="L871" t="s">
        <v>8661</v>
      </c>
      <c r="M871" t="s">
        <v>8662</v>
      </c>
      <c r="N871">
        <f>-619.497352712922 -50.0058417185189 -548.429034488927</f>
        <v>-1217.9322289203678</v>
      </c>
      <c r="O871">
        <f>-606.376857929561 -181.185853679489 -509.52167976662</f>
        <v>-1297.0843913756701</v>
      </c>
      <c r="P871">
        <f>-624.351126749313 -231.70517090806 -220.184675879137</f>
        <v>-1076.24097353651</v>
      </c>
      <c r="Q871">
        <f>-468.479664724652 -56.4392235807709 -275.292076351484</f>
        <v>-800.21096465690698</v>
      </c>
      <c r="R871" t="s">
        <v>8663</v>
      </c>
      <c r="S871" t="s">
        <v>8664</v>
      </c>
      <c r="T871" t="s">
        <v>8665</v>
      </c>
      <c r="U871" t="s">
        <v>8666</v>
      </c>
      <c r="V871">
        <f>-602.828744162763 -88.6700101722088 -89.653543285304</f>
        <v>-781.1522976202757</v>
      </c>
      <c r="W871" t="s">
        <v>8667</v>
      </c>
      <c r="X871" t="s">
        <v>8668</v>
      </c>
      <c r="Y871" t="s">
        <v>8669</v>
      </c>
    </row>
    <row r="872" spans="1:25" x14ac:dyDescent="0.3">
      <c r="A872">
        <v>43550</v>
      </c>
      <c r="B872" t="s">
        <v>8670</v>
      </c>
      <c r="C872" t="s">
        <v>8671</v>
      </c>
      <c r="D872">
        <f>-645.189045519668 -6.7417303501727 -205.365327346842</f>
        <v>-857.2961032166827</v>
      </c>
      <c r="E872">
        <f>-645.945091894666 -11.6764492005207 -303.862622320927</f>
        <v>-961.48416341611369</v>
      </c>
      <c r="F872">
        <f>-641.592906277612 -15.8159512745344 -392.756696374619</f>
        <v>-1050.1655539267654</v>
      </c>
      <c r="G872">
        <f>-631.868925854609 -19.6510067049508 -481.238177387849</f>
        <v>-1132.7581099474087</v>
      </c>
      <c r="H872">
        <f>-612.665333838208 -24.7760065759715 -604.225124221282</f>
        <v>-1241.6664646354616</v>
      </c>
      <c r="I872">
        <f>-578.36019148755 -23.8029156962264 -679.903684879586</f>
        <v>-1282.0667920633623</v>
      </c>
      <c r="J872" t="s">
        <v>8672</v>
      </c>
      <c r="K872" t="s">
        <v>8673</v>
      </c>
      <c r="L872" t="s">
        <v>8674</v>
      </c>
      <c r="M872" t="s">
        <v>8675</v>
      </c>
      <c r="N872">
        <f>-616.843371362847 -49.8388009919361 -548.299202960672</f>
        <v>-1214.9813753154551</v>
      </c>
      <c r="O872">
        <f>-604.509086490554 -180.972644396522 -508.936525141968</f>
        <v>-1294.418256029044</v>
      </c>
      <c r="P872">
        <f>-626.148009191689 -230.829833850785 -219.735538732973</f>
        <v>-1076.713381775447</v>
      </c>
      <c r="Q872">
        <f>-468.760587881988 -56.3129912251629 -272.876540261586</f>
        <v>-797.95011936873686</v>
      </c>
      <c r="R872" t="s">
        <v>8676</v>
      </c>
      <c r="S872" t="s">
        <v>8677</v>
      </c>
      <c r="T872" t="s">
        <v>8678</v>
      </c>
      <c r="U872" t="s">
        <v>8679</v>
      </c>
      <c r="V872">
        <f>-603.602493991758 -88.4319583850386 -89.700922637944</f>
        <v>-781.73537501474061</v>
      </c>
      <c r="W872" t="s">
        <v>8680</v>
      </c>
      <c r="X872" t="s">
        <v>8681</v>
      </c>
      <c r="Y872" t="s">
        <v>8682</v>
      </c>
    </row>
    <row r="873" spans="1:25" x14ac:dyDescent="0.3">
      <c r="A873">
        <v>43600</v>
      </c>
      <c r="B873" t="s">
        <v>8683</v>
      </c>
      <c r="C873" t="s">
        <v>8684</v>
      </c>
      <c r="D873">
        <f>-644.374453244482 -5.61826790904729 -205.600090634628</f>
        <v>-855.59281178815729</v>
      </c>
      <c r="E873">
        <f>-643.959714817022 -10.5016172595456 -304.102040159693</f>
        <v>-958.56337223626065</v>
      </c>
      <c r="F873">
        <f>-638.445833517726 -14.7799067010333 -392.925188309364</f>
        <v>-1046.1509285281231</v>
      </c>
      <c r="G873">
        <f>-627.464106422782 -18.9385758352751 -481.244784507776</f>
        <v>-1127.6474667658331</v>
      </c>
      <c r="H873">
        <f>-606.410082830615 -24.7056175089601 -603.899877679</f>
        <v>-1235.0155780185751</v>
      </c>
      <c r="I873">
        <f>-571.661571058238 -24.2128881472274 -679.380482986179</f>
        <v>-1275.2549421916444</v>
      </c>
      <c r="J873" t="s">
        <v>8685</v>
      </c>
      <c r="K873" t="s">
        <v>8686</v>
      </c>
      <c r="L873" t="s">
        <v>8687</v>
      </c>
      <c r="M873" t="s">
        <v>8688</v>
      </c>
      <c r="N873">
        <f>-611.607121512057 -49.5047284145555 -547.941854739901</f>
        <v>-1209.0537046665136</v>
      </c>
      <c r="O873">
        <f>-600.720832340542 -180.51886765208 -507.827494766162</f>
        <v>-1289.0671947587839</v>
      </c>
      <c r="P873">
        <f>-629.645654953322 -228.387839038719 -218.927631730068</f>
        <v>-1076.961125722109</v>
      </c>
      <c r="Q873">
        <f>-469.145657682249 -55.7333545720362 -268.737981875018</f>
        <v>-793.61699412930318</v>
      </c>
      <c r="R873" t="s">
        <v>8689</v>
      </c>
      <c r="S873" t="s">
        <v>8690</v>
      </c>
      <c r="T873" t="s">
        <v>8691</v>
      </c>
      <c r="U873" t="s">
        <v>8692</v>
      </c>
      <c r="V873">
        <f>-604.834638985341 -87.8882212256649 -89.9090289771349</f>
        <v>-782.6318891881408</v>
      </c>
      <c r="W873" t="s">
        <v>8693</v>
      </c>
      <c r="X873" t="s">
        <v>8694</v>
      </c>
      <c r="Y873" t="s">
        <v>8695</v>
      </c>
    </row>
    <row r="874" spans="1:25" x14ac:dyDescent="0.3">
      <c r="A874">
        <v>43650</v>
      </c>
      <c r="B874" t="s">
        <v>8696</v>
      </c>
      <c r="C874" t="s">
        <v>8697</v>
      </c>
      <c r="D874">
        <f>-644.024836090204 -5.29039276106118 -205.720255468739</f>
        <v>-855.03548432000412</v>
      </c>
      <c r="E874">
        <f>-643.09657274625 -10.1340994247414 -304.220590158417</f>
        <v>-957.45126232940834</v>
      </c>
      <c r="F874">
        <f>-637.07733755959 -14.454330264598 -393.008812294769</f>
        <v>-1044.540480118957</v>
      </c>
      <c r="G874">
        <f>-625.552493063124 -18.7323642077645 -481.253569621205</f>
        <v>-1125.5384268920934</v>
      </c>
      <c r="H874">
        <f>-603.702956320614 -24.7460787503951 -603.757674006569</f>
        <v>-1232.2067090775781</v>
      </c>
      <c r="I874">
        <f>-568.741365044065 -24.3975830030258 -679.140549054914</f>
        <v>-1272.2794971020048</v>
      </c>
      <c r="J874" t="s">
        <v>8698</v>
      </c>
      <c r="K874" t="s">
        <v>8699</v>
      </c>
      <c r="L874" t="s">
        <v>8700</v>
      </c>
      <c r="M874" t="s">
        <v>8701</v>
      </c>
      <c r="N874">
        <f>-609.297391648783 -49.4381219501113 -547.790578063117</f>
        <v>-1206.5260916620114</v>
      </c>
      <c r="O874">
        <f>-598.877537161348 -180.423804804905 -507.381552621068</f>
        <v>-1286.682894587321</v>
      </c>
      <c r="P874">
        <f>-631.037809924795 -227.559316429631 -218.703233869718</f>
        <v>-1077.300360224144</v>
      </c>
      <c r="Q874">
        <f>-469.213001006893 -55.6803139854169 -266.88294666422</f>
        <v>-791.77626165652987</v>
      </c>
      <c r="R874" t="s">
        <v>8702</v>
      </c>
      <c r="S874" t="s">
        <v>8703</v>
      </c>
      <c r="T874" t="s">
        <v>8704</v>
      </c>
      <c r="U874" t="s">
        <v>8705</v>
      </c>
      <c r="V874">
        <f>-605.355180753603 -87.9524090354805 -90.0501244867553</f>
        <v>-783.35771427583882</v>
      </c>
      <c r="W874" t="s">
        <v>8706</v>
      </c>
      <c r="X874" t="s">
        <v>8707</v>
      </c>
      <c r="Y874" t="s">
        <v>8708</v>
      </c>
    </row>
    <row r="875" spans="1:25" x14ac:dyDescent="0.3">
      <c r="A875">
        <v>43700</v>
      </c>
      <c r="B875" t="s">
        <v>8709</v>
      </c>
      <c r="C875" t="s">
        <v>8710</v>
      </c>
      <c r="D875">
        <f>-643.017990345237 -5.43882165902664 -205.923233844593</f>
        <v>-854.38004584885664</v>
      </c>
      <c r="E875">
        <f>-641.249521569942 -10.2218834266669 -304.415187719023</f>
        <v>-955.88659271563188</v>
      </c>
      <c r="F875">
        <f>-634.425832544714 -14.6028162163902 -393.142189345297</f>
        <v>-1042.1708381064013</v>
      </c>
      <c r="G875">
        <f>-622.056983219701 -19.0556067800501 -481.263844171448</f>
        <v>-1122.376434171199</v>
      </c>
      <c r="H875">
        <f>-598.991366192746 -25.4323009681189 -603.526306131991</f>
        <v>-1227.9499732928557</v>
      </c>
      <c r="I875">
        <f>-563.697907554762 -25.1775220066395 -678.755011224595</f>
        <v>-1267.6304407859966</v>
      </c>
      <c r="J875" t="s">
        <v>8711</v>
      </c>
      <c r="K875" t="s">
        <v>8712</v>
      </c>
      <c r="L875" t="s">
        <v>8713</v>
      </c>
      <c r="M875" t="s">
        <v>8714</v>
      </c>
      <c r="N875">
        <f>-605.104746882904 -49.9523177425895 -547.537945625978</f>
        <v>-1202.5950102514714</v>
      </c>
      <c r="O875">
        <f>-594.881986402006 -180.815890515728 -506.721938563836</f>
        <v>-1282.4198154815699</v>
      </c>
      <c r="P875">
        <f>-633.731348500124 -225.214954941817 -218.432735614442</f>
        <v>-1077.3790390563831</v>
      </c>
      <c r="Q875">
        <f>-467.350928105702 -56.8681610049998 -263.463730966546</f>
        <v>-787.68282007724781</v>
      </c>
      <c r="R875" t="s">
        <v>8715</v>
      </c>
      <c r="S875" t="s">
        <v>8716</v>
      </c>
      <c r="T875" t="s">
        <v>8717</v>
      </c>
      <c r="U875" t="s">
        <v>8718</v>
      </c>
      <c r="V875">
        <f>-605.22640479695 -88.6139178889737 -90.3553521828921</f>
        <v>-784.19567486881579</v>
      </c>
      <c r="W875" t="s">
        <v>8719</v>
      </c>
      <c r="X875" t="s">
        <v>8720</v>
      </c>
      <c r="Y875" t="s">
        <v>8721</v>
      </c>
    </row>
    <row r="876" spans="1:25" x14ac:dyDescent="0.3">
      <c r="A876">
        <v>43750</v>
      </c>
      <c r="B876" t="s">
        <v>8722</v>
      </c>
      <c r="C876">
        <f>-627.803037509644 -0.0448583487561791 -91.2519450469961</f>
        <v>-719.09984090539626</v>
      </c>
      <c r="D876">
        <f>-642.289557500792 -6.10480087427072 -206.011113738468</f>
        <v>-854.40547211353066</v>
      </c>
      <c r="E876">
        <f>-640.175264351007 -10.8555687099301 -304.497734947464</f>
        <v>-955.52856800840107</v>
      </c>
      <c r="F876">
        <f>-633.029458934754 -15.2386937977858 -393.199162071443</f>
        <v>-1041.4673148039828</v>
      </c>
      <c r="G876">
        <f>-620.33052686403 -19.7266040935965 -481.272235594916</f>
        <v>-1121.3293665525425</v>
      </c>
      <c r="H876">
        <f>-596.797259112608 -26.1884147077778 -603.441074588174</f>
        <v>-1226.4267484085599</v>
      </c>
      <c r="I876">
        <f>-561.41091650977 -25.8912930951035 -678.625675215421</f>
        <v>-1265.9278848202944</v>
      </c>
      <c r="J876" t="s">
        <v>8723</v>
      </c>
      <c r="K876" t="s">
        <v>8724</v>
      </c>
      <c r="L876" t="s">
        <v>8725</v>
      </c>
      <c r="M876" t="s">
        <v>8726</v>
      </c>
      <c r="N876">
        <f>-603.086480310998 -50.6630168411812 -547.452321334451</f>
        <v>-1201.2018184866301</v>
      </c>
      <c r="O876">
        <f>-592.782129990443 -181.483584596468 -506.530007665621</f>
        <v>-1280.795722252532</v>
      </c>
      <c r="P876">
        <f>-633.738993841188 -225.272543750813 -218.439248735014</f>
        <v>-1077.4507863270151</v>
      </c>
      <c r="Q876">
        <f>-466.456202798161 -57.7063187319416 -263.036269790506</f>
        <v>-787.19879132060862</v>
      </c>
      <c r="R876" t="s">
        <v>8727</v>
      </c>
      <c r="S876" t="s">
        <v>8728</v>
      </c>
      <c r="T876" t="s">
        <v>8729</v>
      </c>
      <c r="U876" t="s">
        <v>8730</v>
      </c>
      <c r="V876">
        <f>-604.68857433004 -89.5114176953452 -90.4714230827867</f>
        <v>-784.67141510817191</v>
      </c>
      <c r="W876" t="s">
        <v>8731</v>
      </c>
      <c r="X876" t="s">
        <v>8732</v>
      </c>
      <c r="Y876" t="s">
        <v>8733</v>
      </c>
    </row>
    <row r="877" spans="1:25" x14ac:dyDescent="0.3">
      <c r="A877">
        <v>43800</v>
      </c>
      <c r="B877" t="s">
        <v>8734</v>
      </c>
      <c r="C877">
        <f>-627.12120947853 -1.80145155137984 -91.305890735253</f>
        <v>-720.22855176516282</v>
      </c>
      <c r="D877">
        <f>-641.225075315607 -7.77806369335462 -206.116935666135</f>
        <v>-855.12007467509659</v>
      </c>
      <c r="E877">
        <f>-638.701221078542 -12.4283330376452 -304.598695279821</f>
        <v>-955.7282493960081</v>
      </c>
      <c r="F877">
        <f>-631.153084221609 -16.7171831792348 -393.271641836043</f>
        <v>-1041.1419092368867</v>
      </c>
      <c r="G877">
        <f>-618.021700000816 -21.1079671941868 -481.285956333549</f>
        <v>-1120.4156235285518</v>
      </c>
      <c r="H877">
        <f>-593.8543417189 -27.4336099257687 -603.338179492787</f>
        <v>-1224.6261311374556</v>
      </c>
      <c r="I877">
        <f>-558.279290532996 -26.9301713040443 -678.432633813877</f>
        <v>-1263.6420956509173</v>
      </c>
      <c r="J877" t="s">
        <v>8735</v>
      </c>
      <c r="K877" t="s">
        <v>8736</v>
      </c>
      <c r="L877" t="s">
        <v>8737</v>
      </c>
      <c r="M877" t="s">
        <v>8738</v>
      </c>
      <c r="N877">
        <f>-600.302293777654 -51.948860335486 -547.385162156108</f>
        <v>-1199.6363162692478</v>
      </c>
      <c r="O877">
        <f>-589.395639838703 -182.745381765888 -506.502564304478</f>
        <v>-1278.6435859090691</v>
      </c>
      <c r="P877">
        <f>-632.563981035621 -225.300529339041 -218.549877572289</f>
        <v>-1076.4143879469511</v>
      </c>
      <c r="Q877">
        <f>-465.921516657281 -57.2225892841871 -263.616332806165</f>
        <v>-786.76043874763309</v>
      </c>
      <c r="R877" t="s">
        <v>8739</v>
      </c>
      <c r="S877" t="s">
        <v>8740</v>
      </c>
      <c r="T877" t="s">
        <v>8741</v>
      </c>
      <c r="U877" t="s">
        <v>8742</v>
      </c>
      <c r="V877">
        <f>-603.815418787181 -91.4227194160126 -90.5733623000395</f>
        <v>-785.81150050323311</v>
      </c>
      <c r="W877" t="s">
        <v>8743</v>
      </c>
      <c r="X877" t="s">
        <v>8744</v>
      </c>
      <c r="Y877" t="s">
        <v>8745</v>
      </c>
    </row>
    <row r="878" spans="1:25" x14ac:dyDescent="0.3">
      <c r="A878">
        <v>43850</v>
      </c>
      <c r="B878" t="s">
        <v>8746</v>
      </c>
      <c r="C878">
        <f>-627.194797671636 -2.60701369566141 -91.3710133604657</f>
        <v>-721.1728247277631</v>
      </c>
      <c r="D878">
        <f>-641.316643922385 -8.56766782564864 -206.180719950968</f>
        <v>-856.06503169900157</v>
      </c>
      <c r="E878">
        <f>-638.757197560495 -13.1432852628348 -304.665179116048</f>
        <v>-956.56566193937783</v>
      </c>
      <c r="F878">
        <f>-631.155399236788 -17.3425191327601 -393.33766776503</f>
        <v>-1041.8355861345781</v>
      </c>
      <c r="G878">
        <f>-617.94927424196 -21.6214813033432 -481.346327404162</f>
        <v>-1120.9170829494651</v>
      </c>
      <c r="H878">
        <f>-593.655827069313 -27.7680083413279 -603.38264843709</f>
        <v>-1224.8064838477308</v>
      </c>
      <c r="I878">
        <f>-558.014816569013 -27.1268197902632 -678.444771979473</f>
        <v>-1263.5864083387492</v>
      </c>
      <c r="J878" t="s">
        <v>8747</v>
      </c>
      <c r="K878" t="s">
        <v>8748</v>
      </c>
      <c r="L878" t="s">
        <v>8749</v>
      </c>
      <c r="M878" t="s">
        <v>8750</v>
      </c>
      <c r="N878">
        <f>-600.085432623456 -52.3524089565558 -547.457785360655</f>
        <v>-1199.8956269406667</v>
      </c>
      <c r="O878">
        <f>-588.78454623341 -183.14022286892 -506.695350965208</f>
        <v>-1278.620120067538</v>
      </c>
      <c r="P878">
        <f>-631.470244720945 -226.121264656019 -218.733981484732</f>
        <v>-1076.3254908616959</v>
      </c>
      <c r="Q878">
        <f>-467.011310060721 -56.0892342519587 -264.485380401823</f>
        <v>-787.58592471450265</v>
      </c>
      <c r="R878" t="s">
        <v>8751</v>
      </c>
      <c r="S878" t="s">
        <v>8752</v>
      </c>
      <c r="T878" t="s">
        <v>8753</v>
      </c>
      <c r="U878" t="s">
        <v>8754</v>
      </c>
      <c r="V878">
        <f>-603.680448235119 -92.4652062682094 -90.6855011117104</f>
        <v>-786.83115561503882</v>
      </c>
      <c r="W878" t="s">
        <v>8755</v>
      </c>
      <c r="X878" t="s">
        <v>8756</v>
      </c>
      <c r="Y878" t="s">
        <v>8757</v>
      </c>
    </row>
    <row r="879" spans="1:25" x14ac:dyDescent="0.3">
      <c r="A879">
        <v>43900</v>
      </c>
      <c r="B879" t="s">
        <v>8758</v>
      </c>
      <c r="C879">
        <f>-627.094834379431 -4.15512817809963 -91.51576992358</f>
        <v>-722.7657324811106</v>
      </c>
      <c r="D879">
        <f>-641.453779913017 -10.1480402113214 -206.29435049147</f>
        <v>-857.89617061580839</v>
      </c>
      <c r="E879">
        <f>-639.107979763519 -14.5454662014197 -304.792066649879</f>
        <v>-958.44551261481774</v>
      </c>
      <c r="F879">
        <f>-631.699434395996 -18.5073404964753 -393.491943061264</f>
        <v>-1043.6987179537355</v>
      </c>
      <c r="G879">
        <f>-618.685109412835 -22.4725818003751 -481.543956213195</f>
        <v>-1122.7016474264051</v>
      </c>
      <c r="H879">
        <f>-594.655897433327 -28.1032966675505 -603.657433746598</f>
        <v>-1226.4166278474754</v>
      </c>
      <c r="I879">
        <f>-558.976711283238 -27.1348229714283 -678.69796916021</f>
        <v>-1264.8095034148764</v>
      </c>
      <c r="J879" t="s">
        <v>8759</v>
      </c>
      <c r="K879" t="s">
        <v>8760</v>
      </c>
      <c r="L879" t="s">
        <v>8761</v>
      </c>
      <c r="M879" t="s">
        <v>8762</v>
      </c>
      <c r="N879">
        <f>-600.844234395471 -52.9028413274984 -547.800505066357</f>
        <v>-1201.5475807893263</v>
      </c>
      <c r="O879">
        <f>-588.72446770106 -183.808916285511 -507.592963965446</f>
        <v>-1280.1263479520171</v>
      </c>
      <c r="P879">
        <f>-628.710848860971 -229.199879614552 -219.61393501855</f>
        <v>-1077.5246634940729</v>
      </c>
      <c r="Q879">
        <f>-471.470840758628 -53.0140916728501 -267.416267744753</f>
        <v>-791.9012001762311</v>
      </c>
      <c r="R879" t="s">
        <v>8763</v>
      </c>
      <c r="S879" t="s">
        <v>8764</v>
      </c>
      <c r="T879" t="s">
        <v>8765</v>
      </c>
      <c r="U879" t="s">
        <v>8766</v>
      </c>
      <c r="V879">
        <f>-602.879558207771 -93.8290901546111 -90.9452017135743</f>
        <v>-787.65385007595637</v>
      </c>
      <c r="W879" t="s">
        <v>8767</v>
      </c>
      <c r="X879" t="s">
        <v>8768</v>
      </c>
      <c r="Y879" t="s">
        <v>8769</v>
      </c>
    </row>
    <row r="880" spans="1:25" x14ac:dyDescent="0.3">
      <c r="A880">
        <v>43950</v>
      </c>
      <c r="B880" t="s">
        <v>8770</v>
      </c>
      <c r="C880">
        <f>-627.074042594001 -4.94219777626881 -91.5372355734418</f>
        <v>-723.55347594371153</v>
      </c>
      <c r="D880">
        <f>-641.686041063885 -11.0235433900448 -206.279279123239</f>
        <v>-858.98886357716879</v>
      </c>
      <c r="E880">
        <f>-639.575611887574 -15.3471231259468 -304.785724049972</f>
        <v>-959.70845906349291</v>
      </c>
      <c r="F880">
        <f>-632.384208216875 -19.1887814631757 -393.508682851953</f>
        <v>-1045.0816725320037</v>
      </c>
      <c r="G880">
        <f>-619.589702293513 -22.9834371668292 -481.600431482083</f>
        <v>-1124.1735709424252</v>
      </c>
      <c r="H880">
        <f>-595.868926509245 -28.3261214253216 -603.787137082929</f>
        <v>-1227.9821850174956</v>
      </c>
      <c r="I880">
        <f>-560.193246213088 -27.164941780647 -678.826511856273</f>
        <v>-1266.184699850008</v>
      </c>
      <c r="J880" t="s">
        <v>8771</v>
      </c>
      <c r="K880" t="s">
        <v>8772</v>
      </c>
      <c r="L880" t="s">
        <v>8773</v>
      </c>
      <c r="M880" t="s">
        <v>8774</v>
      </c>
      <c r="N880">
        <f>-601.881779883139 -53.2513460446676 -547.966994109102</f>
        <v>-1203.1001200369085</v>
      </c>
      <c r="O880">
        <f>-589.393245681658 -184.202078074839 -508.115432806312</f>
        <v>-1281.7107565628089</v>
      </c>
      <c r="P880">
        <f>-627.619135009543 -230.829525357265 -220.094792355493</f>
        <v>-1078.543452722301</v>
      </c>
      <c r="Q880">
        <f>-473.690432894721 -52.0025196881486 -268.857191245635</f>
        <v>-794.5501438285047</v>
      </c>
      <c r="R880" t="s">
        <v>8775</v>
      </c>
      <c r="S880" t="s">
        <v>8776</v>
      </c>
      <c r="T880" t="s">
        <v>8777</v>
      </c>
      <c r="U880" t="s">
        <v>8778</v>
      </c>
      <c r="V880">
        <f>-602.561634003277 -94.4844748186792 -90.9527127753681</f>
        <v>-787.99882159732442</v>
      </c>
      <c r="W880" t="s">
        <v>8779</v>
      </c>
      <c r="X880" t="s">
        <v>8780</v>
      </c>
      <c r="Y880" t="s">
        <v>8781</v>
      </c>
    </row>
    <row r="881" spans="1:25" x14ac:dyDescent="0.3">
      <c r="A881">
        <v>44000</v>
      </c>
      <c r="B881" t="s">
        <v>8782</v>
      </c>
      <c r="C881">
        <f>-626.979646528336 -7.33507101188729 -91.4995905959332</f>
        <v>-725.81430813615657</v>
      </c>
      <c r="D881">
        <f>-642.18915196439 -13.7366539536047 -206.146471520547</f>
        <v>-862.07227743854173</v>
      </c>
      <c r="E881">
        <f>-640.640703418979 -17.9240843554519 -304.66922552573</f>
        <v>-963.23401330016088</v>
      </c>
      <c r="F881">
        <f>-633.968358082084 -21.4963334659578 -393.444036037733</f>
        <v>-1048.9087275857748</v>
      </c>
      <c r="G881">
        <f>-621.69931572136 -24.8820011684013 -481.627107793396</f>
        <v>-1128.2084246831573</v>
      </c>
      <c r="H881">
        <f>-598.715210243252 -29.5151161488461 -603.98341240759</f>
        <v>-1232.2137387996881</v>
      </c>
      <c r="I881">
        <f>-563.062104557209 -27.8556263562889 -679.024266544496</f>
        <v>-1269.9419974579937</v>
      </c>
      <c r="J881">
        <f>-613.350416012183 -0.203500785687083 -552.022459610692</f>
        <v>-1165.5763764085621</v>
      </c>
      <c r="K881" t="s">
        <v>8783</v>
      </c>
      <c r="L881" t="s">
        <v>8784</v>
      </c>
      <c r="M881" t="s">
        <v>8785</v>
      </c>
      <c r="N881">
        <f>-604.308141896541 -54.7493076607736 -548.258492591848</f>
        <v>-1207.3159421491628</v>
      </c>
      <c r="O881">
        <f>-591.140667895507 -185.908483692841 -509.235871997146</f>
        <v>-1286.2850235854939</v>
      </c>
      <c r="P881">
        <f>-627.121481731586 -233.502687975069 -221.084119655088</f>
        <v>-1081.708289361743</v>
      </c>
      <c r="Q881">
        <f>-473.170342271782 -54.8139861231882 -270.279502091971</f>
        <v>-798.26383048694106</v>
      </c>
      <c r="R881" t="s">
        <v>8786</v>
      </c>
      <c r="S881" t="s">
        <v>8787</v>
      </c>
      <c r="T881" t="s">
        <v>8788</v>
      </c>
      <c r="U881" t="s">
        <v>8789</v>
      </c>
      <c r="V881">
        <f>-601.537431528332 -96.8328175351778 -90.875702475577</f>
        <v>-789.24595153908683</v>
      </c>
      <c r="W881" t="s">
        <v>8790</v>
      </c>
      <c r="X881" t="s">
        <v>8791</v>
      </c>
      <c r="Y881" t="s">
        <v>8792</v>
      </c>
    </row>
    <row r="882" spans="1:25" x14ac:dyDescent="0.3">
      <c r="A882">
        <v>44050</v>
      </c>
      <c r="B882" t="s">
        <v>8793</v>
      </c>
      <c r="C882">
        <f>-626.925451521956 -9.11498261682959 -91.5173516866474</f>
        <v>-727.55778582543303</v>
      </c>
      <c r="D882">
        <f>-642.483206107893 -15.7375407005761 -206.105066747045</f>
        <v>-864.32581355551406</v>
      </c>
      <c r="E882">
        <f>-641.258935670162 -19.8299220526806 -304.636285428123</f>
        <v>-965.72514315096555</v>
      </c>
      <c r="F882">
        <f>-634.884021221695 -23.2085262084347 -393.440496260673</f>
        <v>-1051.5330436908027</v>
      </c>
      <c r="G882">
        <f>-622.913441196177 -26.2945411538519 -481.675435708854</f>
        <v>-1130.8834180588829</v>
      </c>
      <c r="H882">
        <f>-600.345087054328 -30.401203235901 -604.127931925755</f>
        <v>-1234.874222215984</v>
      </c>
      <c r="I882">
        <f>-564.747663086489 -28.3987445577297 -679.186942423922</f>
        <v>-1272.3333500681406</v>
      </c>
      <c r="J882">
        <f>-614.87703539499 -1.32654675361664 -552.005111735528</f>
        <v>-1168.2086938841346</v>
      </c>
      <c r="K882" t="s">
        <v>8794</v>
      </c>
      <c r="L882" t="s">
        <v>8795</v>
      </c>
      <c r="M882" t="s">
        <v>8796</v>
      </c>
      <c r="N882">
        <f>-605.675588242731 -55.8616375707818 -548.480212052292</f>
        <v>-1210.0174378658048</v>
      </c>
      <c r="O882">
        <f>-592.04219750093 -187.137280599906 -509.996285329648</f>
        <v>-1289.175763430484</v>
      </c>
      <c r="P882">
        <f>-627.432924513321 -235.174693246237 -221.84516880324</f>
        <v>-1084.4527865627981</v>
      </c>
      <c r="Q882">
        <f>-472.293595623162 -57.3851593114193 -270.564185527783</f>
        <v>-800.24294046236434</v>
      </c>
      <c r="R882" t="s">
        <v>8797</v>
      </c>
      <c r="S882" t="s">
        <v>8798</v>
      </c>
      <c r="T882" t="s">
        <v>8799</v>
      </c>
      <c r="U882" t="s">
        <v>8800</v>
      </c>
      <c r="V882">
        <f>-600.957106809982 -98.9405839221656 -90.861019688066</f>
        <v>-790.75871042021356</v>
      </c>
      <c r="W882" t="s">
        <v>8801</v>
      </c>
      <c r="X882" t="s">
        <v>8802</v>
      </c>
      <c r="Y882" t="s">
        <v>8803</v>
      </c>
    </row>
    <row r="883" spans="1:25" x14ac:dyDescent="0.3">
      <c r="A883">
        <v>44100</v>
      </c>
      <c r="B883" t="s">
        <v>8804</v>
      </c>
      <c r="C883">
        <f>-626.585237050732 -12.9756292374439 -91.5761119594473</f>
        <v>-731.13697824762312</v>
      </c>
      <c r="D883">
        <f>-642.815155868014 -20.2257015368502 -206.032407609821</f>
        <v>-869.07326501468526</v>
      </c>
      <c r="E883">
        <f>-642.344228258263 -24.1683739320392 -304.576267705517</f>
        <v>-971.08886989581924</v>
      </c>
      <c r="F883">
        <f>-636.706366161796 -27.1522990163173 -393.444509928689</f>
        <v>-1057.3031751068024</v>
      </c>
      <c r="G883">
        <f>-625.520395673279 -29.5890308816624 -481.802649425242</f>
        <v>-1136.9120759801835</v>
      </c>
      <c r="H883">
        <f>-604.089963861076 -32.5290737876946 -604.492868764784</f>
        <v>-1241.1119064135546</v>
      </c>
      <c r="I883">
        <f>-568.69375956817 -29.7461953322606 -679.622180330252</f>
        <v>-1278.0621352306825</v>
      </c>
      <c r="J883">
        <f>-618.284374603664 -3.97927264483201 -551.988191425733</f>
        <v>-1174.251838674229</v>
      </c>
      <c r="K883" t="s">
        <v>8805</v>
      </c>
      <c r="L883" t="s">
        <v>8806</v>
      </c>
      <c r="M883" t="s">
        <v>8807</v>
      </c>
      <c r="N883">
        <f>-608.756588709984 -58.4913275984734 -549.017863710404</f>
        <v>-1216.2657800188613</v>
      </c>
      <c r="O883">
        <f>-594.126130892244 -190.0288406513 -511.837100189738</f>
        <v>-1295.992071733282</v>
      </c>
      <c r="P883">
        <f>-628.13971540789 -239.201047077267 -223.711411044065</f>
        <v>-1091.052173529222</v>
      </c>
      <c r="Q883">
        <f>-471.13453797992 -62.8489219846294 -271.671733259062</f>
        <v>-805.65519322361138</v>
      </c>
      <c r="R883" t="s">
        <v>8808</v>
      </c>
      <c r="S883" t="s">
        <v>8809</v>
      </c>
      <c r="T883" t="s">
        <v>8810</v>
      </c>
      <c r="U883" t="s">
        <v>8811</v>
      </c>
      <c r="V883">
        <f>-599.796531574915 -102.744607936909 -90.7576367197543</f>
        <v>-793.29877623157824</v>
      </c>
      <c r="W883" t="s">
        <v>8812</v>
      </c>
      <c r="X883" t="s">
        <v>8813</v>
      </c>
      <c r="Y883" t="s">
        <v>8814</v>
      </c>
    </row>
    <row r="884" spans="1:25" x14ac:dyDescent="0.3">
      <c r="A884">
        <v>44150</v>
      </c>
      <c r="B884" t="s">
        <v>8815</v>
      </c>
      <c r="C884">
        <f>-626.539893077395 -14.7338904881944 -91.5975744690707</f>
        <v>-732.87135803466015</v>
      </c>
      <c r="D884">
        <f>-643.076099762273 -22.2493573623553 -205.992825758664</f>
        <v>-871.31828288329234</v>
      </c>
      <c r="E884">
        <f>-643.054822997726 -26.1191068923949 -304.540714777344</f>
        <v>-973.71464466746488</v>
      </c>
      <c r="F884">
        <f>-637.890375026607 -28.924130802804 -393.443577493453</f>
        <v>-1060.258083322864</v>
      </c>
      <c r="G884">
        <f>-627.240595156643 -31.0705839335296 -481.875472134868</f>
        <v>-1140.1866512250408</v>
      </c>
      <c r="H884">
        <f>-606.620236719536 -33.4912336843288 -604.715987048991</f>
        <v>-1244.8274574528559</v>
      </c>
      <c r="I884">
        <f>-571.414060996782 -30.3393467095379 -679.919753741039</f>
        <v>-1281.673161447359</v>
      </c>
      <c r="J884">
        <f>-620.53608965916 -5.17660574629781 -552.009671222884</f>
        <v>-1177.7223666283417</v>
      </c>
      <c r="K884" t="s">
        <v>8816</v>
      </c>
      <c r="L884" t="s">
        <v>8817</v>
      </c>
      <c r="M884" t="s">
        <v>8818</v>
      </c>
      <c r="N884">
        <f>-610.852361479991 -59.6754373358274 -549.310126262911</f>
        <v>-1219.8379250787293</v>
      </c>
      <c r="O884">
        <f>-595.617147992326 -191.308899685852 -512.743540858299</f>
        <v>-1299.669588536477</v>
      </c>
      <c r="P884">
        <f>-628.516913736046 -241.173245815532 -224.607618818791</f>
        <v>-1094.2977783703691</v>
      </c>
      <c r="Q884">
        <f>-471.493335527508 -64.7845012101834 -272.372644118737</f>
        <v>-808.65048085642843</v>
      </c>
      <c r="R884" t="s">
        <v>8819</v>
      </c>
      <c r="S884" t="s">
        <v>8820</v>
      </c>
      <c r="T884" t="s">
        <v>8821</v>
      </c>
      <c r="U884" t="s">
        <v>8822</v>
      </c>
      <c r="V884">
        <f>-599.365456151788 -104.301703320215 -90.6919851146167</f>
        <v>-794.35914458661966</v>
      </c>
      <c r="W884" t="s">
        <v>8823</v>
      </c>
      <c r="X884" t="s">
        <v>8824</v>
      </c>
      <c r="Y884" t="s">
        <v>8825</v>
      </c>
    </row>
    <row r="885" spans="1:25" x14ac:dyDescent="0.3">
      <c r="A885">
        <v>44200</v>
      </c>
      <c r="B885" t="s">
        <v>8826</v>
      </c>
      <c r="C885">
        <f>-626.58583426948 -17.8502116086204 -91.5968670249821</f>
        <v>-736.03291290308243</v>
      </c>
      <c r="D885">
        <f>-643.264721236095 -25.5447227683103 -205.959669606627</f>
        <v>-874.76911361103237</v>
      </c>
      <c r="E885">
        <f>-643.920639288973 -29.3102787088837 -304.509287231454</f>
        <v>-977.74020522931073</v>
      </c>
      <c r="F885">
        <f>-639.585391980727 -31.9098125702003 -393.46260041175</f>
        <v>-1064.9578049626773</v>
      </c>
      <c r="G885">
        <f>-629.97568283747 -33.7329101844898 -482.020849753202</f>
        <v>-1145.7294427751617</v>
      </c>
      <c r="H885">
        <f>-611.022383302657 -35.5726243295715 -605.139487132015</f>
        <v>-1251.7344947642434</v>
      </c>
      <c r="I885">
        <f>-576.391314527003 -31.9125836207645 -680.586889959262</f>
        <v>-1288.8907881070295</v>
      </c>
      <c r="J885">
        <f>-624.341971551996 -7.53023628705478 -552.134576529137</f>
        <v>-1184.0067843681877</v>
      </c>
      <c r="K885" t="s">
        <v>8827</v>
      </c>
      <c r="L885" t="s">
        <v>8828</v>
      </c>
      <c r="M885" t="s">
        <v>8829</v>
      </c>
      <c r="N885">
        <f>-614.383726772699 -61.9958005749231 -549.787665414275</f>
        <v>-1226.1671927618972</v>
      </c>
      <c r="O885">
        <f>-598.288106640318 -193.791005439625 -514.142051067608</f>
        <v>-1306.2211631475511</v>
      </c>
      <c r="P885">
        <f>-629.922386898015 -244.234472924801 -225.965101164034</f>
        <v>-1100.1219609868501</v>
      </c>
      <c r="Q885">
        <f>-472.859837970605 -67.8915233275063 -273.770690022778</f>
        <v>-814.52205132088932</v>
      </c>
      <c r="R885" t="s">
        <v>8830</v>
      </c>
      <c r="S885" t="s">
        <v>8831</v>
      </c>
      <c r="T885" t="s">
        <v>8832</v>
      </c>
      <c r="U885" t="s">
        <v>8833</v>
      </c>
      <c r="V885">
        <f>-599.446011273811 -107.589914736949 -90.5060823771771</f>
        <v>-797.54200838793713</v>
      </c>
      <c r="W885" t="s">
        <v>8834</v>
      </c>
      <c r="X885" t="s">
        <v>8835</v>
      </c>
      <c r="Y885" t="s">
        <v>8836</v>
      </c>
    </row>
    <row r="886" spans="1:25" x14ac:dyDescent="0.3">
      <c r="A886">
        <v>44250</v>
      </c>
      <c r="B886" t="s">
        <v>8837</v>
      </c>
      <c r="C886">
        <f>-626.881844126711 -19.1840647334238 -91.4751545610287</f>
        <v>-737.54106342116359</v>
      </c>
      <c r="D886">
        <f>-643.616605427354 -26.891363361367 -205.828850439686</f>
        <v>-876.33681922840697</v>
      </c>
      <c r="E886">
        <f>-644.450461221194 -30.5929288640923 -304.37967732207</f>
        <v>-979.42306740735626</v>
      </c>
      <c r="F886">
        <f>-640.328262467451 -33.094465702424 -393.345899011561</f>
        <v>-1066.7686271814362</v>
      </c>
      <c r="G886">
        <f>-630.98252774138 -34.7735962124052 -481.935215515895</f>
        <v>-1147.6913394696801</v>
      </c>
      <c r="H886">
        <f>-612.450240454453 -36.3586103508958 -605.121478334085</f>
        <v>-1253.930329139434</v>
      </c>
      <c r="I886">
        <f>-578.133855208003 -32.4737897899558 -680.70131523921</f>
        <v>-1291.3089602371688</v>
      </c>
      <c r="J886">
        <f>-625.645791591658 -8.43686835831568 -552.021922268223</f>
        <v>-1186.1045822181968</v>
      </c>
      <c r="K886" t="s">
        <v>8838</v>
      </c>
      <c r="L886" t="s">
        <v>8839</v>
      </c>
      <c r="M886" t="s">
        <v>8840</v>
      </c>
      <c r="N886">
        <f>-615.565055676502 -62.8853452989476 -549.804699762813</f>
        <v>-1228.2551007382626</v>
      </c>
      <c r="O886">
        <f>-599.347720964038 -194.744364828553 -514.389037524214</f>
        <v>-1308.481123316805</v>
      </c>
      <c r="P886">
        <f>-631.197004311181 -245.122636436082 -226.224371447518</f>
        <v>-1102.5440121947809</v>
      </c>
      <c r="Q886">
        <f>-473.343143571323 -69.4827923590933 -274.012466860398</f>
        <v>-816.83840279081437</v>
      </c>
      <c r="R886" t="s">
        <v>8841</v>
      </c>
      <c r="S886" t="s">
        <v>8842</v>
      </c>
      <c r="T886" t="s">
        <v>8843</v>
      </c>
      <c r="U886" t="s">
        <v>8844</v>
      </c>
      <c r="V886">
        <f>-600.211614802963 -108.984356371576 -90.3626944308329</f>
        <v>-799.55866560537197</v>
      </c>
      <c r="W886" t="s">
        <v>8845</v>
      </c>
      <c r="X886" t="s">
        <v>8846</v>
      </c>
      <c r="Y886" t="s">
        <v>8847</v>
      </c>
    </row>
    <row r="887" spans="1:25" x14ac:dyDescent="0.3">
      <c r="A887">
        <v>44300</v>
      </c>
      <c r="B887" t="s">
        <v>8848</v>
      </c>
      <c r="C887">
        <f>-628.185483894312 -20.5265011646559 -91.1985913892942</f>
        <v>-739.91057644826208</v>
      </c>
      <c r="D887">
        <f>-645.146468275414 -28.4066727891825 -205.5071122578</f>
        <v>-879.06025332239653</v>
      </c>
      <c r="E887">
        <f>-645.983033006708 -31.7897963263397 -304.069405970178</f>
        <v>-981.84223530322561</v>
      </c>
      <c r="F887">
        <f>-641.782323899555 -33.805955100323 -393.044233278885</f>
        <v>-1068.632512278763</v>
      </c>
      <c r="G887">
        <f>-632.27555188117 -34.7959831193789 -481.626920222058</f>
        <v>-1148.698455222607</v>
      </c>
      <c r="H887">
        <f>-613.430764208374 -35.1995989506847 -604.775235901045</f>
        <v>-1253.4055990601037</v>
      </c>
      <c r="I887">
        <f>-579.479435251151 -30.7307339564081 -680.487552850042</f>
        <v>-1290.6977220576011</v>
      </c>
      <c r="J887">
        <f>-626.934925636929 -7.82188557593122 -551.470298447517</f>
        <v>-1186.2271096603772</v>
      </c>
      <c r="K887" t="s">
        <v>8849</v>
      </c>
      <c r="L887" t="s">
        <v>8850</v>
      </c>
      <c r="M887" t="s">
        <v>8851</v>
      </c>
      <c r="N887">
        <f>-616.512133710587 -62.2221326855677 -549.697138571453</f>
        <v>-1228.4314049676077</v>
      </c>
      <c r="O887">
        <f>-600.119438311257 -194.212058708174 -514.9674008322</f>
        <v>-1309.298897851631</v>
      </c>
      <c r="P887">
        <f>-633.821851735698 -244.931730711209 -227.073587421245</f>
        <v>-1105.8271698681522</v>
      </c>
      <c r="Q887">
        <f>-473.736688396189 -70.9879764118659 -273.626216739568</f>
        <v>-818.35088154762286</v>
      </c>
      <c r="R887" t="s">
        <v>8852</v>
      </c>
      <c r="S887" t="s">
        <v>8853</v>
      </c>
      <c r="T887" t="s">
        <v>8854</v>
      </c>
      <c r="U887" t="s">
        <v>8855</v>
      </c>
      <c r="V887">
        <f>-601.683369687019 -109.817252879561 -89.9849321117864</f>
        <v>-801.48555467836638</v>
      </c>
      <c r="W887" t="s">
        <v>8856</v>
      </c>
      <c r="X887" t="s">
        <v>8857</v>
      </c>
      <c r="Y887" t="s">
        <v>8858</v>
      </c>
    </row>
    <row r="888" spans="1:25" x14ac:dyDescent="0.3">
      <c r="A888">
        <v>44350</v>
      </c>
      <c r="B888" t="s">
        <v>8859</v>
      </c>
      <c r="C888">
        <f>-628.755161720607 -21.3160161880717 -91.1025973907563</f>
        <v>-741.17377529943496</v>
      </c>
      <c r="D888">
        <f>-645.717731534727 -29.3150846728242 -205.402539992273</f>
        <v>-880.43535619982424</v>
      </c>
      <c r="E888">
        <f>-646.565420510199 -32.5264048335471 -303.970471812884</f>
        <v>-983.06229715663017</v>
      </c>
      <c r="F888">
        <f>-642.374440683006 -34.2793546710077 -392.951384667365</f>
        <v>-1069.6051800213786</v>
      </c>
      <c r="G888">
        <f>-632.875350705349 -34.8981983458852 -481.538221725849</f>
        <v>-1149.3117707770832</v>
      </c>
      <c r="H888">
        <f>-614.037091793609 -34.6706055457062 -604.688156360621</f>
        <v>-1253.3958536999362</v>
      </c>
      <c r="I888">
        <f>-580.263130241225 -29.9651846485222 -680.465417424327</f>
        <v>-1290.6937323140742</v>
      </c>
      <c r="J888">
        <f>-627.608039877275 -7.58030901165466 -551.253520294909</f>
        <v>-1186.4418691838387</v>
      </c>
      <c r="K888" t="s">
        <v>8860</v>
      </c>
      <c r="L888" t="s">
        <v>8861</v>
      </c>
      <c r="M888" t="s">
        <v>8862</v>
      </c>
      <c r="N888">
        <f>-617.045583676427 -61.9612874407705 -549.738259481438</f>
        <v>-1228.7451305986356</v>
      </c>
      <c r="O888">
        <f>-600.405187832736 -194.086407206277 -515.680008310858</f>
        <v>-1310.171603349871</v>
      </c>
      <c r="P888">
        <f>-635.114975420867 -245.012869204744 -227.942291671192</f>
        <v>-1108.070136296803</v>
      </c>
      <c r="Q888">
        <f>-473.699018632697 -71.8609492059231 -272.821818781869</f>
        <v>-818.38178662048904</v>
      </c>
      <c r="R888" t="s">
        <v>8863</v>
      </c>
      <c r="S888" t="s">
        <v>8864</v>
      </c>
      <c r="T888" t="s">
        <v>8865</v>
      </c>
      <c r="U888" t="s">
        <v>8866</v>
      </c>
      <c r="V888">
        <f>-601.927969044137 -110.669776582408 -89.8242284731296</f>
        <v>-802.42197409967446</v>
      </c>
      <c r="W888" t="s">
        <v>8867</v>
      </c>
      <c r="X888" t="s">
        <v>8868</v>
      </c>
      <c r="Y888" t="s">
        <v>8869</v>
      </c>
    </row>
    <row r="889" spans="1:25" x14ac:dyDescent="0.3">
      <c r="A889">
        <v>44400</v>
      </c>
      <c r="B889" t="s">
        <v>8870</v>
      </c>
      <c r="C889">
        <f>-628.991337755884 -23.4925067212841 -91.1992532069986</f>
        <v>-743.6830976841668</v>
      </c>
      <c r="D889">
        <f>-645.802038257561 -31.6983929759856 -205.507089943152</f>
        <v>-883.00752117669856</v>
      </c>
      <c r="E889">
        <f>-646.87698260494 -34.7773377383871 -304.077032436909</f>
        <v>-985.73135278023619</v>
      </c>
      <c r="F889">
        <f>-643.027741328916 -36.2948554188979 -393.077653923235</f>
        <v>-1072.400250671049</v>
      </c>
      <c r="G889">
        <f>-634.001029805184 -36.5655016296907 -481.715620856651</f>
        <v>-1152.2821522915258</v>
      </c>
      <c r="H889">
        <f>-615.95439794564 -35.737178083991 -604.981460365163</f>
        <v>-1256.6730363947941</v>
      </c>
      <c r="I889">
        <f>-582.567224345376 -30.7937675879896 -680.914860884192</f>
        <v>-1294.2758528175575</v>
      </c>
      <c r="J889">
        <f>-629.186534154127 -8.90891747418937 -551.330018823204</f>
        <v>-1189.4254704515204</v>
      </c>
      <c r="K889" t="s">
        <v>8871</v>
      </c>
      <c r="L889" t="s">
        <v>8872</v>
      </c>
      <c r="M889" t="s">
        <v>8873</v>
      </c>
      <c r="N889">
        <f>-618.605107517889 -63.2944352252321 -550.146421009656</f>
        <v>-1232.045963752777</v>
      </c>
      <c r="O889">
        <f>-601.776089349043 -195.609160961914 -516.938558038367</f>
        <v>-1314.3238083493238</v>
      </c>
      <c r="P889">
        <f>-636.147570523606 -248.005804120508 -229.424311325397</f>
        <v>-1113.5776859695109</v>
      </c>
      <c r="Q889">
        <f>-473.863569692333 -74.9598476205313 -271.494292371405</f>
        <v>-820.31770968426929</v>
      </c>
      <c r="R889" t="s">
        <v>8874</v>
      </c>
      <c r="S889" t="s">
        <v>8875</v>
      </c>
      <c r="T889" t="s">
        <v>8876</v>
      </c>
      <c r="U889" t="s">
        <v>8877</v>
      </c>
      <c r="V889">
        <f>-601.771655878444 -113.186897583098 -89.8774108302936</f>
        <v>-804.83596429183558</v>
      </c>
      <c r="W889" t="s">
        <v>8878</v>
      </c>
      <c r="X889" t="s">
        <v>8879</v>
      </c>
      <c r="Y889" t="s">
        <v>8880</v>
      </c>
    </row>
    <row r="890" spans="1:25" x14ac:dyDescent="0.3">
      <c r="A890">
        <v>44450</v>
      </c>
      <c r="B890" t="s">
        <v>8881</v>
      </c>
      <c r="C890">
        <f>-628.95749816193 -24.4368082416515 -91.3412280966406</f>
        <v>-744.73553450022212</v>
      </c>
      <c r="D890">
        <f>-645.734590638641 -32.6586968560823 -205.652903056578</f>
        <v>-884.04619055130127</v>
      </c>
      <c r="E890">
        <f>-646.952041073482 -35.7551690978003 -304.220492678826</f>
        <v>-986.92770285010829</v>
      </c>
      <c r="F890">
        <f>-643.299257668933 -37.291099081584 -393.229194781085</f>
        <v>-1073.819551531602</v>
      </c>
      <c r="G890">
        <f>-634.535187588293 -37.5842009123685 -481.893357440761</f>
        <v>-1154.0127459414225</v>
      </c>
      <c r="H890">
        <f>-616.92343551996 -36.7920056811793 -605.222292590211</f>
        <v>-1258.9377337913502</v>
      </c>
      <c r="I890">
        <f>-583.711868576029 -31.809590269057 -681.230171288958</f>
        <v>-1296.751630134044</v>
      </c>
      <c r="J890">
        <f>-629.91238180337 -9.9373071229611 -551.524768232034</f>
        <v>-1191.3744571583652</v>
      </c>
      <c r="K890" t="s">
        <v>8882</v>
      </c>
      <c r="L890" t="s">
        <v>8883</v>
      </c>
      <c r="M890" t="s">
        <v>8884</v>
      </c>
      <c r="N890">
        <f>-619.434457677503 -64.3438913979983 -550.377970192052</f>
        <v>-1234.1563192675533</v>
      </c>
      <c r="O890">
        <f>-602.717719678182 -196.689842520085 -517.211117346128</f>
        <v>-1316.618679544395</v>
      </c>
      <c r="P890">
        <f>-636.748516953292 -248.963458034049 -229.634071132514</f>
        <v>-1115.3460461198551</v>
      </c>
      <c r="Q890">
        <f>-474.012901870364 -76.2055915884735 -271.139770150863</f>
        <v>-821.35826360970043</v>
      </c>
      <c r="R890" t="s">
        <v>8885</v>
      </c>
      <c r="S890" t="s">
        <v>8886</v>
      </c>
      <c r="T890" t="s">
        <v>8887</v>
      </c>
      <c r="U890" t="s">
        <v>8888</v>
      </c>
      <c r="V890">
        <f>-601.848902011956 -114.163506710529 -89.9937613404456</f>
        <v>-806.00617006293066</v>
      </c>
      <c r="W890" t="s">
        <v>8889</v>
      </c>
      <c r="X890" t="s">
        <v>8890</v>
      </c>
      <c r="Y890" t="s">
        <v>8891</v>
      </c>
    </row>
    <row r="891" spans="1:25" x14ac:dyDescent="0.3">
      <c r="A891">
        <v>44500</v>
      </c>
      <c r="B891" t="s">
        <v>8892</v>
      </c>
      <c r="C891">
        <f>-628.908970075728 -26.3936495746207 -91.4083538171308</f>
        <v>-746.71097346747945</v>
      </c>
      <c r="D891">
        <f>-645.596758923769 -34.455818627386 -205.74433700821</f>
        <v>-885.79691455936495</v>
      </c>
      <c r="E891">
        <f>-647.003863299804 -37.6079896566334 -304.307849718287</f>
        <v>-988.91970267472448</v>
      </c>
      <c r="F891">
        <f>-643.632281273055 -39.2666290843417 -393.325356404008</f>
        <v>-1076.2242667614048</v>
      </c>
      <c r="G891">
        <f>-635.259085413011 -39.7538246772522 -482.026470757232</f>
        <v>-1157.0393808474951</v>
      </c>
      <c r="H891">
        <f>-618.307521871272 -39.3055243103965 -605.449544281554</f>
        <v>-1263.0625904632225</v>
      </c>
      <c r="I891">
        <f>-585.395385159808 -34.4450154852391 -681.595366592692</f>
        <v>-1301.4357672377391</v>
      </c>
      <c r="J891">
        <f>-630.884069703722 -12.2770494448916 -551.741104570439</f>
        <v>-1194.9022237190527</v>
      </c>
      <c r="K891" t="s">
        <v>8893</v>
      </c>
      <c r="L891" t="s">
        <v>8894</v>
      </c>
      <c r="M891" t="s">
        <v>8895</v>
      </c>
      <c r="N891">
        <f>-620.650072555663 -66.7286101773796 -550.533369055713</f>
        <v>-1237.9120517887554</v>
      </c>
      <c r="O891">
        <f>-604.137733699936 -199.065310231278 -517.115726242644</f>
        <v>-1320.318770173858</v>
      </c>
      <c r="P891">
        <f>-637.730372395718 -250.060269039897 -229.257637520744</f>
        <v>-1117.0482789563589</v>
      </c>
      <c r="Q891">
        <f>-474.719773939586 -77.695465472528 -271.314997540406</f>
        <v>-823.73023695252004</v>
      </c>
      <c r="R891" t="s">
        <v>8896</v>
      </c>
      <c r="S891" t="s">
        <v>8897</v>
      </c>
      <c r="T891" t="s">
        <v>8898</v>
      </c>
      <c r="U891" t="s">
        <v>8899</v>
      </c>
      <c r="V891">
        <f>-602.236166194598 -116.528424930198 -90.0418674897805</f>
        <v>-808.80645861457651</v>
      </c>
      <c r="W891" t="s">
        <v>8900</v>
      </c>
      <c r="X891" t="s">
        <v>8901</v>
      </c>
      <c r="Y891" t="s">
        <v>8902</v>
      </c>
    </row>
    <row r="892" spans="1:25" x14ac:dyDescent="0.3">
      <c r="A892">
        <v>44550</v>
      </c>
      <c r="B892" t="s">
        <v>8903</v>
      </c>
      <c r="C892">
        <f>-628.736285201022 -26.8912521563204 -91.3644862996722</f>
        <v>-746.99202365701467</v>
      </c>
      <c r="D892">
        <f>-645.423218072014 -34.9075761366307 -205.703817840954</f>
        <v>-886.03461204959876</v>
      </c>
      <c r="E892">
        <f>-646.910430760184 -38.0938548934471 -304.265042715834</f>
        <v>-989.26932836946503</v>
      </c>
      <c r="F892">
        <f>-643.645090568815 -39.8090345571484 -393.285398551811</f>
        <v>-1076.7395236777743</v>
      </c>
      <c r="G892">
        <f>-635.41234083366 -40.3782073786087 -481.999275290748</f>
        <v>-1157.7898235030168</v>
      </c>
      <c r="H892">
        <f>-618.692736405209 -40.0692569689249 -605.454338241152</f>
        <v>-1264.216331615286</v>
      </c>
      <c r="I892">
        <f>-585.890708862932 -35.3148153420937 -681.65444776654</f>
        <v>-1302.8599719715658</v>
      </c>
      <c r="J892">
        <f>-631.108865535527 -12.9687474388434 -551.744831982392</f>
        <v>-1195.8224449567624</v>
      </c>
      <c r="K892" t="s">
        <v>8904</v>
      </c>
      <c r="L892" t="s">
        <v>8905</v>
      </c>
      <c r="M892" t="s">
        <v>8906</v>
      </c>
      <c r="N892">
        <f>-620.991695649438 -67.4415932669431 -550.510990733336</f>
        <v>-1238.9442796497171</v>
      </c>
      <c r="O892">
        <f>-604.677195111611 -199.769475487815 -517.005888475604</f>
        <v>-1321.45255907503</v>
      </c>
      <c r="P892">
        <f>-638.155299006703 -250.046208004841 -229.008300604762</f>
        <v>-1117.2098076163061</v>
      </c>
      <c r="Q892">
        <f>-475.1862181628 -77.8027155506045 -271.717972153478</f>
        <v>-824.70690586688261</v>
      </c>
      <c r="R892" t="s">
        <v>8907</v>
      </c>
      <c r="S892" t="s">
        <v>8908</v>
      </c>
      <c r="T892" t="s">
        <v>8909</v>
      </c>
      <c r="U892" t="s">
        <v>8910</v>
      </c>
      <c r="V892">
        <f>-602.335129190117 -116.874299468358 -89.9985042682249</f>
        <v>-809.20793292669987</v>
      </c>
      <c r="W892" t="s">
        <v>8911</v>
      </c>
      <c r="X892" t="s">
        <v>8912</v>
      </c>
      <c r="Y892" t="s">
        <v>8913</v>
      </c>
    </row>
    <row r="893" spans="1:25" x14ac:dyDescent="0.3">
      <c r="A893">
        <v>44600</v>
      </c>
      <c r="B893" t="s">
        <v>8914</v>
      </c>
      <c r="C893">
        <f>-627.780170517429 -27.3301425692355 -91.1681713065336</f>
        <v>-746.27848439319814</v>
      </c>
      <c r="D893">
        <f>-644.581635995872 -35.2082262808383 -205.500461033687</f>
        <v>-885.2903233103973</v>
      </c>
      <c r="E893">
        <f>-646.286917033472 -38.445105446825 -304.056374045709</f>
        <v>-988.78839652600595</v>
      </c>
      <c r="F893">
        <f>-643.270813707718 -40.2662635703496 -393.083394389932</f>
        <v>-1076.6204716679995</v>
      </c>
      <c r="G893">
        <f>-635.339073596353 -41.0002133033995 -481.823539045343</f>
        <v>-1158.1628259450956</v>
      </c>
      <c r="H893">
        <f>-619.095115763834 -40.9803198709908 -605.342529096642</f>
        <v>-1265.4179647314668</v>
      </c>
      <c r="I893">
        <f>-586.489411373158 -36.5597106773032 -681.646877829132</f>
        <v>-1304.6959998795933</v>
      </c>
      <c r="J893">
        <f>-631.179024785755 -13.7306739356445 -551.632632992595</f>
        <v>-1196.5423317139944</v>
      </c>
      <c r="K893" t="s">
        <v>8915</v>
      </c>
      <c r="L893" t="s">
        <v>8916</v>
      </c>
      <c r="M893" t="s">
        <v>8917</v>
      </c>
      <c r="N893">
        <f>-621.307563250587 -68.2473652186393 -550.343317785622</f>
        <v>-1239.8982462548483</v>
      </c>
      <c r="O893">
        <f>-605.465890416274 -200.572381272609 -516.630305848957</f>
        <v>-1322.6685775378401</v>
      </c>
      <c r="P893">
        <f>-638.466987738535 -250.349987019045 -228.490883477301</f>
        <v>-1117.307858234881</v>
      </c>
      <c r="Q893">
        <f>-475.636513184266 -78.1342554785542 -271.836362976722</f>
        <v>-825.6071316395421</v>
      </c>
      <c r="R893" t="s">
        <v>8918</v>
      </c>
      <c r="S893" t="s">
        <v>8919</v>
      </c>
      <c r="T893" t="s">
        <v>8920</v>
      </c>
      <c r="U893" t="s">
        <v>8921</v>
      </c>
      <c r="V893">
        <f>-601.913269001065 -117.472737423221 -89.8826249078069</f>
        <v>-809.26863133209292</v>
      </c>
      <c r="W893" t="s">
        <v>8922</v>
      </c>
      <c r="X893" t="s">
        <v>8923</v>
      </c>
      <c r="Y893" t="s">
        <v>8924</v>
      </c>
    </row>
    <row r="894" spans="1:25" x14ac:dyDescent="0.3">
      <c r="A894">
        <v>44650</v>
      </c>
      <c r="B894" t="s">
        <v>8925</v>
      </c>
      <c r="C894">
        <f>-627.118232914963 -27.5639196932652 -91.0843058514049</f>
        <v>-745.7664584596331</v>
      </c>
      <c r="D894">
        <f>-644.043854554529 -35.407605974945 -205.4006344934</f>
        <v>-884.85209502287398</v>
      </c>
      <c r="E894">
        <f>-645.887281473095 -38.6775131304876 -303.952991139409</f>
        <v>-988.51778574299146</v>
      </c>
      <c r="F894">
        <f>-643.009916789613 -40.5497606310796 -392.983690899758</f>
        <v>-1076.5433683204506</v>
      </c>
      <c r="G894">
        <f>-635.230975469289 -41.3556046590991 -481.736412454757</f>
        <v>-1158.3229925831452</v>
      </c>
      <c r="H894">
        <f>-619.215669284879 -41.4564335894597 -605.285274258359</f>
        <v>-1265.9573771326977</v>
      </c>
      <c r="I894">
        <f>-586.685088234236 -37.1886000486061 -681.630430331632</f>
        <v>-1305.504118614474</v>
      </c>
      <c r="J894">
        <f>-631.157173089773 -14.1465647508005 -551.57424908779</f>
        <v>-1196.8779869283635</v>
      </c>
      <c r="K894" t="s">
        <v>8926</v>
      </c>
      <c r="L894" t="s">
        <v>8927</v>
      </c>
      <c r="M894" t="s">
        <v>8928</v>
      </c>
      <c r="N894">
        <f>-621.369372852483 -68.6776212647812 -550.260889063624</f>
        <v>-1240.3078831808882</v>
      </c>
      <c r="O894">
        <f>-605.780351944492 -201.003770744631 -516.442620238375</f>
        <v>-1323.226742927498</v>
      </c>
      <c r="P894">
        <f>-638.48256732583 -250.540756410303 -228.227635378407</f>
        <v>-1117.2509591145401</v>
      </c>
      <c r="Q894">
        <f>-475.479793152957 -78.5641574905605 -271.873618987454</f>
        <v>-825.91756963097146</v>
      </c>
      <c r="R894" t="s">
        <v>8929</v>
      </c>
      <c r="S894" t="s">
        <v>8930</v>
      </c>
      <c r="T894" t="s">
        <v>8931</v>
      </c>
      <c r="U894" t="s">
        <v>8932</v>
      </c>
      <c r="V894">
        <f>-601.334949278766 -117.877370841152 -89.8935046534489</f>
        <v>-809.10582477336686</v>
      </c>
      <c r="W894" t="s">
        <v>8933</v>
      </c>
      <c r="X894" t="s">
        <v>8934</v>
      </c>
      <c r="Y894" t="s">
        <v>8935</v>
      </c>
    </row>
    <row r="895" spans="1:25" x14ac:dyDescent="0.3">
      <c r="A895">
        <v>44700</v>
      </c>
      <c r="B895" t="s">
        <v>8936</v>
      </c>
      <c r="C895">
        <f>-625.945471916128 -27.515850228275 -91.0593810539889</f>
        <v>-744.52070319839186</v>
      </c>
      <c r="D895">
        <f>-643.135571263709 -35.3804248619354 -205.334802062805</f>
        <v>-883.8507981884494</v>
      </c>
      <c r="E895">
        <f>-645.285073592266 -38.7224378909541 -303.878613208686</f>
        <v>-987.88612469190616</v>
      </c>
      <c r="F895">
        <f>-642.716841465801 -40.678470573363 -392.91686998338</f>
        <v>-1076.3121820225442</v>
      </c>
      <c r="G895">
        <f>-635.279139300756 -41.5850926913358 -481.697970986275</f>
        <v>-1158.5622029783667</v>
      </c>
      <c r="H895">
        <f>-619.773459912987 -41.8436999943208 -605.311555527137</f>
        <v>-1266.9287154344447</v>
      </c>
      <c r="I895">
        <f>-587.340593384833 -37.7793568508519 -681.709420142561</f>
        <v>-1306.829370378246</v>
      </c>
      <c r="J895">
        <f>-631.443858689083 -14.4561866209642 -551.580498355047</f>
        <v>-1197.480543665094</v>
      </c>
      <c r="K895" t="s">
        <v>8937</v>
      </c>
      <c r="L895" t="s">
        <v>8938</v>
      </c>
      <c r="M895" t="s">
        <v>8939</v>
      </c>
      <c r="N895">
        <f>-621.74973251477 -69.0036256285696 -550.250269628874</f>
        <v>-1241.0036277722136</v>
      </c>
      <c r="O895">
        <f>-606.412109044695 -201.356885345207 -516.399828837545</f>
        <v>-1324.1688232274469</v>
      </c>
      <c r="P895">
        <f>-638.564791388872 -250.087586786002 -227.985720303912</f>
        <v>-1116.6380984787861</v>
      </c>
      <c r="Q895">
        <f>-474.734517986103 -78.9222776382594 -271.723407877726</f>
        <v>-825.38020350208842</v>
      </c>
      <c r="R895" t="s">
        <v>8940</v>
      </c>
      <c r="S895" t="s">
        <v>8941</v>
      </c>
      <c r="T895" t="s">
        <v>8942</v>
      </c>
      <c r="U895" t="s">
        <v>8943</v>
      </c>
      <c r="V895">
        <f>-600.311986292765 -117.837659109104 -89.8585597178798</f>
        <v>-808.00820511974882</v>
      </c>
      <c r="W895" t="s">
        <v>8944</v>
      </c>
      <c r="X895" t="s">
        <v>8945</v>
      </c>
      <c r="Y895" t="s">
        <v>8946</v>
      </c>
    </row>
    <row r="896" spans="1:25" x14ac:dyDescent="0.3">
      <c r="A896">
        <v>44750</v>
      </c>
      <c r="B896" t="s">
        <v>8947</v>
      </c>
      <c r="C896">
        <f>-625.320103087249 -27.5153685768462 -91.0864374488867</f>
        <v>-743.92190911298189</v>
      </c>
      <c r="D896">
        <f>-642.593204785538 -35.4349703869004 -205.345579970811</f>
        <v>-883.37375514324935</v>
      </c>
      <c r="E896">
        <f>-644.903985589604 -38.8109642409049 -303.884514455018</f>
        <v>-987.59946428552689</v>
      </c>
      <c r="F896">
        <f>-642.516928669316 -40.792000630142 -392.927315152072</f>
        <v>-1076.23624445153</v>
      </c>
      <c r="G896">
        <f>-635.294943528903 -41.7186805718347 -481.726046854902</f>
        <v>-1158.7396709556397</v>
      </c>
      <c r="H896">
        <f>-620.125916532459 -41.9994909744912 -605.381329972086</f>
        <v>-1267.506737479036</v>
      </c>
      <c r="I896">
        <f>-587.722941510158 -37.996041732905 -681.795112904667</f>
        <v>-1307.51409614773</v>
      </c>
      <c r="J896">
        <f>-631.626505378728 -14.5981406389033 -551.620622910036</f>
        <v>-1197.8452689276673</v>
      </c>
      <c r="K896" t="s">
        <v>8948</v>
      </c>
      <c r="L896" t="s">
        <v>8949</v>
      </c>
      <c r="M896" t="s">
        <v>8950</v>
      </c>
      <c r="N896">
        <f>-621.975547622657 -69.1536562166066 -550.313002656026</f>
        <v>-1241.4422064952896</v>
      </c>
      <c r="O896">
        <f>-606.68443711207 -201.521372545125 -516.519108443902</f>
        <v>-1324.724918101097</v>
      </c>
      <c r="P896">
        <f>-638.375403423268 -250.007829168031 -228.012612222303</f>
        <v>-1116.395844813602</v>
      </c>
      <c r="Q896">
        <f>-474.280383224267 -78.9980158560293 -271.364530638203</f>
        <v>-824.64292971849932</v>
      </c>
      <c r="R896" t="s">
        <v>8951</v>
      </c>
      <c r="S896" t="s">
        <v>8952</v>
      </c>
      <c r="T896" t="s">
        <v>8953</v>
      </c>
      <c r="U896" t="s">
        <v>8954</v>
      </c>
      <c r="V896">
        <f>-599.710609722484 -117.86574560013 -89.843455117029</f>
        <v>-807.41981043964302</v>
      </c>
      <c r="W896" t="s">
        <v>8955</v>
      </c>
      <c r="X896" t="s">
        <v>8956</v>
      </c>
      <c r="Y896" t="s">
        <v>8957</v>
      </c>
    </row>
    <row r="897" spans="1:25" x14ac:dyDescent="0.3">
      <c r="A897">
        <v>44800</v>
      </c>
      <c r="B897" t="s">
        <v>8958</v>
      </c>
      <c r="C897">
        <f>-623.974786435304 -27.673875291546 -91.1665364502993</f>
        <v>-742.81519817714934</v>
      </c>
      <c r="D897">
        <f>-641.237219037062 -35.6265580124782 -205.424816564822</f>
        <v>-882.28859361436218</v>
      </c>
      <c r="E897">
        <f>-643.771987112033 -39.0834051427819 -303.955538926593</f>
        <v>-986.81093118140791</v>
      </c>
      <c r="F897">
        <f>-641.681357091554 -41.1568054623449 -393.003687555798</f>
        <v>-1075.8418501096969</v>
      </c>
      <c r="G897">
        <f>-634.848736933485 -42.1948045100621 -481.83203645147</f>
        <v>-1158.8755778950172</v>
      </c>
      <c r="H897">
        <f>-620.320115815289 -42.6506482809091 -605.563667965639</f>
        <v>-1268.5344320618369</v>
      </c>
      <c r="I897">
        <f>-587.966317273442 -38.8081444049369 -682.006502967681</f>
        <v>-1308.7809646460598</v>
      </c>
      <c r="J897">
        <f>-631.464457079002 -15.1593353332805 -551.773864408401</f>
        <v>-1198.3976568206836</v>
      </c>
      <c r="K897" t="s">
        <v>8959</v>
      </c>
      <c r="L897" t="s">
        <v>8960</v>
      </c>
      <c r="M897" t="s">
        <v>8961</v>
      </c>
      <c r="N897">
        <f>-621.962403727387 -69.7407511271183 -550.457109892575</f>
        <v>-1242.1602647470804</v>
      </c>
      <c r="O897">
        <f>-606.850720922466 -202.114054358645 -516.625409085049</f>
        <v>-1325.59018436616</v>
      </c>
      <c r="P897">
        <f>-637.170079026539 -250.50843089133 -227.956126373226</f>
        <v>-1115.6346362910951</v>
      </c>
      <c r="Q897">
        <f>-473.234429266161 -79.1313665186547 -270.451652584126</f>
        <v>-822.81744836894165</v>
      </c>
      <c r="R897" t="s">
        <v>8962</v>
      </c>
      <c r="S897" t="s">
        <v>8963</v>
      </c>
      <c r="T897" t="s">
        <v>8964</v>
      </c>
      <c r="U897" t="s">
        <v>8965</v>
      </c>
      <c r="V897">
        <f>-598.506787161652 -118.151815460582 -89.8716328301355</f>
        <v>-806.53023545236954</v>
      </c>
      <c r="W897" t="s">
        <v>8966</v>
      </c>
      <c r="X897" t="s">
        <v>8967</v>
      </c>
      <c r="Y897" t="s">
        <v>8968</v>
      </c>
    </row>
    <row r="898" spans="1:25" x14ac:dyDescent="0.3">
      <c r="A898">
        <v>44850</v>
      </c>
      <c r="B898" t="s">
        <v>8969</v>
      </c>
      <c r="C898">
        <f>-623.500204439746 -27.5891525573313 -91.215794171147</f>
        <v>-742.30515116822426</v>
      </c>
      <c r="D898">
        <f>-640.781351568094 -35.5259203810688 -205.472525969299</f>
        <v>-881.77979791846178</v>
      </c>
      <c r="E898">
        <f>-643.413185025844 -39.0359689909221 -303.998557860412</f>
        <v>-986.44771187717811</v>
      </c>
      <c r="F898">
        <f>-641.443710492366 -41.1827745227522 -393.047889721669</f>
        <v>-1075.6743747367873</v>
      </c>
      <c r="G898">
        <f>-634.765805420672 -42.3195380255218 -481.886626423011</f>
        <v>-1158.9719698692047</v>
      </c>
      <c r="H898">
        <f>-620.488076176758 -42.939120542763 -605.646791160627</f>
        <v>-1269.073987880148</v>
      </c>
      <c r="I898">
        <f>-588.156301972026 -39.1931061940909 -682.103728598857</f>
        <v>-1309.4531367649738</v>
      </c>
      <c r="J898">
        <f>-631.479717339377 -15.3687730655631 -551.865963267028</f>
        <v>-1198.7144536719679</v>
      </c>
      <c r="K898" t="s">
        <v>8970</v>
      </c>
      <c r="L898" t="s">
        <v>8971</v>
      </c>
      <c r="M898" t="s">
        <v>8972</v>
      </c>
      <c r="N898">
        <f>-622.062254939518 -69.9640540528162 -550.506205576983</f>
        <v>-1242.5325145693173</v>
      </c>
      <c r="O898">
        <f>-607.071518624537 -202.327219903262 -516.544435119026</f>
        <v>-1325.943173646825</v>
      </c>
      <c r="P898">
        <f>-636.800024187066 -250.63438471255 -227.799327095352</f>
        <v>-1115.2337359949681</v>
      </c>
      <c r="Q898">
        <f>-473.107049027919 -78.9963359451519 -270.177039301426</f>
        <v>-822.28042427449691</v>
      </c>
      <c r="R898" t="s">
        <v>8973</v>
      </c>
      <c r="S898" t="s">
        <v>8974</v>
      </c>
      <c r="T898" t="s">
        <v>8975</v>
      </c>
      <c r="U898" t="s">
        <v>8976</v>
      </c>
      <c r="V898">
        <f>-598.220417736261 -118.153195856684 -89.9060418211791</f>
        <v>-806.27965541412402</v>
      </c>
      <c r="W898" t="s">
        <v>8977</v>
      </c>
      <c r="X898" t="s">
        <v>8978</v>
      </c>
      <c r="Y898" t="s">
        <v>8979</v>
      </c>
    </row>
    <row r="899" spans="1:25" x14ac:dyDescent="0.3">
      <c r="A899">
        <v>44900</v>
      </c>
      <c r="B899" t="s">
        <v>8980</v>
      </c>
      <c r="C899">
        <f>-623.17327323171 -26.9779888783717 -91.2101874391149</f>
        <v>-741.36144954919655</v>
      </c>
      <c r="D899">
        <f>-640.563036722231 -34.8555089909544 -205.454490334014</f>
        <v>-880.87303604719932</v>
      </c>
      <c r="E899">
        <f>-643.416392192311 -38.4820721332858 -303.970303863394</f>
        <v>-985.86876818899077</v>
      </c>
      <c r="F899">
        <f>-641.70175663804 -40.7956192343581 -393.020466960172</f>
        <v>-1075.5178428325701</v>
      </c>
      <c r="G899">
        <f>-635.333748631056 -42.1590478576495 -481.879007316984</f>
        <v>-1159.3718038056895</v>
      </c>
      <c r="H899">
        <f>-621.547394760571 -43.1560179599667 -605.69245143263</f>
        <v>-1270.3958641531676</v>
      </c>
      <c r="I899">
        <f>-589.214995913978 -39.6605156603375 -682.160889232383</f>
        <v>-1311.0364008066986</v>
      </c>
      <c r="J899">
        <f>-632.253513289391 -15.4093357272436 -551.944721026765</f>
        <v>-1199.6075700433996</v>
      </c>
      <c r="K899" t="s">
        <v>8981</v>
      </c>
      <c r="L899" t="s">
        <v>8982</v>
      </c>
      <c r="M899" t="s">
        <v>8983</v>
      </c>
      <c r="N899">
        <f>-622.97478743394 -70.0253178012836 -550.471724215309</f>
        <v>-1243.4718294505326</v>
      </c>
      <c r="O899">
        <f>-608.205281826046 -202.333916834976 -516.204456027219</f>
        <v>-1326.7436546882409</v>
      </c>
      <c r="P899">
        <f>-636.899581474317 -249.944385367538 -227.238930001057</f>
        <v>-1114.0828968429119</v>
      </c>
      <c r="Q899">
        <f>-473.562754944454 -78.0610765540973 -269.995544205189</f>
        <v>-821.61937570374039</v>
      </c>
      <c r="R899" t="s">
        <v>8984</v>
      </c>
      <c r="S899" t="s">
        <v>8985</v>
      </c>
      <c r="T899" t="s">
        <v>8986</v>
      </c>
      <c r="U899" t="s">
        <v>8987</v>
      </c>
      <c r="V899">
        <f>-598.137338696144 -117.654249738823 -89.9221637244018</f>
        <v>-805.71375215936871</v>
      </c>
      <c r="W899" t="s">
        <v>8988</v>
      </c>
      <c r="X899" t="s">
        <v>8989</v>
      </c>
      <c r="Y899" t="s">
        <v>8990</v>
      </c>
    </row>
    <row r="900" spans="1:25" x14ac:dyDescent="0.3">
      <c r="A900">
        <v>44950</v>
      </c>
      <c r="B900" t="s">
        <v>8991</v>
      </c>
      <c r="C900">
        <f>-622.973884964994 -26.6072024011789 -91.1912013735854</f>
        <v>-740.77228873975832</v>
      </c>
      <c r="D900">
        <f>-640.433359007625 -34.4558735072776 -205.426747260215</f>
        <v>-880.31597977511751</v>
      </c>
      <c r="E900">
        <f>-643.403518535767 -38.1368260077202 -303.937151601947</f>
        <v>-985.4774961454342</v>
      </c>
      <c r="F900">
        <f>-641.819002583483 -40.5276460703801 -392.987845919758</f>
        <v>-1075.3344945736212</v>
      </c>
      <c r="G900">
        <f>-635.60611102876 -41.9954096111401 -481.85552443981</f>
        <v>-1159.45704507971</v>
      </c>
      <c r="H900">
        <f>-622.062817718368 -43.1646698068357 -605.694267775899</f>
        <v>-1270.9217553011026</v>
      </c>
      <c r="I900">
        <f>-589.693301775716 -39.8253311538201 -682.153959000707</f>
        <v>-1311.672591930243</v>
      </c>
      <c r="J900">
        <f>-632.628124769697 -15.3371619681266 -551.960517310808</f>
        <v>-1199.9258040486316</v>
      </c>
      <c r="K900" t="s">
        <v>8992</v>
      </c>
      <c r="L900" t="s">
        <v>8993</v>
      </c>
      <c r="M900" t="s">
        <v>8994</v>
      </c>
      <c r="N900">
        <f>-623.41703627066 -69.9631131525916 -550.437385243601</f>
        <v>-1243.8175346668527</v>
      </c>
      <c r="O900">
        <f>-608.835994934505 -202.25950981003 -516.020022309417</f>
        <v>-1327.1155270539521</v>
      </c>
      <c r="P900">
        <f>-636.832384270087 -249.388966097755 -226.907231650761</f>
        <v>-1113.1285820186031</v>
      </c>
      <c r="Q900">
        <f>-473.928916827362 -77.1441077280019 -269.861205428313</f>
        <v>-820.93422998367691</v>
      </c>
      <c r="R900" t="s">
        <v>8995</v>
      </c>
      <c r="S900" t="s">
        <v>8996</v>
      </c>
      <c r="T900" t="s">
        <v>8997</v>
      </c>
      <c r="U900" t="s">
        <v>8998</v>
      </c>
      <c r="V900">
        <f>-598.090299206521 -117.296034449731 -89.9169741286862</f>
        <v>-805.30330778493817</v>
      </c>
      <c r="W900" t="s">
        <v>8999</v>
      </c>
      <c r="X900" t="s">
        <v>9000</v>
      </c>
      <c r="Y900" t="s">
        <v>9001</v>
      </c>
    </row>
    <row r="901" spans="1:25" x14ac:dyDescent="0.3">
      <c r="A901">
        <v>45000</v>
      </c>
      <c r="B901" t="s">
        <v>9002</v>
      </c>
      <c r="C901">
        <f>-622.239305390008 -25.375767694979 -91.1875514005387</f>
        <v>-738.80262448552571</v>
      </c>
      <c r="D901">
        <f>-639.83805259341 -33.1998368064503 -205.403558681715</f>
        <v>-878.44144808157534</v>
      </c>
      <c r="E901">
        <f>-643.007087020973 -37.0642967402578 -303.900701302592</f>
        <v>-983.97208506382276</v>
      </c>
      <c r="F901">
        <f>-641.638266864725 -39.6960018160391 -392.94811917596</f>
        <v>-1074.2823878567242</v>
      </c>
      <c r="G901">
        <f>-635.677761840428 -41.4784553622706 -481.827398073977</f>
        <v>-1158.9836152766757</v>
      </c>
      <c r="H901">
        <f>-622.526854057983 -43.1620926788069 -605.702430159637</f>
        <v>-1271.3913768964267</v>
      </c>
      <c r="I901">
        <f>-590.040672996442 -40.2204054169315 -682.129121825444</f>
        <v>-1312.3902002388177</v>
      </c>
      <c r="J901">
        <f>-632.815453298979 -15.0935220583058 -552.040558940238</f>
        <v>-1199.9495342975229</v>
      </c>
      <c r="K901" t="s">
        <v>9003</v>
      </c>
      <c r="L901" t="s">
        <v>9004</v>
      </c>
      <c r="M901" t="s">
        <v>9005</v>
      </c>
      <c r="N901">
        <f>-623.812193707093 -69.7490417662725 -550.341810432732</f>
        <v>-1243.9030459060975</v>
      </c>
      <c r="O901">
        <f>-609.644220283093 -201.958771805478 -515.476065048624</f>
        <v>-1327.0790571371949</v>
      </c>
      <c r="P901">
        <f>-636.133422097636 -248.391703728407 -226.108674159856</f>
        <v>-1110.633799985899</v>
      </c>
      <c r="Q901">
        <f>-474.113529001465 -75.3531518498057 -269.213894772576</f>
        <v>-818.68057562384661</v>
      </c>
      <c r="R901" t="s">
        <v>9006</v>
      </c>
      <c r="S901" t="s">
        <v>9007</v>
      </c>
      <c r="T901" t="s">
        <v>9008</v>
      </c>
      <c r="U901" t="s">
        <v>9009</v>
      </c>
      <c r="V901">
        <f>-597.808690620887 -115.887529050213 -89.860827133665</f>
        <v>-803.55704680476492</v>
      </c>
      <c r="W901" t="s">
        <v>9010</v>
      </c>
      <c r="X901" t="s">
        <v>9011</v>
      </c>
      <c r="Y901" t="s">
        <v>9012</v>
      </c>
    </row>
    <row r="902" spans="1:25" x14ac:dyDescent="0.3">
      <c r="A902">
        <v>45050</v>
      </c>
      <c r="B902" t="s">
        <v>9013</v>
      </c>
      <c r="C902">
        <f>-621.691076970504 -24.6960293642658 -91.2044247843507</f>
        <v>-737.59153111912053</v>
      </c>
      <c r="D902">
        <f>-639.339667402003 -32.5313015983745 -205.412002415762</f>
        <v>-877.2829714161395</v>
      </c>
      <c r="E902">
        <f>-642.618447557981 -36.538011594806 -303.899760531156</f>
        <v>-983.05621968394303</v>
      </c>
      <c r="F902">
        <f>-641.377624372376 -39.3484647997477 -392.943596026578</f>
        <v>-1073.6696851987017</v>
      </c>
      <c r="G902">
        <f>-635.574905343244 -41.3595833609118 -481.828518091883</f>
        <v>-1158.7630067960388</v>
      </c>
      <c r="H902">
        <f>-622.675640951105 -43.4142103760312 -605.724431883754</f>
        <v>-1271.8142832108902</v>
      </c>
      <c r="I902">
        <f>-590.122635949092 -40.6893939635047 -682.130570160859</f>
        <v>-1312.9426000734557</v>
      </c>
      <c r="J902">
        <f>-632.78984459281 -15.1741412078318 -552.119269977384</f>
        <v>-1200.0832557780259</v>
      </c>
      <c r="K902" t="s">
        <v>9014</v>
      </c>
      <c r="L902" t="s">
        <v>9015</v>
      </c>
      <c r="M902" t="s">
        <v>9016</v>
      </c>
      <c r="N902">
        <f>-623.91410184152 -69.8461808299842 -550.288594022432</f>
        <v>-1244.0488766939361</v>
      </c>
      <c r="O902">
        <f>-609.99970301309 -202.007676226236 -515.122053026984</f>
        <v>-1327.1294322663098</v>
      </c>
      <c r="P902">
        <f>-635.652953733126 -247.955887141823 -225.602048314634</f>
        <v>-1109.210889189583</v>
      </c>
      <c r="Q902">
        <f>-473.758056365423 -74.8460825104426 -268.890844789831</f>
        <v>-817.49498366569662</v>
      </c>
      <c r="R902" t="s">
        <v>9017</v>
      </c>
      <c r="S902" t="s">
        <v>9018</v>
      </c>
      <c r="T902" t="s">
        <v>9019</v>
      </c>
      <c r="U902" t="s">
        <v>9020</v>
      </c>
      <c r="V902">
        <f>-597.424229936525 -115.262505307931 -89.8507268340074</f>
        <v>-802.53746207846336</v>
      </c>
      <c r="W902" t="s">
        <v>9021</v>
      </c>
      <c r="X902" t="s">
        <v>9022</v>
      </c>
      <c r="Y902" t="s">
        <v>9023</v>
      </c>
    </row>
    <row r="903" spans="1:25" x14ac:dyDescent="0.3">
      <c r="A903">
        <v>45100</v>
      </c>
      <c r="B903" t="s">
        <v>9024</v>
      </c>
      <c r="C903">
        <f>-620.293601295358 -23.4364139124773 -91.2436251690789</f>
        <v>-734.9736403769142</v>
      </c>
      <c r="D903">
        <f>-638.1271015273 -31.2827187389707 -205.421563296357</f>
        <v>-874.83138356262782</v>
      </c>
      <c r="E903">
        <f>-641.719947998889 -35.6383666363272 -303.883719753883</f>
        <v>-981.24203438909922</v>
      </c>
      <c r="F903">
        <f>-640.830852033142 -38.893306058146 -392.916632254675</f>
        <v>-1072.6407903459631</v>
      </c>
      <c r="G903">
        <f>-635.448917152866 -41.4767493028876 -481.813199152522</f>
        <v>-1158.7388656082755</v>
      </c>
      <c r="H903">
        <f>-623.212005142572 -44.4622755234961 -605.75744507969</f>
        <v>-1273.4317257457583</v>
      </c>
      <c r="I903">
        <f>-590.522740671768 -42.2401692112737 -682.12161725083</f>
        <v>-1314.8845271338719</v>
      </c>
      <c r="J903">
        <f>-632.920615863257 -15.8003644245541 -552.301256288974</f>
        <v>-1201.022236576785</v>
      </c>
      <c r="K903" t="s">
        <v>9025</v>
      </c>
      <c r="L903" t="s">
        <v>9026</v>
      </c>
      <c r="M903" t="s">
        <v>9027</v>
      </c>
      <c r="N903">
        <f>-624.273064220954 -70.4965459263078 -550.129929024316</f>
        <v>-1244.8995391715778</v>
      </c>
      <c r="O903">
        <f>-610.76515289416 -202.504065149189 -514.238916552973</f>
        <v>-1327.508134596322</v>
      </c>
      <c r="P903">
        <f>-635.177647360991 -246.56065473373 -224.317766056981</f>
        <v>-1106.056068151702</v>
      </c>
      <c r="Q903">
        <f>-472.752302991249 -74.29355992825 -268.96049176124</f>
        <v>-816.00635468073892</v>
      </c>
      <c r="R903" t="s">
        <v>9028</v>
      </c>
      <c r="S903" t="s">
        <v>9029</v>
      </c>
      <c r="T903" t="s">
        <v>9030</v>
      </c>
      <c r="U903" t="s">
        <v>9031</v>
      </c>
      <c r="V903">
        <f>-596.286521202331 -114.011228860846 -89.9056938818105</f>
        <v>-800.2034439449875</v>
      </c>
      <c r="W903" t="s">
        <v>9032</v>
      </c>
      <c r="X903" t="s">
        <v>9033</v>
      </c>
      <c r="Y903" t="s">
        <v>9034</v>
      </c>
    </row>
    <row r="904" spans="1:25" x14ac:dyDescent="0.3">
      <c r="A904">
        <v>45150</v>
      </c>
      <c r="B904" t="s">
        <v>9035</v>
      </c>
      <c r="C904">
        <f>-619.497986449718 -22.8599624658416 -91.3266734268757</f>
        <v>-733.68462234243532</v>
      </c>
      <c r="D904">
        <f>-637.428516155685 -30.7215976090106 -205.488506559837</f>
        <v>-873.63862032453255</v>
      </c>
      <c r="E904">
        <f>-641.187952271149 -35.2808694974694 -303.935105986011</f>
        <v>-980.40392775462942</v>
      </c>
      <c r="F904">
        <f>-640.48552613945 -38.7934649219519 -392.959848712425</f>
        <v>-1072.2388397738268</v>
      </c>
      <c r="G904">
        <f>-635.327382111606 -41.7077326685023 -481.85945772655</f>
        <v>-1158.8945725066583</v>
      </c>
      <c r="H904">
        <f>-623.443077772029 -45.2309409671393 -605.823830233726</f>
        <v>-1274.4978489728942</v>
      </c>
      <c r="I904">
        <f>-590.692141145207 -43.3036750105464 -682.169641932908</f>
        <v>-1316.1654580886614</v>
      </c>
      <c r="J904">
        <f>-632.93381957248 -16.3268985137659 -552.459116863342</f>
        <v>-1201.7198349495879</v>
      </c>
      <c r="K904" t="s">
        <v>9036</v>
      </c>
      <c r="L904" t="s">
        <v>9037</v>
      </c>
      <c r="M904" t="s">
        <v>9038</v>
      </c>
      <c r="N904">
        <f>-624.411638690009 -71.0343412339578 -550.087277524503</f>
        <v>-1245.5332574484696</v>
      </c>
      <c r="O904">
        <f>-611.104542538627 -202.937275907788 -513.762212257787</f>
        <v>-1327.804030704202</v>
      </c>
      <c r="P904">
        <f>-634.757622317219 -245.865451043324 -223.609118587538</f>
        <v>-1104.232191948081</v>
      </c>
      <c r="Q904">
        <f>-472.009794683794 -74.1386464283057 -269.149420673006</f>
        <v>-815.29786178510562</v>
      </c>
      <c r="R904" t="s">
        <v>9039</v>
      </c>
      <c r="S904" t="s">
        <v>9040</v>
      </c>
      <c r="T904" t="s">
        <v>9041</v>
      </c>
      <c r="U904" t="s">
        <v>9042</v>
      </c>
      <c r="V904">
        <f>-595.691952038283 -113.428644659313 -89.9122846490651</f>
        <v>-799.03288134666116</v>
      </c>
      <c r="W904" t="s">
        <v>9043</v>
      </c>
      <c r="X904" t="s">
        <v>9044</v>
      </c>
      <c r="Y904" t="s">
        <v>9045</v>
      </c>
    </row>
    <row r="905" spans="1:25" x14ac:dyDescent="0.3">
      <c r="A905">
        <v>45200</v>
      </c>
      <c r="B905" t="s">
        <v>9046</v>
      </c>
      <c r="C905">
        <f>-618.238724445275 -21.7064342907227 -91.3593708174269</f>
        <v>-731.30452955342457</v>
      </c>
      <c r="D905">
        <f>-636.335385957988 -29.5980861623068 -205.492917872273</f>
        <v>-871.42638999256781</v>
      </c>
      <c r="E905">
        <f>-640.418320896103 -34.596051867394 -303.90528584749</f>
        <v>-978.91965861098788</v>
      </c>
      <c r="F905">
        <f>-640.087296926803 -38.6658595458741 -392.908457508312</f>
        <v>-1071.6616139809892</v>
      </c>
      <c r="G905">
        <f>-635.381254808496 -42.2972048151964 -481.806774979742</f>
        <v>-1159.4852346034345</v>
      </c>
      <c r="H905">
        <f>-624.215352885451 -46.9886139185601 -605.799143379988</f>
        <v>-1277.0031101839991</v>
      </c>
      <c r="I905">
        <f>-591.375741608396 -45.6708209760886 -682.119857263845</f>
        <v>-1319.1664198483295</v>
      </c>
      <c r="J905">
        <f>-633.272986950112 -17.5630061941547 -552.644712897234</f>
        <v>-1203.4807060415005</v>
      </c>
      <c r="K905" t="s">
        <v>9047</v>
      </c>
      <c r="L905" t="s">
        <v>9048</v>
      </c>
      <c r="M905" t="s">
        <v>9049</v>
      </c>
      <c r="N905">
        <f>-624.984992994416 -72.2854295871691 -549.827893675484</f>
        <v>-1247.0983162570692</v>
      </c>
      <c r="O905">
        <f>-611.965234467865 -203.972073222539 -512.592583692293</f>
        <v>-1328.5298913826969</v>
      </c>
      <c r="P905">
        <f>-634.295357217313 -244.630163076563 -222.007814453012</f>
        <v>-1100.933334746888</v>
      </c>
      <c r="Q905">
        <f>-471.106198099975 -73.863306811729 -269.535810347532</f>
        <v>-814.505315259236</v>
      </c>
      <c r="R905" t="s">
        <v>9050</v>
      </c>
      <c r="S905" t="s">
        <v>9051</v>
      </c>
      <c r="T905" t="s">
        <v>9052</v>
      </c>
      <c r="U905" t="s">
        <v>9053</v>
      </c>
      <c r="V905">
        <f>-594.667603794222 -112.305088825566 -89.8461165463923</f>
        <v>-796.81880916618036</v>
      </c>
      <c r="W905" t="s">
        <v>9054</v>
      </c>
      <c r="X905" t="s">
        <v>9055</v>
      </c>
      <c r="Y905" t="s">
        <v>9056</v>
      </c>
    </row>
    <row r="906" spans="1:25" x14ac:dyDescent="0.3">
      <c r="A906">
        <v>45250</v>
      </c>
      <c r="B906" t="s">
        <v>9057</v>
      </c>
      <c r="C906">
        <f>-617.669420457457 -21.1384145608477 -91.3235481553243</f>
        <v>-730.13138317362893</v>
      </c>
      <c r="D906">
        <f>-635.783002378065 -28.9713314941782 -205.458365452669</f>
        <v>-870.21269932491225</v>
      </c>
      <c r="E906">
        <f>-639.98756968716 -34.1738775497543 -303.855135613209</f>
        <v>-978.0165828501232</v>
      </c>
      <c r="F906">
        <f>-639.813147003387 -38.5284045613196 -392.845273703846</f>
        <v>-1071.1868252685526</v>
      </c>
      <c r="G906">
        <f>-635.31220487112 -42.5439949595516 -481.737673962573</f>
        <v>-1159.5938737932447</v>
      </c>
      <c r="H906">
        <f>-624.484502737611 -47.8758337251631 -605.734235442545</f>
        <v>-1278.0945719053193</v>
      </c>
      <c r="I906">
        <f>-591.606728756691 -46.867147591264 -682.043116513312</f>
        <v>-1320.5169928612672</v>
      </c>
      <c r="J906">
        <f>-633.320044857433 -18.1639576053858 -552.701706722625</f>
        <v>-1204.1857091854438</v>
      </c>
      <c r="K906" t="s">
        <v>9058</v>
      </c>
      <c r="L906" t="s">
        <v>9059</v>
      </c>
      <c r="M906" t="s">
        <v>9060</v>
      </c>
      <c r="N906">
        <f>-625.1784651783 -72.8950719566867 -549.637274019365</f>
        <v>-1247.7108111543516</v>
      </c>
      <c r="O906">
        <f>-612.338305062675 -204.462794864772 -511.918786128578</f>
        <v>-1328.719886056025</v>
      </c>
      <c r="P906">
        <f>-633.92696946572 -243.958703727781 -221.11778759892</f>
        <v>-1099.003460792421</v>
      </c>
      <c r="Q906">
        <f>-470.688466405644 -73.4842836415378 -269.517507220794</f>
        <v>-813.69025726797577</v>
      </c>
      <c r="R906" t="s">
        <v>9061</v>
      </c>
      <c r="S906" t="s">
        <v>9062</v>
      </c>
      <c r="T906" t="s">
        <v>9063</v>
      </c>
      <c r="U906" t="s">
        <v>9064</v>
      </c>
      <c r="V906">
        <f>-594.197131372512 -111.749313986833 -89.7912688946387</f>
        <v>-795.73771425398377</v>
      </c>
      <c r="W906" t="s">
        <v>9065</v>
      </c>
      <c r="X906" t="s">
        <v>9066</v>
      </c>
      <c r="Y906" t="s">
        <v>9067</v>
      </c>
    </row>
    <row r="907" spans="1:25" x14ac:dyDescent="0.3">
      <c r="A907">
        <v>45300</v>
      </c>
      <c r="B907" t="s">
        <v>9068</v>
      </c>
      <c r="C907">
        <f>-616.776933064746 -20.4879607365692 -91.2779995723978</f>
        <v>-728.54289337371301</v>
      </c>
      <c r="D907">
        <f>-634.83288631431 -28.1799130377367 -205.431589562448</f>
        <v>-868.44438891449477</v>
      </c>
      <c r="E907">
        <f>-639.248291863319 -33.7817460921572 -303.797194202125</f>
        <v>-976.8272321576012</v>
      </c>
      <c r="F907">
        <f>-639.376792229495 -38.6985567588483 -392.758133579184</f>
        <v>-1070.8334825675274</v>
      </c>
      <c r="G907">
        <f>-635.294385765828 -43.4783240539648 -481.632893107951</f>
        <v>-1160.4056029277438</v>
      </c>
      <c r="H907">
        <f>-625.175776518557 -50.0873363712626 -605.627869115406</f>
        <v>-1280.8909820052256</v>
      </c>
      <c r="I907">
        <f>-592.271337352712 -49.6917618569992 -681.931022845122</f>
        <v>-1323.8941220548331</v>
      </c>
      <c r="J907">
        <f>-633.524215289784 -19.8028624296094 -552.840767304527</f>
        <v>-1206.1678450239206</v>
      </c>
      <c r="K907" t="s">
        <v>9069</v>
      </c>
      <c r="L907" t="s">
        <v>9070</v>
      </c>
      <c r="M907" t="s">
        <v>9071</v>
      </c>
      <c r="N907">
        <f>-625.732642361918 -74.5553437022347 -549.286709820487</f>
        <v>-1249.5746958846398</v>
      </c>
      <c r="O907">
        <f>-613.432212242292 -205.87265649588 -510.537584253679</f>
        <v>-1329.8424529918509</v>
      </c>
      <c r="P907">
        <f>-633.835503056007 -242.837116724513 -219.318456858215</f>
        <v>-1095.9910766387352</v>
      </c>
      <c r="Q907">
        <f>-469.890070760931 -73.5311617788961 -269.400575702531</f>
        <v>-812.82180824235809</v>
      </c>
      <c r="R907" t="s">
        <v>9072</v>
      </c>
      <c r="S907" t="s">
        <v>9073</v>
      </c>
      <c r="T907" t="s">
        <v>9074</v>
      </c>
      <c r="U907" t="s">
        <v>9075</v>
      </c>
      <c r="V907">
        <f>-593.706508198818 -111.389760509107 -89.7508456092961</f>
        <v>-794.8471143172211</v>
      </c>
      <c r="W907" t="s">
        <v>9076</v>
      </c>
      <c r="X907" t="s">
        <v>9077</v>
      </c>
      <c r="Y907" t="s">
        <v>9078</v>
      </c>
    </row>
    <row r="908" spans="1:25" x14ac:dyDescent="0.3">
      <c r="A908">
        <v>45350</v>
      </c>
      <c r="B908" t="s">
        <v>9079</v>
      </c>
      <c r="C908">
        <f>-616.502349613497 -20.1475774122262 -91.2641366057235</f>
        <v>-727.91406363144665</v>
      </c>
      <c r="D908">
        <f>-634.508717789302 -27.7813856813668 -205.429431326445</f>
        <v>-867.71953479711374</v>
      </c>
      <c r="E908">
        <f>-639.017803968472 -33.5760067964404 -303.779603099961</f>
        <v>-976.37341386487333</v>
      </c>
      <c r="F908">
        <f>-639.289554990047 -38.7617431788292 -392.724817714395</f>
        <v>-1070.7761158832711</v>
      </c>
      <c r="G908">
        <f>-635.41016854874 -43.9044653677383 -481.588509936696</f>
        <v>-1160.9031438531742</v>
      </c>
      <c r="H908">
        <f>-625.639349612518 -51.1185422070712 -605.577577487558</f>
        <v>-1282.3354693071472</v>
      </c>
      <c r="I908">
        <f>-592.74594396427 -51.0152282321601 -681.886528700465</f>
        <v>-1325.647700896895</v>
      </c>
      <c r="J908">
        <f>-633.753403033683 -20.5641829261735 -552.909841250682</f>
        <v>-1207.2274272105385</v>
      </c>
      <c r="K908" t="s">
        <v>9080</v>
      </c>
      <c r="L908" t="s">
        <v>9081</v>
      </c>
      <c r="M908" t="s">
        <v>9082</v>
      </c>
      <c r="N908">
        <f>-626.124641275077 -75.3238635811015 -549.122539851099</f>
        <v>-1250.5710447072775</v>
      </c>
      <c r="O908">
        <f>-614.125326739841 -206.511377136545 -509.836772464437</f>
        <v>-1330.4734763408228</v>
      </c>
      <c r="P908">
        <f>-634.062720602807 -242.30950281125 -218.439783392127</f>
        <v>-1094.8120068061839</v>
      </c>
      <c r="Q908">
        <f>-469.914129767528 -73.4392524995146 -269.320728258807</f>
        <v>-812.67411052584953</v>
      </c>
      <c r="R908" t="s">
        <v>9083</v>
      </c>
      <c r="S908" t="s">
        <v>9084</v>
      </c>
      <c r="T908" t="s">
        <v>9085</v>
      </c>
      <c r="U908" t="s">
        <v>9086</v>
      </c>
      <c r="V908">
        <f>-593.538009447313 -111.111696128323 -89.739635122004</f>
        <v>-794.38934069764002</v>
      </c>
      <c r="W908" t="s">
        <v>9087</v>
      </c>
      <c r="X908" t="s">
        <v>9088</v>
      </c>
      <c r="Y908" t="s">
        <v>9089</v>
      </c>
    </row>
    <row r="909" spans="1:25" x14ac:dyDescent="0.3">
      <c r="A909">
        <v>45400</v>
      </c>
      <c r="B909" t="s">
        <v>9090</v>
      </c>
      <c r="C909">
        <f>-616.508320628721 -19.4643313170507 -91.3165287692185</f>
        <v>-727.28918071499015</v>
      </c>
      <c r="D909">
        <f>-634.233392714426 -26.9483492609761 -205.535751348773</f>
        <v>-866.71749332417517</v>
      </c>
      <c r="E909">
        <f>-638.873907356863 -33.0927784467156 -303.858495903417</f>
        <v>-975.82518170699564</v>
      </c>
      <c r="F909">
        <f>-639.421586386348 -38.7799859813372 -392.771930217844</f>
        <v>-1070.9735025855293</v>
      </c>
      <c r="G909">
        <f>-635.978527579101 -44.6078331115887 -481.611225890979</f>
        <v>-1162.1975865816685</v>
      </c>
      <c r="H909">
        <f>-626.987743075662 -52.9693963916775 -605.587299109599</f>
        <v>-1285.5444385769385</v>
      </c>
      <c r="I909">
        <f>-594.139243279109 -53.3976821958759 -681.914448227661</f>
        <v>-1329.4513737026459</v>
      </c>
      <c r="J909">
        <f>-634.648571764782 -21.9111866744722 -553.146855058654</f>
        <v>-1209.7066134979082</v>
      </c>
      <c r="K909" t="s">
        <v>9091</v>
      </c>
      <c r="L909" t="s">
        <v>9092</v>
      </c>
      <c r="M909" t="s">
        <v>9093</v>
      </c>
      <c r="N909">
        <f>-627.239674331409 -76.6686846304513 -548.916470688419</f>
        <v>-1252.8248296502793</v>
      </c>
      <c r="O909">
        <f>-615.537723004805 -207.579851145305 -508.649609663441</f>
        <v>-1331.7671838135511</v>
      </c>
      <c r="P909">
        <f>-634.863784117667 -241.137062157873 -216.944916724693</f>
        <v>-1092.945763000233</v>
      </c>
      <c r="Q909">
        <f>-470.207511558324 -73.1024054366508 -268.940915808243</f>
        <v>-812.25083280321769</v>
      </c>
      <c r="R909" t="s">
        <v>9094</v>
      </c>
      <c r="S909" t="s">
        <v>9095</v>
      </c>
      <c r="T909" t="s">
        <v>9096</v>
      </c>
      <c r="U909" t="s">
        <v>9097</v>
      </c>
      <c r="V909">
        <f>-593.735016729106 -110.478688341281 -89.7643933195476</f>
        <v>-793.97809838993453</v>
      </c>
      <c r="W909" t="s">
        <v>9098</v>
      </c>
      <c r="X909" t="s">
        <v>9099</v>
      </c>
      <c r="Y909" t="s">
        <v>9100</v>
      </c>
    </row>
    <row r="910" spans="1:25" x14ac:dyDescent="0.3">
      <c r="A910">
        <v>45450</v>
      </c>
      <c r="B910" t="s">
        <v>9101</v>
      </c>
      <c r="C910">
        <f>-616.778737043951 -19.318867127465 -91.3918813217279</f>
        <v>-727.48948549314377</v>
      </c>
      <c r="D910">
        <f>-634.348726941225 -26.7884794598242 -205.63605697219</f>
        <v>-866.77326337323916</v>
      </c>
      <c r="E910">
        <f>-639.04432323632 -33.1274973305303 -303.943695998166</f>
        <v>-976.11551656501638</v>
      </c>
      <c r="F910">
        <f>-639.720356501599 -39.0729234739888 -392.839499466413</f>
        <v>-1071.6327794420008</v>
      </c>
      <c r="G910">
        <f>-636.485636035041 -45.2412287699094 -481.663570489747</f>
        <v>-1163.3904352946975</v>
      </c>
      <c r="H910">
        <f>-627.871783615349 -54.164370287047 -605.62730296073</f>
        <v>-1287.6634568631262</v>
      </c>
      <c r="I910">
        <f>-595.053181530351 -54.8429085281073 -681.965380975949</f>
        <v>-1331.8614710344073</v>
      </c>
      <c r="J910">
        <f>-635.329008394436 -22.8626517371777 -553.302305734362</f>
        <v>-1211.4939658659755</v>
      </c>
      <c r="K910" t="s">
        <v>9102</v>
      </c>
      <c r="L910" t="s">
        <v>9103</v>
      </c>
      <c r="M910" t="s">
        <v>9104</v>
      </c>
      <c r="N910">
        <f>-627.995704833183 -77.6129114334767 -548.851729803454</f>
        <v>-1254.4603460701137</v>
      </c>
      <c r="O910">
        <f>-616.405115741791 -208.41563739999 -508.235897200574</f>
        <v>-1333.0566503423549</v>
      </c>
      <c r="P910">
        <f>-635.339380241183 -241.030090019847 -216.398688514482</f>
        <v>-1092.7681587755119</v>
      </c>
      <c r="Q910">
        <f>-470.674726140735 -73.1369864219901 -268.823190880315</f>
        <v>-812.63490344304012</v>
      </c>
      <c r="R910" t="s">
        <v>9105</v>
      </c>
      <c r="S910" t="s">
        <v>9106</v>
      </c>
      <c r="T910" t="s">
        <v>9107</v>
      </c>
      <c r="U910" t="s">
        <v>9108</v>
      </c>
      <c r="V910">
        <f>-593.975680256832 -110.690498906373 -89.8382337951161</f>
        <v>-794.50441295832115</v>
      </c>
      <c r="W910" t="s">
        <v>9109</v>
      </c>
      <c r="X910" t="s">
        <v>9110</v>
      </c>
      <c r="Y910" t="s">
        <v>9111</v>
      </c>
    </row>
    <row r="911" spans="1:25" x14ac:dyDescent="0.3">
      <c r="A911">
        <v>45500</v>
      </c>
      <c r="B911" t="s">
        <v>9112</v>
      </c>
      <c r="C911">
        <f>-618.299981985143 -19.407586420368 -91.8144710210922</f>
        <v>-729.52203942660321</v>
      </c>
      <c r="D911">
        <f>-635.630903082079 -27.1010160209757 -206.080291262706</f>
        <v>-868.81221036576085</v>
      </c>
      <c r="E911">
        <f>-640.305857626384 -33.9778378975368 -304.352919065723</f>
        <v>-978.63661458964373</v>
      </c>
      <c r="F911">
        <f>-641.042806961788 -40.5630339248735 -393.202996295452</f>
        <v>-1074.8088371821134</v>
      </c>
      <c r="G911">
        <f>-637.953278639214 -47.5317832440312 -481.973129862252</f>
        <v>-1167.4581917454971</v>
      </c>
      <c r="H911">
        <f>-629.633999179504 -57.7490976380614 -605.856977267531</f>
        <v>-1293.2400740850962</v>
      </c>
      <c r="I911">
        <f>-596.749199041975 -59.0639796298708 -682.158252888046</f>
        <v>-1337.9714315598917</v>
      </c>
      <c r="J911">
        <f>-636.857825643553 -25.8876808668399 -553.837992401321</f>
        <v>-1216.5834989117138</v>
      </c>
      <c r="K911" t="s">
        <v>9113</v>
      </c>
      <c r="L911" t="s">
        <v>9114</v>
      </c>
      <c r="M911" t="s">
        <v>9115</v>
      </c>
      <c r="N911">
        <f>-629.731935237868 -80.6184198303058 -548.845614189628</f>
        <v>-1259.1959692578018</v>
      </c>
      <c r="O911">
        <f>-618.075552075585 -211.178636565938 -507.474735080245</f>
        <v>-1336.7289237217681</v>
      </c>
      <c r="P911">
        <f>-635.876546800434 -242.859967004866 -215.46348467891</f>
        <v>-1094.19999848421</v>
      </c>
      <c r="Q911">
        <f>-471.055753184824 -75.779532907791 -269.952394129063</f>
        <v>-816.78768022167799</v>
      </c>
      <c r="R911" t="s">
        <v>9116</v>
      </c>
      <c r="S911" t="s">
        <v>9117</v>
      </c>
      <c r="T911" t="s">
        <v>9118</v>
      </c>
      <c r="U911" t="s">
        <v>9119</v>
      </c>
      <c r="V911">
        <f>-594.443738096076 -111.396814738152 -90.093533315979</f>
        <v>-795.93408615020701</v>
      </c>
      <c r="W911" t="s">
        <v>9120</v>
      </c>
      <c r="X911" t="s">
        <v>9121</v>
      </c>
      <c r="Y911" t="s">
        <v>9122</v>
      </c>
    </row>
    <row r="912" spans="1:25" x14ac:dyDescent="0.3">
      <c r="A912">
        <v>45550</v>
      </c>
      <c r="B912" t="s">
        <v>9123</v>
      </c>
      <c r="C912">
        <f>-619.902060604757 -19.7617815426736 -92.0753954353061</f>
        <v>-731.73923758273668</v>
      </c>
      <c r="D912">
        <f>-637.012314871788 -27.6008857515317 -206.364491435835</f>
        <v>-870.97769205915472</v>
      </c>
      <c r="E912">
        <f>-641.531581567687 -34.7092255466314 -304.627988270434</f>
        <v>-980.86879538475239</v>
      </c>
      <c r="F912">
        <f>-642.143557090035 -41.5596407478697 -393.458974628697</f>
        <v>-1077.1621724666015</v>
      </c>
      <c r="G912">
        <f>-638.947059322111 -48.8548252615176 -482.199096745196</f>
        <v>-1170.0009813288248</v>
      </c>
      <c r="H912">
        <f>-630.500018928903 -59.5981055009142 -606.029727962051</f>
        <v>-1296.1278523918681</v>
      </c>
      <c r="I912">
        <f>-597.571971224259 -61.2049549375336 -682.306815654046</f>
        <v>-1341.0837418158385</v>
      </c>
      <c r="J912">
        <f>-637.735926299872 -27.5103929675836 -554.151710786645</f>
        <v>-1219.3980300541007</v>
      </c>
      <c r="K912" t="s">
        <v>9124</v>
      </c>
      <c r="L912" t="s">
        <v>9125</v>
      </c>
      <c r="M912" t="s">
        <v>9126</v>
      </c>
      <c r="N912">
        <f>-630.698328565753 -82.2307288548263 -548.924234988981</f>
        <v>-1261.8532924095603</v>
      </c>
      <c r="O912">
        <f>-619.011032090514 -212.728995526634 -507.293747638065</f>
        <v>-1339.033775255213</v>
      </c>
      <c r="P912">
        <f>-635.932841881105 -243.819165175765 -215.166614910105</f>
        <v>-1094.918621966975</v>
      </c>
      <c r="Q912">
        <f>-470.252493763684 -78.2073083629432 -271.501974483301</f>
        <v>-819.96177660992817</v>
      </c>
      <c r="R912" t="s">
        <v>9127</v>
      </c>
      <c r="S912" t="s">
        <v>9128</v>
      </c>
      <c r="T912" t="s">
        <v>9129</v>
      </c>
      <c r="U912" t="s">
        <v>9130</v>
      </c>
      <c r="V912">
        <f>-594.93072697773 -112.365910330606 -90.3118219215286</f>
        <v>-797.60845922986459</v>
      </c>
      <c r="W912" t="s">
        <v>9131</v>
      </c>
      <c r="X912" t="s">
        <v>9132</v>
      </c>
      <c r="Y912" t="s">
        <v>9133</v>
      </c>
    </row>
    <row r="913" spans="1:25" x14ac:dyDescent="0.3">
      <c r="A913">
        <v>45600</v>
      </c>
      <c r="B913" t="s">
        <v>9134</v>
      </c>
      <c r="C913">
        <f>-624.089954608145 -21.2457933828284 -92.653959561027</f>
        <v>-737.98970755200048</v>
      </c>
      <c r="D913">
        <f>-640.623009502757 -29.0510659286392 -207.030333523056</f>
        <v>-876.70440895445222</v>
      </c>
      <c r="E913">
        <f>-644.577076946236 -36.1165630942135 -305.3213456678</f>
        <v>-986.01498570824947</v>
      </c>
      <c r="F913">
        <f>-644.651124480965 -42.9440503984501 -394.156049095944</f>
        <v>-1081.7512239753592</v>
      </c>
      <c r="G913">
        <f>-640.892078673612 -50.2396593981807 -482.874031716764</f>
        <v>-1174.0057697885568</v>
      </c>
      <c r="H913">
        <f>-631.6353268399 -61.0170590085606 -606.64390853312</f>
        <v>-1299.2962943815805</v>
      </c>
      <c r="I913">
        <f>-598.700172221741 -62.7481768349062 -682.915278544874</f>
        <v>-1344.3636276015213</v>
      </c>
      <c r="J913">
        <f>-639.239515912132 -28.9189112913837 -554.82499776809</f>
        <v>-1222.9834249716057</v>
      </c>
      <c r="K913" t="s">
        <v>9135</v>
      </c>
      <c r="L913" t="s">
        <v>9136</v>
      </c>
      <c r="M913" t="s">
        <v>9137</v>
      </c>
      <c r="N913">
        <f>-632.17788859858 -83.6300336424638 -549.53273090159</f>
        <v>-1265.3406531426338</v>
      </c>
      <c r="O913">
        <f>-620.424917260095 -214.105490295727 -507.833619258138</f>
        <v>-1342.36402681396</v>
      </c>
      <c r="P913">
        <f>-634.57084572908 -244.003618511853 -215.43463903336</f>
        <v>-1094.009103274293</v>
      </c>
      <c r="Q913">
        <f>-467.102831745783 -81.5757801756627 -275.622379753856</f>
        <v>-824.3009916753017</v>
      </c>
      <c r="R913" t="s">
        <v>9138</v>
      </c>
      <c r="S913" t="s">
        <v>9139</v>
      </c>
      <c r="T913" t="s">
        <v>9140</v>
      </c>
      <c r="U913" t="s">
        <v>9141</v>
      </c>
      <c r="V913">
        <f>-597.99764721546 -114.320803432878 -90.8817725951832</f>
        <v>-803.20022324352124</v>
      </c>
      <c r="W913" t="s">
        <v>9142</v>
      </c>
      <c r="X913" t="s">
        <v>9143</v>
      </c>
      <c r="Y913" t="s">
        <v>9144</v>
      </c>
    </row>
    <row r="914" spans="1:25" x14ac:dyDescent="0.3">
      <c r="A914">
        <v>45650</v>
      </c>
      <c r="B914" t="s">
        <v>9145</v>
      </c>
      <c r="C914">
        <f>-626.233597454404 -22.0674831920753 -92.8374469647051</f>
        <v>-741.13852761118449</v>
      </c>
      <c r="D914">
        <f>-642.282235103613 -29.7783345650689 -207.289133847524</f>
        <v>-879.34970351620586</v>
      </c>
      <c r="E914">
        <f>-645.759691900923 -36.6998143164849 -305.608379689351</f>
        <v>-988.06788590675887</v>
      </c>
      <c r="F914">
        <f>-645.376660087928 -43.3769055960531 -394.453806877447</f>
        <v>-1083.2073725614282</v>
      </c>
      <c r="G914">
        <f>-641.135176329335 -50.5019341595009 -483.163976567821</f>
        <v>-1174.8010870566568</v>
      </c>
      <c r="H914">
        <f>-631.17777797538 -61.0214980188778 -606.901584572441</f>
        <v>-1299.1008605666989</v>
      </c>
      <c r="I914">
        <f>-598.24015673845 -62.7029070159722 -683.172788102274</f>
        <v>-1344.1158518566963</v>
      </c>
      <c r="J914">
        <f>-639.167836814548 -29.0440408995987 -555.066122056029</f>
        <v>-1223.2779997701757</v>
      </c>
      <c r="K914" t="s">
        <v>9146</v>
      </c>
      <c r="L914" t="s">
        <v>9147</v>
      </c>
      <c r="M914" t="s">
        <v>9148</v>
      </c>
      <c r="N914">
        <f>-631.951320664102 -83.7406535859693 -549.835336210944</f>
        <v>-1265.5273104610153</v>
      </c>
      <c r="O914">
        <f>-619.850873936595 -214.221657216447 -508.302179065458</f>
        <v>-1342.3747102185</v>
      </c>
      <c r="P914">
        <f>-633.18137499523 -244.155816861081 -215.868377717333</f>
        <v>-1093.205569573644</v>
      </c>
      <c r="Q914">
        <f>-464.722372434153 -83.4262677980335 -277.823724018593</f>
        <v>-825.97236425077949</v>
      </c>
      <c r="R914" t="s">
        <v>9149</v>
      </c>
      <c r="S914" t="s">
        <v>9150</v>
      </c>
      <c r="T914" t="s">
        <v>9151</v>
      </c>
      <c r="U914" t="s">
        <v>9152</v>
      </c>
      <c r="V914">
        <f>-599.759260039893 -115.258824304189 -91.1141340610445</f>
        <v>-806.13221840512654</v>
      </c>
      <c r="W914" t="s">
        <v>9153</v>
      </c>
      <c r="X914" t="s">
        <v>9154</v>
      </c>
      <c r="Y914" t="s">
        <v>9155</v>
      </c>
    </row>
    <row r="915" spans="1:25" x14ac:dyDescent="0.3">
      <c r="A915">
        <v>45700</v>
      </c>
      <c r="B915" t="s">
        <v>9156</v>
      </c>
      <c r="C915">
        <f>-630.806031597333 -22.9665243835011 -93.00962492607</f>
        <v>-746.78218090690416</v>
      </c>
      <c r="D915">
        <f>-645.819328675963 -30.3557303772768 -207.622940614466</f>
        <v>-883.79799966770577</v>
      </c>
      <c r="E915">
        <f>-648.257419948412 -36.8935340476751 -305.999600235834</f>
        <v>-991.15055423192109</v>
      </c>
      <c r="F915">
        <f>-646.872217617209 -43.183716191751 -394.863344284437</f>
        <v>-1084.919278093397</v>
      </c>
      <c r="G915">
        <f>-641.566165575804 -49.8793052075857 -483.549598038007</f>
        <v>-1174.9950688213967</v>
      </c>
      <c r="H915">
        <f>-630.055892157273 -59.7544786932233 -607.205693701554</f>
        <v>-1297.0160645520502</v>
      </c>
      <c r="I915">
        <f>-597.171501743925 -61.1769058107898 -683.505184859572</f>
        <v>-1341.8535924142866</v>
      </c>
      <c r="J915">
        <f>-638.899004453492 -28.075933222633 -555.325306695126</f>
        <v>-1222.300244371251</v>
      </c>
      <c r="K915" t="s">
        <v>9157</v>
      </c>
      <c r="L915" t="s">
        <v>9158</v>
      </c>
      <c r="M915" t="s">
        <v>9159</v>
      </c>
      <c r="N915">
        <f>-631.342994564176 -82.741947243996 -550.256191597889</f>
        <v>-1264.3411334060611</v>
      </c>
      <c r="O915">
        <f>-618.687216468833 -213.329753574913 -509.222447395566</f>
        <v>-1341.2394174393119</v>
      </c>
      <c r="P915">
        <f>-631.090743775656 -243.936288156386 -216.817573855708</f>
        <v>-1091.84460578775</v>
      </c>
      <c r="Q915">
        <f>-461.826500379555 -85.1653636161045 -281.565608838372</f>
        <v>-828.5574728340315</v>
      </c>
      <c r="R915" t="s">
        <v>9160</v>
      </c>
      <c r="S915" t="s">
        <v>9161</v>
      </c>
      <c r="T915" t="s">
        <v>9162</v>
      </c>
      <c r="U915" t="s">
        <v>9163</v>
      </c>
      <c r="V915">
        <f>-604.571445756243 -115.569974208552 -91.4015772782165</f>
        <v>-811.54299724301143</v>
      </c>
      <c r="W915" t="s">
        <v>9164</v>
      </c>
      <c r="X915" t="s">
        <v>9165</v>
      </c>
      <c r="Y915" t="s">
        <v>9166</v>
      </c>
    </row>
    <row r="916" spans="1:25" x14ac:dyDescent="0.3">
      <c r="A916">
        <v>45750</v>
      </c>
      <c r="B916" t="s">
        <v>9167</v>
      </c>
      <c r="C916">
        <f>-632.998149628049 -23.1516782026217 -93.0098184347607</f>
        <v>-749.15964626543143</v>
      </c>
      <c r="D916">
        <f>-647.547948301221 -30.4278068317174 -207.690168660711</f>
        <v>-885.66592379364943</v>
      </c>
      <c r="E916">
        <f>-649.519036813472 -36.7912412282765 -306.088747247932</f>
        <v>-992.39902528968048</v>
      </c>
      <c r="F916">
        <f>-647.682822832759 -42.892210491832 -394.957475039747</f>
        <v>-1085.5325083643379</v>
      </c>
      <c r="G916">
        <f>-641.896432249611 -49.3659127588865 -483.630130678539</f>
        <v>-1174.8924756870365</v>
      </c>
      <c r="H916">
        <f>-629.683376137948 -58.8957322327335 -607.245905470041</f>
        <v>-1295.8250138407225</v>
      </c>
      <c r="I916">
        <f>-596.819811550607 -60.1601585891644 -683.557200931572</f>
        <v>-1340.5371710713434</v>
      </c>
      <c r="J916">
        <f>-638.899678571829 -27.373493853564 -555.334978184075</f>
        <v>-1221.6081506094679</v>
      </c>
      <c r="K916" t="s">
        <v>9168</v>
      </c>
      <c r="L916" t="s">
        <v>9169</v>
      </c>
      <c r="M916" t="s">
        <v>9170</v>
      </c>
      <c r="N916">
        <f>-631.21565271851 -82.0306386670406 -550.362310849335</f>
        <v>-1263.6086022348857</v>
      </c>
      <c r="O916">
        <f>-618.300022119174 -212.63730852924 -509.482337254202</f>
        <v>-1340.4196679026159</v>
      </c>
      <c r="P916">
        <f>-630.883687804934 -243.446980296928 -217.106407807068</f>
        <v>-1091.43707590893</v>
      </c>
      <c r="Q916">
        <f>-461.618794110114 -85.1233267777013 -282.939022911297</f>
        <v>-829.68114379911231</v>
      </c>
      <c r="R916" t="s">
        <v>9171</v>
      </c>
      <c r="S916" t="s">
        <v>9172</v>
      </c>
      <c r="T916" t="s">
        <v>9173</v>
      </c>
      <c r="U916" t="s">
        <v>9174</v>
      </c>
      <c r="V916">
        <f>-607.02940607817 -115.450232022598 -91.3462872535971</f>
        <v>-813.82592535436515</v>
      </c>
      <c r="W916" t="s">
        <v>9175</v>
      </c>
      <c r="X916" t="s">
        <v>9176</v>
      </c>
      <c r="Y916" t="s">
        <v>9177</v>
      </c>
    </row>
    <row r="917" spans="1:25" x14ac:dyDescent="0.3">
      <c r="A917">
        <v>45800</v>
      </c>
      <c r="B917" t="s">
        <v>9178</v>
      </c>
      <c r="C917">
        <f>-637.18222153807 -23.6714129198999 -92.8592370354214</f>
        <v>-753.71287149339139</v>
      </c>
      <c r="D917">
        <f>-651.051005106854 -30.8241272768785 -207.631763352425</f>
        <v>-889.50689573615739</v>
      </c>
      <c r="E917">
        <f>-652.269874479674 -36.9109842280425 -306.059957134779</f>
        <v>-995.24081584249541</v>
      </c>
      <c r="F917">
        <f>-649.683471917982 -42.6925697149488 -394.931416861743</f>
        <v>-1087.3074584946739</v>
      </c>
      <c r="G917">
        <f>-643.075780696434 -48.7758057107424 -483.574370200153</f>
        <v>-1175.4259566073292</v>
      </c>
      <c r="H917">
        <f>-629.640162777934 -57.6848939709373 -607.109342135736</f>
        <v>-1294.4343988846074</v>
      </c>
      <c r="I917">
        <f>-596.773847367912 -58.6644548140623 -683.423778116514</f>
        <v>-1338.8620802984883</v>
      </c>
      <c r="J917">
        <f>-639.480229179724 -26.4401940323855 -555.145407432579</f>
        <v>-1221.0658306446885</v>
      </c>
      <c r="K917" t="s">
        <v>9179</v>
      </c>
      <c r="L917" t="s">
        <v>9180</v>
      </c>
      <c r="M917" t="s">
        <v>9181</v>
      </c>
      <c r="N917">
        <f>-631.624811817794 -81.0888243486352 -550.349990422298</f>
        <v>-1263.0636265887272</v>
      </c>
      <c r="O917">
        <f>-618.431134505653 -211.740494000474 -509.654819155756</f>
        <v>-1339.8264476618829</v>
      </c>
      <c r="P917">
        <f>-632.090369985021 -242.812302192586 -217.354889202713</f>
        <v>-1092.2575613803199</v>
      </c>
      <c r="Q917">
        <f>-463.246505955878 -84.5083939323438 -284.306273797309</f>
        <v>-832.06117368553078</v>
      </c>
      <c r="R917" t="s">
        <v>9182</v>
      </c>
      <c r="S917" t="s">
        <v>9183</v>
      </c>
      <c r="T917" t="s">
        <v>9184</v>
      </c>
      <c r="U917" t="s">
        <v>9185</v>
      </c>
      <c r="V917">
        <f>-611.180842165898 -116.185065285167 -91.1863414108441</f>
        <v>-818.55224886190899</v>
      </c>
      <c r="W917" t="s">
        <v>9186</v>
      </c>
      <c r="X917" t="s">
        <v>9187</v>
      </c>
      <c r="Y917" t="s">
        <v>9188</v>
      </c>
    </row>
    <row r="918" spans="1:25" x14ac:dyDescent="0.3">
      <c r="A918">
        <v>45850</v>
      </c>
      <c r="B918" t="s">
        <v>9189</v>
      </c>
      <c r="C918">
        <f>-638.87396701809 -24.4256377989743 -92.7499438588001</f>
        <v>-756.04954867586434</v>
      </c>
      <c r="D918">
        <f>-652.595803890327 -31.5763030006458 -207.540117360347</f>
        <v>-891.71222425131987</v>
      </c>
      <c r="E918">
        <f>-653.555275228391 -37.5373343836554 -305.979102840225</f>
        <v>-997.07171245227141</v>
      </c>
      <c r="F918">
        <f>-650.678870519903 -43.1557736085927 -394.851971880977</f>
        <v>-1088.6866160094726</v>
      </c>
      <c r="G918">
        <f>-643.725166999884 -49.0266182625624 -483.482755029039</f>
        <v>-1176.2345402914852</v>
      </c>
      <c r="H918">
        <f>-629.746039152515 -57.5868837249577 -606.982310786511</f>
        <v>-1294.3152336639837</v>
      </c>
      <c r="I918">
        <f>-596.824443783338 -58.3793125341322 -683.274900663129</f>
        <v>-1338.4786569805992</v>
      </c>
      <c r="J918">
        <f>-639.862909392569 -26.4962693764769 -554.97903989596</f>
        <v>-1221.338218665006</v>
      </c>
      <c r="K918" t="s">
        <v>9190</v>
      </c>
      <c r="L918" t="s">
        <v>9191</v>
      </c>
      <c r="M918" t="s">
        <v>9192</v>
      </c>
      <c r="N918">
        <f>-631.932230790657 -81.143503027092 -550.293561853255</f>
        <v>-1263.369295671004</v>
      </c>
      <c r="O918">
        <f>-618.673747807909 -211.826267338507 -509.709614649007</f>
        <v>-1340.2096297954231</v>
      </c>
      <c r="P918">
        <f>-632.256709936694 -243.890126218693 -217.51348959866</f>
        <v>-1093.6603257540471</v>
      </c>
      <c r="Q918">
        <f>-464.412068577569 -84.4017190857123 -284.165395963045</f>
        <v>-832.9791836263264</v>
      </c>
      <c r="R918" t="s">
        <v>9193</v>
      </c>
      <c r="S918" t="s">
        <v>9194</v>
      </c>
      <c r="T918" t="s">
        <v>9195</v>
      </c>
      <c r="U918" t="s">
        <v>9196</v>
      </c>
      <c r="V918">
        <f>-612.872041276768 -117.247447803087 -91.0962411009963</f>
        <v>-821.21573018085121</v>
      </c>
      <c r="W918" t="s">
        <v>9197</v>
      </c>
      <c r="X918" t="s">
        <v>9198</v>
      </c>
      <c r="Y918" t="s">
        <v>9199</v>
      </c>
    </row>
    <row r="919" spans="1:25" x14ac:dyDescent="0.3">
      <c r="A919">
        <v>45900</v>
      </c>
      <c r="B919" t="s">
        <v>9200</v>
      </c>
      <c r="C919">
        <f>-641.361644252101 -26.1292449741659 -92.5788493038665</f>
        <v>-760.06973853013335</v>
      </c>
      <c r="D919">
        <f>-655.145740655293 -33.4382456565138 -207.35168022736</f>
        <v>-895.93566653916685</v>
      </c>
      <c r="E919">
        <f>-655.96131033103 -39.0789867430069 -305.810599488234</f>
        <v>-1000.8508965622709</v>
      </c>
      <c r="F919">
        <f>-652.867626549819 -44.2256113560509 -394.704900276333</f>
        <v>-1091.7981381822028</v>
      </c>
      <c r="G919">
        <f>-645.605400797625 -49.4419526091949 -483.351812067583</f>
        <v>-1178.3991654744029</v>
      </c>
      <c r="H919">
        <f>-631.09638453659 -56.8962987625243 -606.861937559286</f>
        <v>-1294.8546208584003</v>
      </c>
      <c r="I919">
        <f>-598.104036355027 -57.1604632589679 -683.127621131152</f>
        <v>-1338.3921207451467</v>
      </c>
      <c r="J919">
        <f>-641.558848712793 -26.29148717865 -554.639485750258</f>
        <v>-1222.4898216417009</v>
      </c>
      <c r="K919" t="s">
        <v>9201</v>
      </c>
      <c r="L919" t="s">
        <v>9202</v>
      </c>
      <c r="M919" t="s">
        <v>9203</v>
      </c>
      <c r="N919">
        <f>-633.403405005717 -80.9406369127469 -550.383095417842</f>
        <v>-1264.727137336306</v>
      </c>
      <c r="O919">
        <f>-619.671720894384 -211.814203814608 -510.569525756782</f>
        <v>-1342.0554504657739</v>
      </c>
      <c r="P919">
        <f>-630.574095397744 -249.081942904077 -218.878847796613</f>
        <v>-1098.5348860984341</v>
      </c>
      <c r="Q919">
        <f>-466.950687554762 -83.9531030614239 -282.208740166366</f>
        <v>-833.11253078255186</v>
      </c>
      <c r="R919" t="s">
        <v>9204</v>
      </c>
      <c r="S919" t="s">
        <v>9205</v>
      </c>
      <c r="T919" t="s">
        <v>9206</v>
      </c>
      <c r="U919" t="s">
        <v>9207</v>
      </c>
      <c r="V919">
        <f>-615.349026386455 -119.136074635763 -90.853742689293</f>
        <v>-825.33884371151089</v>
      </c>
      <c r="W919" t="s">
        <v>9208</v>
      </c>
      <c r="X919" t="s">
        <v>9209</v>
      </c>
      <c r="Y919" t="s">
        <v>9210</v>
      </c>
    </row>
    <row r="920" spans="1:25" x14ac:dyDescent="0.3">
      <c r="A920">
        <v>45950</v>
      </c>
      <c r="B920" t="s">
        <v>9211</v>
      </c>
      <c r="C920">
        <f>-642.101213076633 -26.6947943140888 -92.5542289106081</f>
        <v>-761.35023630132991</v>
      </c>
      <c r="D920">
        <f>-655.995813122459 -34.0776084784443 -207.308934134651</f>
        <v>-897.38235573555426</v>
      </c>
      <c r="E920">
        <f>-656.877932949611 -39.5496662734145 -305.776976769126</f>
        <v>-1002.2045759921515</v>
      </c>
      <c r="F920">
        <f>-653.829133207783 -44.4523889446352 -394.686537505344</f>
        <v>-1092.9680596577623</v>
      </c>
      <c r="G920">
        <f>-646.59434539034 -49.3331080262344 -483.354856839354</f>
        <v>-1179.2823102559285</v>
      </c>
      <c r="H920">
        <f>-632.102864694422 -56.2227098024732 -606.899782316483</f>
        <v>-1295.2253568133783</v>
      </c>
      <c r="I920">
        <f>-599.120409672283 -56.2015174577034 -683.170131488451</f>
        <v>-1338.4920586184376</v>
      </c>
      <c r="J920">
        <f>-642.607808549551 -25.8647634211618 -554.5418959644</f>
        <v>-1223.0144679351129</v>
      </c>
      <c r="K920" t="s">
        <v>9212</v>
      </c>
      <c r="L920" t="s">
        <v>9213</v>
      </c>
      <c r="M920" t="s">
        <v>9214</v>
      </c>
      <c r="N920">
        <f>-634.351828001737 -80.5169721560983 -550.525608866393</f>
        <v>-1265.3944090242283</v>
      </c>
      <c r="O920">
        <f>-620.385229808172 -211.541323992082 -511.350564726626</f>
        <v>-1343.2771185268798</v>
      </c>
      <c r="P920">
        <f>-628.753001508601 -252.922184727433 -220.131023818746</f>
        <v>-1101.80621005478</v>
      </c>
      <c r="Q920">
        <f>-468.157532445826 -83.861589608201 -280.781436999045</f>
        <v>-832.80055905307199</v>
      </c>
      <c r="R920" t="s">
        <v>9215</v>
      </c>
      <c r="S920" t="s">
        <v>9216</v>
      </c>
      <c r="T920" t="s">
        <v>9217</v>
      </c>
      <c r="U920" t="s">
        <v>9218</v>
      </c>
      <c r="V920">
        <f>-616.011354968915 -119.511129235634 -90.8144179593711</f>
        <v>-826.33690216392017</v>
      </c>
      <c r="W920" t="s">
        <v>9219</v>
      </c>
      <c r="X920" t="s">
        <v>9220</v>
      </c>
      <c r="Y920" t="s">
        <v>9221</v>
      </c>
    </row>
    <row r="921" spans="1:25" x14ac:dyDescent="0.3">
      <c r="A921">
        <v>46000</v>
      </c>
      <c r="B921" t="s">
        <v>9222</v>
      </c>
      <c r="C921">
        <f>-643.102827823787 -27.7821230825095 -92.4719151162914</f>
        <v>-763.35686602258795</v>
      </c>
      <c r="D921">
        <f>-657.28962904691 -35.1892805575123 -207.189424702432</f>
        <v>-899.66833430685438</v>
      </c>
      <c r="E921">
        <f>-658.398724388279 -40.4414476066727 -305.667000202714</f>
        <v>-1004.5071721976657</v>
      </c>
      <c r="F921">
        <f>-655.541310392988 -45.0525983996538 -394.598495243319</f>
        <v>-1095.1924040359609</v>
      </c>
      <c r="G921">
        <f>-648.481230941623 -49.5519644576668 -483.301175698168</f>
        <v>-1181.3343710974577</v>
      </c>
      <c r="H921">
        <f>-634.214247992925 -55.8168226319344 -606.905312848656</f>
        <v>-1296.9363834735154</v>
      </c>
      <c r="I921">
        <f>-601.386484292809 -55.4126242077557 -683.241430412249</f>
        <v>-1340.0405389128136</v>
      </c>
      <c r="J921">
        <f>-644.56815073932 -25.7151649657606 -554.369651537357</f>
        <v>-1224.6529672424376</v>
      </c>
      <c r="K921" t="s">
        <v>9223</v>
      </c>
      <c r="L921" t="s">
        <v>9224</v>
      </c>
      <c r="M921" t="s">
        <v>9225</v>
      </c>
      <c r="N921">
        <f>-636.416762901948 -80.4046131635305 -550.656819314949</f>
        <v>-1267.4781953804275</v>
      </c>
      <c r="O921">
        <f>-622.548283683566 -211.706184355455 -512.409441694767</f>
        <v>-1346.6639097337879</v>
      </c>
      <c r="P921">
        <f>-623.545492273584 -262.995091817517 -222.651583269394</f>
        <v>-1109.192167360495</v>
      </c>
      <c r="Q921">
        <f>-469.035827898081 -86.0753229477564 -276.289630659444</f>
        <v>-831.40078150528143</v>
      </c>
      <c r="R921" t="s">
        <v>9226</v>
      </c>
      <c r="S921" t="s">
        <v>9227</v>
      </c>
      <c r="T921" t="s">
        <v>9228</v>
      </c>
      <c r="U921" t="s">
        <v>9229</v>
      </c>
      <c r="V921">
        <f>-617.094180566496 -120.843448623857 -90.7216362493057</f>
        <v>-828.65926543965861</v>
      </c>
      <c r="W921" t="s">
        <v>9230</v>
      </c>
      <c r="X921" t="s">
        <v>9231</v>
      </c>
      <c r="Y921" t="s">
        <v>9232</v>
      </c>
    </row>
    <row r="922" spans="1:25" x14ac:dyDescent="0.3">
      <c r="A922">
        <v>46050</v>
      </c>
      <c r="B922" t="s">
        <v>9233</v>
      </c>
      <c r="C922">
        <f>-643.401482190285 -28.6175728779642 -92.3733347665639</f>
        <v>-764.39238983481312</v>
      </c>
      <c r="D922">
        <f>-657.751102594878 -35.9699768932355 -207.073968130778</f>
        <v>-900.79504761889154</v>
      </c>
      <c r="E922">
        <f>-658.986373303765 -41.1213358021694 -305.555582576805</f>
        <v>-1005.6632916827394</v>
      </c>
      <c r="F922">
        <f>-656.236627408129 -45.6182168035957 -394.496246041002</f>
        <v>-1096.3510902527269</v>
      </c>
      <c r="G922">
        <f>-649.277217205858 -49.9809715442325 -483.213527766617</f>
        <v>-1182.4717165167076</v>
      </c>
      <c r="H922">
        <f>-635.142960211215 -56.0318210291846 -606.843787429739</f>
        <v>-1298.0185686701386</v>
      </c>
      <c r="I922">
        <f>-602.464323508341 -55.52837282771 -683.24321703935</f>
        <v>-1341.235913375401</v>
      </c>
      <c r="J922">
        <f>-645.371499327972 -26.0106236249526 -554.237600270068</f>
        <v>-1225.6197232229924</v>
      </c>
      <c r="K922" t="s">
        <v>9234</v>
      </c>
      <c r="L922" t="s">
        <v>9235</v>
      </c>
      <c r="M922" t="s">
        <v>9236</v>
      </c>
      <c r="N922">
        <f>-637.354052684821 -80.7277162722589 -550.642938099908</f>
        <v>-1268.7247070569879</v>
      </c>
      <c r="O922">
        <f>-623.740733413938 -212.158291843577 -512.72071527562</f>
        <v>-1348.619740533135</v>
      </c>
      <c r="P922">
        <f>-621.227620805707 -268.332926448079 -223.879426778171</f>
        <v>-1113.439974031957</v>
      </c>
      <c r="Q922">
        <f>-468.820344421679 -88.5142594709091 -273.760641728803</f>
        <v>-831.09524562139109</v>
      </c>
      <c r="R922" t="s">
        <v>9237</v>
      </c>
      <c r="S922" t="s">
        <v>9238</v>
      </c>
      <c r="T922" t="s">
        <v>9239</v>
      </c>
      <c r="U922" t="s">
        <v>9240</v>
      </c>
      <c r="V922">
        <f>-617.653189360779 -121.830689234734 -90.6665173452744</f>
        <v>-830.15039594078746</v>
      </c>
      <c r="W922" t="s">
        <v>9241</v>
      </c>
      <c r="X922" t="s">
        <v>9242</v>
      </c>
      <c r="Y922" t="s">
        <v>9243</v>
      </c>
    </row>
    <row r="923" spans="1:25" x14ac:dyDescent="0.3">
      <c r="A923">
        <v>46100</v>
      </c>
      <c r="B923" t="s">
        <v>9244</v>
      </c>
      <c r="C923">
        <f>-643.775898362264 -30.0349764369173 -92.1370631697944</f>
        <v>-765.94793796897568</v>
      </c>
      <c r="D923">
        <f>-658.466119364679 -37.2970144717119 -206.800449286253</f>
        <v>-902.56358312264388</v>
      </c>
      <c r="E923">
        <f>-659.945989776226 -42.2113410676764 -305.290543960611</f>
        <v>-1007.4478748045134</v>
      </c>
      <c r="F923">
        <f>-657.396407724793 -46.4251633499857 -394.251161001791</f>
        <v>-1098.0727320765698</v>
      </c>
      <c r="G923">
        <f>-650.613499649552 -50.4376892091389 -482.998682469511</f>
        <v>-1184.0498713282018</v>
      </c>
      <c r="H923">
        <f>-636.699669093668 -55.9279236180894 -606.680132766195</f>
        <v>-1299.3077254779523</v>
      </c>
      <c r="I923">
        <f>-604.387025285714 -55.277384637513 -683.233965058903</f>
        <v>-1342.89837498213</v>
      </c>
      <c r="J923">
        <f>-646.706637864478 -26.1263316484169 -553.906617140774</f>
        <v>-1226.739586653669</v>
      </c>
      <c r="K923" t="s">
        <v>9245</v>
      </c>
      <c r="L923" t="s">
        <v>9246</v>
      </c>
      <c r="M923" t="s">
        <v>9247</v>
      </c>
      <c r="N923">
        <f>-638.938300663341 -80.8975408779047 -550.601395384436</f>
        <v>-1270.4372369256816</v>
      </c>
      <c r="O923">
        <f>-625.841434454498 -212.614103639905 -513.461273567225</f>
        <v>-1351.9168116616279</v>
      </c>
      <c r="P923">
        <f>-618.345895449888 -276.465410652461 -226.306096628712</f>
        <v>-1121.1174027310608</v>
      </c>
      <c r="Q923">
        <f>-467.735105836211 -93.3533131232646 -269.169135746538</f>
        <v>-830.25755470601359</v>
      </c>
      <c r="R923" t="s">
        <v>9248</v>
      </c>
      <c r="S923" t="s">
        <v>9249</v>
      </c>
      <c r="T923" t="s">
        <v>9250</v>
      </c>
      <c r="U923" t="s">
        <v>9251</v>
      </c>
      <c r="V923">
        <f>-618.664347200894 -123.092716561807 -90.5368419086886</f>
        <v>-832.29390567138967</v>
      </c>
      <c r="W923" t="s">
        <v>9252</v>
      </c>
      <c r="X923" t="s">
        <v>9253</v>
      </c>
      <c r="Y923" t="s">
        <v>9254</v>
      </c>
    </row>
    <row r="924" spans="1:25" x14ac:dyDescent="0.3">
      <c r="A924">
        <v>46150</v>
      </c>
      <c r="B924" t="s">
        <v>9255</v>
      </c>
      <c r="C924">
        <f>-643.94013004405 -30.3044807175545 -92.0549187811057</f>
        <v>-766.29952954271016</v>
      </c>
      <c r="D924">
        <f>-658.769814091952 -37.5329186796494 -206.702461483039</f>
        <v>-903.00519425464029</v>
      </c>
      <c r="E924">
        <f>-660.355948267118 -42.3254965022968 -305.196946802902</f>
        <v>-1007.8783915723168</v>
      </c>
      <c r="F924">
        <f>-657.895474614286 -46.389611201824 -394.167024092737</f>
        <v>-1098.452109908847</v>
      </c>
      <c r="G924">
        <f>-651.194059664975 -50.2132044828809 -482.929139271398</f>
        <v>-1184.3364034192539</v>
      </c>
      <c r="H924">
        <f>-637.384513521637 -55.3982350707736 -606.635289289055</f>
        <v>-1299.4180378814656</v>
      </c>
      <c r="I924">
        <f>-605.276893133708 -54.6756093061631 -683.274742315996</f>
        <v>-1343.2272447558671</v>
      </c>
      <c r="J924">
        <f>-647.301521201682 -25.7202296813605 -553.775273664379</f>
        <v>-1226.7970245474216</v>
      </c>
      <c r="K924" t="s">
        <v>9256</v>
      </c>
      <c r="L924" t="s">
        <v>9257</v>
      </c>
      <c r="M924" t="s">
        <v>9258</v>
      </c>
      <c r="N924">
        <f>-639.621421021581 -80.512941144935 -550.621369480305</f>
        <v>-1270.755731646821</v>
      </c>
      <c r="O924">
        <f>-626.722512058027 -212.344605822649 -513.849915703615</f>
        <v>-1352.9170335842909</v>
      </c>
      <c r="P924">
        <f>-618.049566593721 -278.597322898016 -227.272523153918</f>
        <v>-1123.919412645655</v>
      </c>
      <c r="Q924">
        <f>-467.110230589118 -95.1393467394853 -267.414351856915</f>
        <v>-829.66392918551833</v>
      </c>
      <c r="R924" t="s">
        <v>9259</v>
      </c>
      <c r="S924" t="s">
        <v>9260</v>
      </c>
      <c r="T924" t="s">
        <v>9261</v>
      </c>
      <c r="U924" t="s">
        <v>9262</v>
      </c>
      <c r="V924">
        <f>-619.04842295826 -123.237886645759 -90.4982513622028</f>
        <v>-832.78456096622176</v>
      </c>
      <c r="W924" t="s">
        <v>9263</v>
      </c>
      <c r="X924" t="s">
        <v>9264</v>
      </c>
      <c r="Y924" t="s">
        <v>9265</v>
      </c>
    </row>
    <row r="925" spans="1:25" x14ac:dyDescent="0.3">
      <c r="A925">
        <v>46200</v>
      </c>
      <c r="B925" t="s">
        <v>9266</v>
      </c>
      <c r="C925">
        <f>-643.789286322529 -30.817812245162 -91.9540673116854</f>
        <v>-766.56116587937652</v>
      </c>
      <c r="D925">
        <f>-658.778464705396 -37.9532250701207 -206.58670062486</f>
        <v>-903.31839040037664</v>
      </c>
      <c r="E925">
        <f>-660.510932205412 -42.5191307574344 -305.089548037856</f>
        <v>-1008.1196110007024</v>
      </c>
      <c r="F925">
        <f>-658.1849097634 -46.315862816137 -394.074894596773</f>
        <v>-1098.5756671763102</v>
      </c>
      <c r="G925">
        <f>-651.617527880912 -49.8107405939656 -482.860755252072</f>
        <v>-1184.2890237269496</v>
      </c>
      <c r="H925">
        <f>-637.993990119583 -54.4717260419145 -606.608386947664</f>
        <v>-1299.0741031091616</v>
      </c>
      <c r="I925">
        <f>-606.347005658852 -53.6461564856336 -683.438177652562</f>
        <v>-1343.4313397970477</v>
      </c>
      <c r="J925">
        <f>-647.71344726844 -25.0008955525493 -553.595901828159</f>
        <v>-1226.3102446491482</v>
      </c>
      <c r="K925" t="s">
        <v>9267</v>
      </c>
      <c r="L925" t="s">
        <v>9268</v>
      </c>
      <c r="M925" t="s">
        <v>9269</v>
      </c>
      <c r="N925">
        <f>-640.264817092997 -79.8403161078354 -550.710364829321</f>
        <v>-1270.8154980301533</v>
      </c>
      <c r="O925">
        <f>-627.937585005729 -211.913883878379 -514.646361172814</f>
        <v>-1354.4978300569219</v>
      </c>
      <c r="P925">
        <f>-619.848227958986 -279.95009100947 -228.470181341183</f>
        <v>-1128.268500309639</v>
      </c>
      <c r="Q925">
        <f>-466.827675905215 -97.3896333728583 -264.626079175313</f>
        <v>-828.8433884533863</v>
      </c>
      <c r="R925" t="s">
        <v>9270</v>
      </c>
      <c r="S925" t="s">
        <v>9271</v>
      </c>
      <c r="T925" t="s">
        <v>9272</v>
      </c>
      <c r="U925" t="s">
        <v>9273</v>
      </c>
      <c r="V925">
        <f>-619.248020707131 -123.748076006756 -90.4249401827728</f>
        <v>-833.42103689665987</v>
      </c>
      <c r="W925" t="s">
        <v>9274</v>
      </c>
      <c r="X925" t="s">
        <v>9275</v>
      </c>
      <c r="Y925" t="s">
        <v>9276</v>
      </c>
    </row>
    <row r="926" spans="1:25" x14ac:dyDescent="0.3">
      <c r="A926">
        <v>46250</v>
      </c>
      <c r="B926" t="s">
        <v>9277</v>
      </c>
      <c r="C926">
        <f>-643.276336670001 -32.0926234807032 -91.866339582162</f>
        <v>-767.23529973286622</v>
      </c>
      <c r="D926">
        <f>-658.398010915124 -39.1711323821626 -206.48498036974</f>
        <v>-904.0541236670266</v>
      </c>
      <c r="E926">
        <f>-660.262257131793 -43.5773935978589 -304.99274071477</f>
        <v>-1008.8323914444219</v>
      </c>
      <c r="F926">
        <f>-658.060938973707 -47.1838276742974 -393.989371694771</f>
        <v>-1099.2341383427754</v>
      </c>
      <c r="G926">
        <f>-651.622147642467 -50.4458633946438 -482.793284265722</f>
        <v>-1184.8612953028328</v>
      </c>
      <c r="H926">
        <f>-638.18093057388 -54.7379565369281 -606.574218170328</f>
        <v>-1299.4931052811362</v>
      </c>
      <c r="I926">
        <f>-607.004992395005 -53.9295954095649 -683.596547760898</f>
        <v>-1344.531135565468</v>
      </c>
      <c r="J926">
        <f>-647.654370782506 -25.4021607923021 -553.442408214496</f>
        <v>-1226.4989397893041</v>
      </c>
      <c r="K926" t="s">
        <v>9278</v>
      </c>
      <c r="L926" t="s">
        <v>9279</v>
      </c>
      <c r="M926" t="s">
        <v>9280</v>
      </c>
      <c r="N926">
        <f>-640.537131279674 -80.2962404549569 -550.766204782579</f>
        <v>-1271.5995765172099</v>
      </c>
      <c r="O926">
        <f>-628.947750610039 -212.511766904327 -515.017137568203</f>
        <v>-1356.4766550825689</v>
      </c>
      <c r="P926">
        <f>-623.564078347827 -278.980552957928 -228.409215907273</f>
        <v>-1130.953847213028</v>
      </c>
      <c r="Q926">
        <f>-466.330394052749 -99.4204762532877 -261.372938368157</f>
        <v>-827.1238086741937</v>
      </c>
      <c r="R926" t="s">
        <v>9281</v>
      </c>
      <c r="S926" t="s">
        <v>9282</v>
      </c>
      <c r="T926" t="s">
        <v>9283</v>
      </c>
      <c r="U926" t="s">
        <v>9284</v>
      </c>
      <c r="V926">
        <f>-618.901854076355 -125.195845552857 -90.4460446145747</f>
        <v>-834.5437442437867</v>
      </c>
      <c r="W926" t="s">
        <v>9285</v>
      </c>
      <c r="X926" t="s">
        <v>9286</v>
      </c>
      <c r="Y926" t="s">
        <v>9287</v>
      </c>
    </row>
    <row r="927" spans="1:25" x14ac:dyDescent="0.3">
      <c r="A927">
        <v>46300</v>
      </c>
      <c r="B927" t="s">
        <v>9288</v>
      </c>
      <c r="C927">
        <f>-642.91049556895 -32.6959081279772 -91.8311011020597</f>
        <v>-767.43750479898688</v>
      </c>
      <c r="D927">
        <f>-658.172935087836 -39.7516926323997 -206.432487842355</f>
        <v>-904.35711556259071</v>
      </c>
      <c r="E927">
        <f>-660.140765724127 -44.1288718882477 -304.939537906602</f>
        <v>-1009.2091755189767</v>
      </c>
      <c r="F927">
        <f>-658.025787866907 -47.7056111865222 -393.939375009624</f>
        <v>-1099.6707740630532</v>
      </c>
      <c r="G927">
        <f>-651.665929128518 -50.9363455654982 -482.750212839485</f>
        <v>-1185.3524875335011</v>
      </c>
      <c r="H927">
        <f>-638.327089882775 -55.1843867326445 -606.543795278746</f>
        <v>-1300.0552718941653</v>
      </c>
      <c r="I927">
        <f>-607.384430498659 -54.4537892432402 -683.660906582195</f>
        <v>-1345.499126324094</v>
      </c>
      <c r="J927">
        <f>-647.670530025356 -25.8561066898487 -553.38482163368</f>
        <v>-1226.9114583488847</v>
      </c>
      <c r="K927" t="s">
        <v>9289</v>
      </c>
      <c r="L927" t="s">
        <v>9290</v>
      </c>
      <c r="M927" t="s">
        <v>9291</v>
      </c>
      <c r="N927">
        <f>-640.72319821777 -80.7739652447767 -550.751828442068</f>
        <v>-1272.2489919046147</v>
      </c>
      <c r="O927">
        <f>-629.429635436651 -213.030184137961 -515.041036775379</f>
        <v>-1357.500856349991</v>
      </c>
      <c r="P927">
        <f>-625.864076815764 -277.770201075088 -228.009324047144</f>
        <v>-1131.643601937996</v>
      </c>
      <c r="Q927">
        <f>-466.524059064367 -99.8344815832854 -259.640152252596</f>
        <v>-825.99869290024844</v>
      </c>
      <c r="R927" t="s">
        <v>9292</v>
      </c>
      <c r="S927" t="s">
        <v>9293</v>
      </c>
      <c r="T927" t="s">
        <v>9294</v>
      </c>
      <c r="U927" t="s">
        <v>9295</v>
      </c>
      <c r="V927">
        <f>-618.670942236227 -125.668347084656 -90.4453275178668</f>
        <v>-834.7846168387498</v>
      </c>
      <c r="W927" t="s">
        <v>9296</v>
      </c>
      <c r="X927" t="s">
        <v>9297</v>
      </c>
      <c r="Y927" t="s">
        <v>9298</v>
      </c>
    </row>
    <row r="928" spans="1:25" x14ac:dyDescent="0.3">
      <c r="A928">
        <v>46350</v>
      </c>
      <c r="B928" t="s">
        <v>9299</v>
      </c>
      <c r="C928">
        <f>-642.229042572721 -33.7536912721062 -91.87417478638</f>
        <v>-767.85690863120715</v>
      </c>
      <c r="D928">
        <f>-657.851931778497 -40.8453622796169 -206.424825198683</f>
        <v>-905.12211925679696</v>
      </c>
      <c r="E928">
        <f>-660.07749139304 -45.2015522624024 -304.927291764953</f>
        <v>-1010.2063354203954</v>
      </c>
      <c r="F928">
        <f>-658.173406029803 -48.7423040330561 -393.933345136823</f>
        <v>-1100.8490551996822</v>
      </c>
      <c r="G928">
        <f>-652.001220260333 -51.9231812046603 -482.759124404651</f>
        <v>-1186.6835258696442</v>
      </c>
      <c r="H928">
        <f>-638.899400165724 -56.089281546477 -606.580758069109</f>
        <v>-1301.5694397813099</v>
      </c>
      <c r="I928">
        <f>-608.289235705793 -55.4570152875242 -683.831323352024</f>
        <v>-1347.5775743453412</v>
      </c>
      <c r="J928">
        <f>-648.064591296105 -26.7862486344054 -553.376935729678</f>
        <v>-1228.2277756601884</v>
      </c>
      <c r="K928" t="s">
        <v>9300</v>
      </c>
      <c r="L928" t="s">
        <v>9301</v>
      </c>
      <c r="M928" t="s">
        <v>9302</v>
      </c>
      <c r="N928">
        <f>-641.265065300197 -81.7256844438066 -550.808993979159</f>
        <v>-1273.7997437231625</v>
      </c>
      <c r="O928">
        <f>-630.117604945112 -214.005044817638 -515.068095965051</f>
        <v>-1359.1907457278012</v>
      </c>
      <c r="P928">
        <f>-629.940840723654 -275.543212248277 -227.310820449239</f>
        <v>-1132.79487342117</v>
      </c>
      <c r="Q928">
        <f>-466.732777665589 -100.681819814058 -256.250481304006</f>
        <v>-823.66507878365292</v>
      </c>
      <c r="R928" t="s">
        <v>9303</v>
      </c>
      <c r="S928" t="s">
        <v>9304</v>
      </c>
      <c r="T928" t="s">
        <v>9305</v>
      </c>
      <c r="U928" t="s">
        <v>9306</v>
      </c>
      <c r="V928">
        <f>-617.987885186838 -126.507525117933 -90.4863408342186</f>
        <v>-834.98175113898958</v>
      </c>
      <c r="W928" t="s">
        <v>9307</v>
      </c>
      <c r="X928" t="s">
        <v>9308</v>
      </c>
      <c r="Y928" t="s">
        <v>9309</v>
      </c>
    </row>
    <row r="929" spans="1:25" x14ac:dyDescent="0.3">
      <c r="A929">
        <v>46400</v>
      </c>
      <c r="B929" t="s">
        <v>9310</v>
      </c>
      <c r="C929">
        <f>-642.304488479107 -34.2372743360447 -91.856189936064</f>
        <v>-768.39795275121571</v>
      </c>
      <c r="D929">
        <f>-658.060197580954 -41.323694672458 -206.389009726017</f>
        <v>-905.77290197942898</v>
      </c>
      <c r="E929">
        <f>-660.401757361517 -45.673317430859 -304.889049453213</f>
        <v>-1010.9641242455889</v>
      </c>
      <c r="F929">
        <f>-658.603462173881 -49.2057195814423 -393.897596963481</f>
        <v>-1101.7067787188043</v>
      </c>
      <c r="G929">
        <f>-652.537600593862 -52.3757639784851 -482.731166119055</f>
        <v>-1187.644530691402</v>
      </c>
      <c r="H929">
        <f>-639.585357235535 -56.5226303257375 -606.569180086222</f>
        <v>-1302.6771676474946</v>
      </c>
      <c r="I929">
        <f>-609.087457222326 -55.8961551484167 -683.864064936873</f>
        <v>-1348.8476773076156</v>
      </c>
      <c r="J929">
        <f>-648.697675734734 -27.2294166352187 -553.350959806934</f>
        <v>-1229.2780521768868</v>
      </c>
      <c r="K929" t="s">
        <v>9311</v>
      </c>
      <c r="L929" t="s">
        <v>9312</v>
      </c>
      <c r="M929" t="s">
        <v>9313</v>
      </c>
      <c r="N929">
        <f>-641.87231961913 -82.1662007226278 -550.797303105552</f>
        <v>-1274.8358234473098</v>
      </c>
      <c r="O929">
        <f>-630.561021358101 -214.421944210159 -515.040836106967</f>
        <v>-1360.0238016752271</v>
      </c>
      <c r="P929">
        <f>-631.86999216257 -274.264213683679 -226.928983793239</f>
        <v>-1133.063189639488</v>
      </c>
      <c r="Q929">
        <f>-467.887114347707 -100.042381731673 -255.340186972738</f>
        <v>-823.26968305211801</v>
      </c>
      <c r="R929" t="s">
        <v>9314</v>
      </c>
      <c r="S929" t="s">
        <v>9315</v>
      </c>
      <c r="T929" t="s">
        <v>9316</v>
      </c>
      <c r="U929" t="s">
        <v>9317</v>
      </c>
      <c r="V929">
        <f>-618.160937354306 -127.136942969573 -90.4557648968481</f>
        <v>-835.75364522072721</v>
      </c>
      <c r="W929" t="s">
        <v>9318</v>
      </c>
      <c r="X929" t="s">
        <v>9319</v>
      </c>
      <c r="Y929" t="s">
        <v>9320</v>
      </c>
    </row>
    <row r="930" spans="1:25" x14ac:dyDescent="0.3">
      <c r="A930">
        <v>46450</v>
      </c>
      <c r="B930" t="s">
        <v>9321</v>
      </c>
      <c r="C930">
        <f>-642.326922307871 -34.8926722763729 -91.8317089195169</f>
        <v>-769.05130350376078</v>
      </c>
      <c r="D930">
        <f>-658.180484886331 -42.0516026421155 -206.346510314865</f>
        <v>-906.57859784331151</v>
      </c>
      <c r="E930">
        <f>-660.638362384195 -46.4175442207704 -304.842942502312</f>
        <v>-1011.8988491072774</v>
      </c>
      <c r="F930">
        <f>-658.957311341495 -49.9456004962319 -393.853974905277</f>
        <v>-1102.7568867430041</v>
      </c>
      <c r="G930">
        <f>-653.020216064598 -53.0907015330288 -482.697093496895</f>
        <v>-1188.8080110945218</v>
      </c>
      <c r="H930">
        <f>-640.259085545112 -57.1806845619128 -606.556942372219</f>
        <v>-1303.9967124792438</v>
      </c>
      <c r="I930">
        <f>-609.866388565464 -56.5168046243375 -683.892927336825</f>
        <v>-1350.2761205266265</v>
      </c>
      <c r="J930">
        <f>-649.309731871434 -27.9145555031009 -553.313213839815</f>
        <v>-1230.53750121435</v>
      </c>
      <c r="K930" t="s">
        <v>9322</v>
      </c>
      <c r="L930" t="s">
        <v>9323</v>
      </c>
      <c r="M930" t="s">
        <v>9324</v>
      </c>
      <c r="N930">
        <f>-642.439698221508 -82.8472668819145 -550.791396452322</f>
        <v>-1276.0783615557446</v>
      </c>
      <c r="O930">
        <f>-630.974502328511 -215.089384993852 -515.105273477149</f>
        <v>-1361.1691607995122</v>
      </c>
      <c r="P930">
        <f>-633.170177402218 -273.759878266197 -226.757921509152</f>
        <v>-1133.6879771775671</v>
      </c>
      <c r="Q930">
        <f>-468.819828183203 -99.812280480133 -254.723444463754</f>
        <v>-823.35555312708993</v>
      </c>
      <c r="R930" t="s">
        <v>9325</v>
      </c>
      <c r="S930" t="s">
        <v>9326</v>
      </c>
      <c r="T930" t="s">
        <v>9327</v>
      </c>
      <c r="U930" t="s">
        <v>9328</v>
      </c>
      <c r="V930">
        <f>-618.015544341261 -127.731555491745 -90.4240314239696</f>
        <v>-836.17113125697563</v>
      </c>
      <c r="W930" t="s">
        <v>9329</v>
      </c>
      <c r="X930" t="s">
        <v>9330</v>
      </c>
      <c r="Y930" t="s">
        <v>9331</v>
      </c>
    </row>
    <row r="931" spans="1:25" x14ac:dyDescent="0.3">
      <c r="A931">
        <v>46500</v>
      </c>
      <c r="B931" t="s">
        <v>9332</v>
      </c>
      <c r="C931">
        <f>-642.56970132417 -35.8723651238722 -91.7925891907709</f>
        <v>-770.23465563881302</v>
      </c>
      <c r="D931">
        <f>-658.764852051757 -43.1897699363881 -206.249555619614</f>
        <v>-908.20417760775899</v>
      </c>
      <c r="E931">
        <f>-661.619761794963 -47.5619092451782 -304.735017744682</f>
        <v>-1013.9166887848232</v>
      </c>
      <c r="F931">
        <f>-660.335912580826 -51.0468553184903 -393.754360686564</f>
        <v>-1105.1371285858802</v>
      </c>
      <c r="G931">
        <f>-654.832335321783 -54.1001769171282 -482.628556839567</f>
        <v>-1191.5610690784783</v>
      </c>
      <c r="H931">
        <f>-642.713400240867 -58.0118620855515 -606.558533254924</f>
        <v>-1307.2837955813425</v>
      </c>
      <c r="I931">
        <f>-612.493472692132 -57.2338119429814 -683.961278177945</f>
        <v>-1353.6885628130585</v>
      </c>
      <c r="J931">
        <f>-651.544604304055 -28.829658988275 -553.232086783466</f>
        <v>-1233.6063500757959</v>
      </c>
      <c r="K931" t="s">
        <v>9333</v>
      </c>
      <c r="L931" t="s">
        <v>9334</v>
      </c>
      <c r="M931" t="s">
        <v>9335</v>
      </c>
      <c r="N931">
        <f>-644.548043761551 -83.7512312610063 -550.814295771701</f>
        <v>-1279.1135707942583</v>
      </c>
      <c r="O931">
        <f>-632.605960873921 -216.050635409367 -515.441926503294</f>
        <v>-1364.0985227865822</v>
      </c>
      <c r="P931">
        <f>-634.912358393672 -274.278452025655 -227.005722303877</f>
        <v>-1136.196532723204</v>
      </c>
      <c r="Q931">
        <f>-471.645659048087 -99.1629539717114 -254.014009436569</f>
        <v>-824.82262245636741</v>
      </c>
      <c r="R931" t="s">
        <v>9336</v>
      </c>
      <c r="S931" t="s">
        <v>9337</v>
      </c>
      <c r="T931" t="s">
        <v>9338</v>
      </c>
      <c r="U931" t="s">
        <v>9339</v>
      </c>
      <c r="V931">
        <f>-617.985701907889 -128.682012042702 -90.4052314327582</f>
        <v>-837.07294538334929</v>
      </c>
      <c r="W931" t="s">
        <v>9340</v>
      </c>
      <c r="X931" t="s">
        <v>9341</v>
      </c>
      <c r="Y931" t="s">
        <v>9342</v>
      </c>
    </row>
    <row r="932" spans="1:25" x14ac:dyDescent="0.3">
      <c r="A932">
        <v>46550</v>
      </c>
      <c r="B932" t="s">
        <v>9343</v>
      </c>
      <c r="C932">
        <f>-642.824288431939 -36.1973931158791 -91.7867549397918</f>
        <v>-770.80843648760981</v>
      </c>
      <c r="D932">
        <f>-659.203403225815 -43.6291572822299 -206.210187393221</f>
        <v>-909.0427479012659</v>
      </c>
      <c r="E932">
        <f>-662.277068740441 -48.0193696769386 -304.688297532281</f>
        <v>-1014.9847359496606</v>
      </c>
      <c r="F932">
        <f>-661.213624380179 -51.4903707101355 -393.711153534426</f>
        <v>-1106.4151486247406</v>
      </c>
      <c r="G932">
        <f>-655.951779183733 -54.4987460483999 -482.601458989705</f>
        <v>-1193.051984221838</v>
      </c>
      <c r="H932">
        <f>-644.19173244905 -58.3154106463846 -606.569109632494</f>
        <v>-1309.0762527279287</v>
      </c>
      <c r="I932">
        <f>-614.064338002513 -57.4579859356088 -684.007091094373</f>
        <v>-1355.5294150324949</v>
      </c>
      <c r="J932">
        <f>-652.922567470266 -29.1813650260035 -553.199665463981</f>
        <v>-1235.3035979602505</v>
      </c>
      <c r="K932" t="s">
        <v>9344</v>
      </c>
      <c r="L932" t="s">
        <v>9345</v>
      </c>
      <c r="M932" t="s">
        <v>9346</v>
      </c>
      <c r="N932">
        <f>-645.810796628067 -84.0903297308284 -550.834469522084</f>
        <v>-1280.7355958809794</v>
      </c>
      <c r="O932">
        <f>-633.519683315853 -216.404443154996 -515.638515177343</f>
        <v>-1365.5626416481919</v>
      </c>
      <c r="P932">
        <f>-635.714730905134 -274.583504138244 -227.191752864828</f>
        <v>-1137.4899879082061</v>
      </c>
      <c r="Q932">
        <f>-472.989732236829 -98.9225671838578 -253.924406638587</f>
        <v>-825.83670605927387</v>
      </c>
      <c r="R932" t="s">
        <v>9347</v>
      </c>
      <c r="S932" t="s">
        <v>9348</v>
      </c>
      <c r="T932" t="s">
        <v>9349</v>
      </c>
      <c r="U932" t="s">
        <v>9350</v>
      </c>
      <c r="V932">
        <f>-618.023290868599 -128.916661011239 -90.3992893125994</f>
        <v>-837.33924119243738</v>
      </c>
      <c r="W932" t="s">
        <v>9351</v>
      </c>
      <c r="X932" t="s">
        <v>9352</v>
      </c>
      <c r="Y932" t="s">
        <v>9353</v>
      </c>
    </row>
    <row r="933" spans="1:25" x14ac:dyDescent="0.3">
      <c r="A933">
        <v>46600</v>
      </c>
      <c r="B933" t="s">
        <v>9354</v>
      </c>
      <c r="C933">
        <f>-643.229113998293 -36.6178722600398 -91.9246621766617</f>
        <v>-771.77164843499452</v>
      </c>
      <c r="D933">
        <f>-660.018065221246 -44.2701460926003 -206.274081276396</f>
        <v>-910.56229259024235</v>
      </c>
      <c r="E933">
        <f>-663.546941763683 -48.7674784130475 -304.732081824635</f>
        <v>-1017.0465020013654</v>
      </c>
      <c r="F933">
        <f>-662.933957714957 -52.3038527931626 -393.756661979732</f>
        <v>-1108.9944724878517</v>
      </c>
      <c r="G933">
        <f>-658.16037760685 -55.3441805960997 -482.67347797271</f>
        <v>-1196.1780361756596</v>
      </c>
      <c r="H933">
        <f>-647.120251878412 -59.1706195882552 -606.706881320555</f>
        <v>-1312.9977527872222</v>
      </c>
      <c r="I933">
        <f>-617.254845678779 -58.1954047286058 -684.244759208067</f>
        <v>-1359.6950096154519</v>
      </c>
      <c r="J933">
        <f>-655.615635492919 -30.0425110582321 -553.296280463457</f>
        <v>-1238.954427014608</v>
      </c>
      <c r="K933" t="s">
        <v>9355</v>
      </c>
      <c r="L933" t="s">
        <v>9356</v>
      </c>
      <c r="M933" t="s">
        <v>9357</v>
      </c>
      <c r="N933">
        <f>-648.341284210176 -84.931060741158 -550.955591034842</f>
        <v>-1284.2279359861759</v>
      </c>
      <c r="O933">
        <f>-635.509193637783 -217.220938909132 -515.855005912698</f>
        <v>-1368.5851384596131</v>
      </c>
      <c r="P933">
        <f>-636.903409522272 -274.979912605203 -227.318802592145</f>
        <v>-1139.2021247196201</v>
      </c>
      <c r="Q933">
        <f>-475.209973136146 -98.4169409595193 -254.367076446117</f>
        <v>-827.9939905417823</v>
      </c>
      <c r="R933" t="s">
        <v>9358</v>
      </c>
      <c r="S933" t="s">
        <v>9359</v>
      </c>
      <c r="T933" t="s">
        <v>9360</v>
      </c>
      <c r="U933" t="s">
        <v>9361</v>
      </c>
      <c r="V933">
        <f>-618.061828082169 -129.486872246956 -90.4675334344445</f>
        <v>-838.01623376356952</v>
      </c>
      <c r="W933" t="s">
        <v>9362</v>
      </c>
      <c r="X933" t="s">
        <v>9363</v>
      </c>
      <c r="Y933" t="s">
        <v>9364</v>
      </c>
    </row>
    <row r="934" spans="1:25" x14ac:dyDescent="0.3">
      <c r="A934">
        <v>46650</v>
      </c>
      <c r="B934" t="s">
        <v>9365</v>
      </c>
      <c r="C934">
        <f>-643.43741758563 -36.9849943103357 -91.9763539978655</f>
        <v>-772.39876589383118</v>
      </c>
      <c r="D934">
        <f>-660.405526356691 -44.6872882071896 -206.295932636421</f>
        <v>-911.38874720030162</v>
      </c>
      <c r="E934">
        <f>-664.141057741437 -49.2391817510652 -304.743914018306</f>
        <v>-1018.1241535108081</v>
      </c>
      <c r="F934">
        <f>-663.735997913443 -52.828888418534 -393.767379877466</f>
        <v>-1110.3322662094431</v>
      </c>
      <c r="G934">
        <f>-659.191584049234 -55.926251832193 -482.694344853987</f>
        <v>-1197.8121807354141</v>
      </c>
      <c r="H934">
        <f>-648.493426713764 -59.8355700343093 -606.755072945605</f>
        <v>-1315.0840696936784</v>
      </c>
      <c r="I934">
        <f>-618.793004489531 -58.8352334507513 -684.356098428507</f>
        <v>-1361.9843363687892</v>
      </c>
      <c r="J934">
        <f>-656.853032182043 -30.6731610735112 -553.34174554399</f>
        <v>-1240.8679387995442</v>
      </c>
      <c r="K934" t="s">
        <v>9366</v>
      </c>
      <c r="L934" t="s">
        <v>9367</v>
      </c>
      <c r="M934" t="s">
        <v>9368</v>
      </c>
      <c r="N934">
        <f>-649.549393254506 -85.5572625364873 -550.982516922577</f>
        <v>-1286.0891727135704</v>
      </c>
      <c r="O934">
        <f>-636.560088760137 -217.815499443778 -515.826984917037</f>
        <v>-1370.2025731209519</v>
      </c>
      <c r="P934">
        <f>-637.321859365216 -275.309014520298 -227.235300595994</f>
        <v>-1139.8661744815081</v>
      </c>
      <c r="Q934">
        <f>-475.911613216743 -98.5566401068997 -254.734527267894</f>
        <v>-829.20278059153668</v>
      </c>
      <c r="R934" t="s">
        <v>9369</v>
      </c>
      <c r="S934" t="s">
        <v>9370</v>
      </c>
      <c r="T934" t="s">
        <v>9371</v>
      </c>
      <c r="U934" t="s">
        <v>9372</v>
      </c>
      <c r="V934">
        <f>-618.233953224369 -129.988724913811 -90.4890986820194</f>
        <v>-838.71177682019936</v>
      </c>
      <c r="W934" t="s">
        <v>9373</v>
      </c>
      <c r="X934" t="s">
        <v>9374</v>
      </c>
      <c r="Y934" t="s">
        <v>9375</v>
      </c>
    </row>
    <row r="935" spans="1:25" x14ac:dyDescent="0.3">
      <c r="A935">
        <v>46700</v>
      </c>
      <c r="B935" t="s">
        <v>9376</v>
      </c>
      <c r="C935">
        <f>-644.078141704903 -37.4513084220034 -91.9848564330318</f>
        <v>-773.51430655993829</v>
      </c>
      <c r="D935">
        <f>-661.30055106013 -45.2669397833965 -206.258815998857</f>
        <v>-912.82630684238359</v>
      </c>
      <c r="E935">
        <f>-665.396784053373 -49.920989903884 -304.687545545331</f>
        <v>-1020.005319502588</v>
      </c>
      <c r="F935">
        <f>-665.374632678368 -53.60261309931 -393.708216770147</f>
        <v>-1112.685462547825</v>
      </c>
      <c r="G935">
        <f>-661.269459102535 -56.7898862253528 -482.653315605843</f>
        <v>-1200.7126609337308</v>
      </c>
      <c r="H935">
        <f>-651.243783478786 -60.8205157834648 -606.766390888683</f>
        <v>-1318.8306901509336</v>
      </c>
      <c r="I935">
        <f>-621.866114070938 -59.8572195655281 -684.490488893815</f>
        <v>-1366.213822530281</v>
      </c>
      <c r="J935">
        <f>-659.332850432592 -31.6085391978968 -553.338435328753</f>
        <v>-1244.2798249592418</v>
      </c>
      <c r="K935" t="s">
        <v>9377</v>
      </c>
      <c r="L935" t="s">
        <v>9378</v>
      </c>
      <c r="M935" t="s">
        <v>9379</v>
      </c>
      <c r="N935">
        <f>-651.978413192488 -86.4849969775728 -550.962230245874</f>
        <v>-1289.4256404159348</v>
      </c>
      <c r="O935">
        <f>-638.695633470925 -218.711059562019 -515.761046380904</f>
        <v>-1373.167739413848</v>
      </c>
      <c r="P935">
        <f>-638.50867819299 -275.575948605621 -227.043873072818</f>
        <v>-1141.1284998714291</v>
      </c>
      <c r="Q935">
        <f>-477.428888948466 -98.6437564926405 -255.313992128126</f>
        <v>-831.38663756923245</v>
      </c>
      <c r="R935" t="s">
        <v>9380</v>
      </c>
      <c r="S935" t="s">
        <v>9381</v>
      </c>
      <c r="T935" t="s">
        <v>9382</v>
      </c>
      <c r="U935" t="s">
        <v>9383</v>
      </c>
      <c r="V935">
        <f>-618.919816386898 -130.298178657669 -90.4531188615052</f>
        <v>-839.67111390607226</v>
      </c>
      <c r="W935" t="s">
        <v>9384</v>
      </c>
      <c r="X935" t="s">
        <v>9385</v>
      </c>
      <c r="Y935" t="s">
        <v>9386</v>
      </c>
    </row>
    <row r="936" spans="1:25" x14ac:dyDescent="0.3">
      <c r="A936">
        <v>46750</v>
      </c>
      <c r="B936" t="s">
        <v>9387</v>
      </c>
      <c r="C936">
        <f>-644.991352807221 -37.7770499007991 -92.0491539425484</f>
        <v>-774.81755665056846</v>
      </c>
      <c r="D936">
        <f>-662.415940191861 -45.684372833168 -206.286136480654</f>
        <v>-914.386449505683</v>
      </c>
      <c r="E936">
        <f>-666.832471992784 -50.3984402136184 -304.698176860618</f>
        <v>-1021.9290890670204</v>
      </c>
      <c r="F936">
        <f>-667.158905463144 -54.1238925026796 -393.716471824886</f>
        <v>-1114.9992697907096</v>
      </c>
      <c r="G936">
        <f>-663.459905999244 -57.3417641065962 -482.678275873815</f>
        <v>-1203.4799459796552</v>
      </c>
      <c r="H936">
        <f>-654.061944301873 -61.3997767813919 -606.839491684391</f>
        <v>-1322.3012127676559</v>
      </c>
      <c r="I936">
        <f>-625.004625430853 -60.4976434259445 -684.684813277231</f>
        <v>-1370.1870821340285</v>
      </c>
      <c r="J936">
        <f>-661.910053807925 -32.179952563793 -553.379949751856</f>
        <v>-1247.4699561235739</v>
      </c>
      <c r="K936" t="s">
        <v>9388</v>
      </c>
      <c r="L936" t="s">
        <v>9389</v>
      </c>
      <c r="M936" t="s">
        <v>9390</v>
      </c>
      <c r="N936">
        <f>-654.484966679458 -87.0478907666723 -551.024626325603</f>
        <v>-1292.5574837717331</v>
      </c>
      <c r="O936">
        <f>-640.935749595396 -219.238241358796 -515.80112406296</f>
        <v>-1375.9751150171519</v>
      </c>
      <c r="P936">
        <f>-640.357589456979 -275.170974674492 -226.90252739451</f>
        <v>-1142.4310915259812</v>
      </c>
      <c r="Q936">
        <f>-479.18079999805 -98.3230016345597 -255.145389513213</f>
        <v>-832.64919114582267</v>
      </c>
      <c r="R936" t="s">
        <v>9391</v>
      </c>
      <c r="S936" t="s">
        <v>9392</v>
      </c>
      <c r="T936" t="s">
        <v>9393</v>
      </c>
      <c r="U936" t="s">
        <v>9394</v>
      </c>
      <c r="V936">
        <f>-619.784708614191 -130.516615244725 -90.513660345018</f>
        <v>-840.81498420393405</v>
      </c>
      <c r="W936" t="s">
        <v>9395</v>
      </c>
      <c r="X936" t="s">
        <v>9396</v>
      </c>
      <c r="Y936" t="s">
        <v>9397</v>
      </c>
    </row>
    <row r="937" spans="1:25" x14ac:dyDescent="0.3">
      <c r="A937">
        <v>46800</v>
      </c>
      <c r="B937" t="s">
        <v>9398</v>
      </c>
      <c r="C937">
        <f>-645.452795993255 -37.7513746373834 -92.0646907776978</f>
        <v>-775.26886140833619</v>
      </c>
      <c r="D937">
        <f>-662.992112483065 -45.744453072901 -206.27809900961</f>
        <v>-915.01466456557591</v>
      </c>
      <c r="E937">
        <f>-667.56492486261 -50.4977979602058 -304.681153903713</f>
        <v>-1022.7438767265289</v>
      </c>
      <c r="F937">
        <f>-668.05507970643 -54.2439452642914 -393.697865710307</f>
        <v>-1115.9968906810284</v>
      </c>
      <c r="G937">
        <f>-664.541992569848 -57.4672753644863 -482.666968919734</f>
        <v>-1204.6762368540685</v>
      </c>
      <c r="H937">
        <f>-655.426103086703 -61.5157112648117 -606.849596232322</f>
        <v>-1323.7914105838368</v>
      </c>
      <c r="I937">
        <f>-626.525351797521 -60.6135868986469 -684.753103130009</f>
        <v>-1371.8920418261769</v>
      </c>
      <c r="J937">
        <f>-663.173184937783 -32.3030653646258 -553.371538790529</f>
        <v>-1248.847789092938</v>
      </c>
      <c r="K937" t="s">
        <v>9399</v>
      </c>
      <c r="L937" t="s">
        <v>9400</v>
      </c>
      <c r="M937" t="s">
        <v>9401</v>
      </c>
      <c r="N937">
        <f>-655.702080494668 -87.165335700123 -551.034456144955</f>
        <v>-1293.9018723397462</v>
      </c>
      <c r="O937">
        <f>-642.019288366678 -219.33608098223 -515.78860917366</f>
        <v>-1377.143978522568</v>
      </c>
      <c r="P937">
        <f>-641.206167932146 -275.007514798685 -226.840089845976</f>
        <v>-1143.053772576807</v>
      </c>
      <c r="Q937">
        <f>-480.082908141501 -98.0684467995693 -254.817439132446</f>
        <v>-832.96879407351628</v>
      </c>
      <c r="R937" t="s">
        <v>9402</v>
      </c>
      <c r="S937" t="s">
        <v>9403</v>
      </c>
      <c r="T937" t="s">
        <v>9404</v>
      </c>
      <c r="U937" t="s">
        <v>9405</v>
      </c>
      <c r="V937">
        <f>-620.169867073497 -130.433858120716 -90.5092476541076</f>
        <v>-841.11297284832062</v>
      </c>
      <c r="W937" t="s">
        <v>9406</v>
      </c>
      <c r="X937" t="s">
        <v>9407</v>
      </c>
      <c r="Y937" t="s">
        <v>9408</v>
      </c>
    </row>
    <row r="938" spans="1:25" x14ac:dyDescent="0.3">
      <c r="A938">
        <v>46850</v>
      </c>
      <c r="B938" t="s">
        <v>9409</v>
      </c>
      <c r="C938">
        <f>-646.25447857467 -37.9313760785938 -92.0641119600814</f>
        <v>-776.24996661334512</v>
      </c>
      <c r="D938">
        <f>-664.127723221165 -46.1510444887624 -206.209676262572</f>
        <v>-916.48844397249934</v>
      </c>
      <c r="E938">
        <f>-669.046918956277 -51.0041135190027 -304.591106669782</f>
        <v>-1024.6421391450617</v>
      </c>
      <c r="F938">
        <f>-669.872033783584 -54.8021417870134 -393.603033752865</f>
        <v>-1118.2772093234623</v>
      </c>
      <c r="G938">
        <f>-666.714809081132 -58.0368452350419 -482.585204822512</f>
        <v>-1207.3368591386859</v>
      </c>
      <c r="H938">
        <f>-658.116446268984 -62.0583942171565 -606.805508541706</f>
        <v>-1326.9803490278464</v>
      </c>
      <c r="I938">
        <f>-629.476485677422 -61.1139651957894 -684.80478950088</f>
        <v>-1375.3952403740914</v>
      </c>
      <c r="J938">
        <f>-665.719398886846 -32.8683851687053 -553.294302920231</f>
        <v>-1251.8820869757824</v>
      </c>
      <c r="K938" t="s">
        <v>9410</v>
      </c>
      <c r="L938" t="s">
        <v>9411</v>
      </c>
      <c r="M938" t="s">
        <v>9412</v>
      </c>
      <c r="N938">
        <f>-658.080965438737 -87.7091139670383 -550.990228534085</f>
        <v>-1296.7803079398604</v>
      </c>
      <c r="O938">
        <f>-643.900813309452 -219.831904828533 -515.797752857951</f>
        <v>-1379.530470995936</v>
      </c>
      <c r="P938">
        <f>-642.444046659255 -275.696268503395 -226.889129071151</f>
        <v>-1145.0294442338011</v>
      </c>
      <c r="Q938">
        <f>-481.829643040884 -98.1886863937336 -254.182516014511</f>
        <v>-834.20084544912856</v>
      </c>
      <c r="R938" t="s">
        <v>9413</v>
      </c>
      <c r="S938" t="s">
        <v>9414</v>
      </c>
      <c r="T938" t="s">
        <v>9415</v>
      </c>
      <c r="U938" t="s">
        <v>9416</v>
      </c>
      <c r="V938">
        <f>-620.772023138113 -130.648008911614 -90.4423536994755</f>
        <v>-841.86238574920253</v>
      </c>
      <c r="W938" t="s">
        <v>9417</v>
      </c>
      <c r="X938" t="s">
        <v>9418</v>
      </c>
      <c r="Y938" t="s">
        <v>9419</v>
      </c>
    </row>
    <row r="939" spans="1:25" x14ac:dyDescent="0.3">
      <c r="A939">
        <v>46900</v>
      </c>
      <c r="B939" t="s">
        <v>9420</v>
      </c>
      <c r="C939">
        <f>-646.513600370233 -38.1341052539888 -92.07692729993</f>
        <v>-776.72463292415182</v>
      </c>
      <c r="D939">
        <f>-664.530745664209 -46.4767545560921 -206.19094124896</f>
        <v>-917.19844146926118</v>
      </c>
      <c r="E939">
        <f>-669.630495056862 -51.3903831221303 -304.560185750074</f>
        <v>-1025.5810639290662</v>
      </c>
      <c r="F939">
        <f>-670.64071914615 -55.225686418552 -393.56876666912</f>
        <v>-1119.435172233822</v>
      </c>
      <c r="G939">
        <f>-667.689620472 -58.4791268853787 -482.557084243239</f>
        <v>-1208.7258316006178</v>
      </c>
      <c r="H939">
        <f>-659.401145554932 -62.5064585749881 -606.798430006013</f>
        <v>-1328.7060341359329</v>
      </c>
      <c r="I939">
        <f>-630.883965747076 -61.534617219708 -684.842351453514</f>
        <v>-1377.2609344202979</v>
      </c>
      <c r="J939">
        <f>-666.920363544894 -33.3209039104127 -553.272936176462</f>
        <v>-1253.5142036317689</v>
      </c>
      <c r="K939" t="s">
        <v>9421</v>
      </c>
      <c r="L939" t="s">
        <v>9422</v>
      </c>
      <c r="M939" t="s">
        <v>9423</v>
      </c>
      <c r="N939">
        <f>-659.176599309047 -88.1474606469615 -550.978997338453</f>
        <v>-1298.3030572944615</v>
      </c>
      <c r="O939">
        <f>-644.67945609888 -220.258209784924 -515.849819074251</f>
        <v>-1380.7874849580548</v>
      </c>
      <c r="P939">
        <f>-642.713698363681 -276.161358317139 -226.951558272618</f>
        <v>-1145.8266149534381</v>
      </c>
      <c r="Q939">
        <f>-482.467606520887 -98.2816102410238 -253.986290984228</f>
        <v>-834.73550774613886</v>
      </c>
      <c r="R939" t="s">
        <v>9424</v>
      </c>
      <c r="S939" t="s">
        <v>9425</v>
      </c>
      <c r="T939" t="s">
        <v>9426</v>
      </c>
      <c r="U939" t="s">
        <v>9427</v>
      </c>
      <c r="V939">
        <f>-620.893798766769 -130.804872535503 -90.4062285938962</f>
        <v>-842.10489989616826</v>
      </c>
      <c r="W939" t="s">
        <v>9428</v>
      </c>
      <c r="X939" t="s">
        <v>9429</v>
      </c>
      <c r="Y939" t="s">
        <v>9430</v>
      </c>
    </row>
    <row r="940" spans="1:25" x14ac:dyDescent="0.3">
      <c r="A940">
        <v>46950</v>
      </c>
      <c r="B940" t="s">
        <v>9431</v>
      </c>
      <c r="C940">
        <f>-646.733958557054 -38.5303602412773 -92.0988963130687</f>
        <v>-777.36321511140011</v>
      </c>
      <c r="D940">
        <f>-664.885143321487 -46.9964024271728 -206.182610783674</f>
        <v>-918.06415653233387</v>
      </c>
      <c r="E940">
        <f>-670.170319517395 -51.9667713711317 -304.539103608335</f>
        <v>-1026.6761944968616</v>
      </c>
      <c r="F940">
        <f>-671.374843391965 -55.83448644495 -393.543891584042</f>
        <v>-1120.7532214209571</v>
      </c>
      <c r="G940">
        <f>-668.644597927718 -59.1004115513749 -482.538848960878</f>
        <v>-1210.283858439971</v>
      </c>
      <c r="H940">
        <f>-660.691274726865 -63.1245088061335 -606.802162470088</f>
        <v>-1330.6179460030864</v>
      </c>
      <c r="I940">
        <f>-632.303945105092 -62.1252233032874 -684.893043964448</f>
        <v>-1379.3222123728274</v>
      </c>
      <c r="J940">
        <f>-668.113650633137 -33.9473196297383 -553.258588801377</f>
        <v>-1255.3195590642522</v>
      </c>
      <c r="K940" t="s">
        <v>9432</v>
      </c>
      <c r="L940" t="s">
        <v>9433</v>
      </c>
      <c r="M940" t="s">
        <v>9434</v>
      </c>
      <c r="N940">
        <f>-660.268613906795 -88.7600936546417 -550.981354163383</f>
        <v>-1300.0100617248197</v>
      </c>
      <c r="O940">
        <f>-645.466430935561 -220.843000810452 -515.898091696973</f>
        <v>-1382.2075234429858</v>
      </c>
      <c r="P940">
        <f>-642.817281101335 -276.736608244536 -227.003538975451</f>
        <v>-1146.557428321322</v>
      </c>
      <c r="Q940">
        <f>-482.971685863256 -98.4706775799239 -253.863750919718</f>
        <v>-835.30611436289792</v>
      </c>
      <c r="R940" t="s">
        <v>9435</v>
      </c>
      <c r="S940" t="s">
        <v>9436</v>
      </c>
      <c r="T940" t="s">
        <v>9437</v>
      </c>
      <c r="U940" t="s">
        <v>9438</v>
      </c>
      <c r="V940">
        <f>-620.973898849867 -131.2717244592 -90.3947818888441</f>
        <v>-842.64040519791115</v>
      </c>
      <c r="W940" t="s">
        <v>9439</v>
      </c>
      <c r="X940" t="s">
        <v>9440</v>
      </c>
      <c r="Y940" t="s">
        <v>9441</v>
      </c>
    </row>
    <row r="941" spans="1:25" x14ac:dyDescent="0.3">
      <c r="A941">
        <v>47000</v>
      </c>
      <c r="B941" t="s">
        <v>9442</v>
      </c>
      <c r="C941">
        <f>-647.174591388319 -38.8498451376313 -92.1463819785553</f>
        <v>-778.17081850450552</v>
      </c>
      <c r="D941">
        <f>-665.599181402705 -47.5377141449762 -206.169493046763</f>
        <v>-919.30638859444423</v>
      </c>
      <c r="E941">
        <f>-671.229744753086 -52.6343116695052 -304.500572452325</f>
        <v>-1028.3646288749162</v>
      </c>
      <c r="F941">
        <f>-672.789214084334 -56.591531198666 -393.495782179957</f>
        <v>-1122.876527462957</v>
      </c>
      <c r="G941">
        <f>-670.455608942284 -59.921199332299 -482.499760084315</f>
        <v>-1212.8765683588981</v>
      </c>
      <c r="H941">
        <f>-663.099264287564 -64.0068116564091 -606.797770565572</f>
        <v>-1333.903846509545</v>
      </c>
      <c r="I941">
        <f>-634.965584383924 -62.9893848338891 -684.980175967523</f>
        <v>-1382.9351451853361</v>
      </c>
      <c r="J941">
        <f>-670.323592138916 -34.8118447539312 -553.236748405212</f>
        <v>-1258.3721852980591</v>
      </c>
      <c r="K941" t="s">
        <v>9443</v>
      </c>
      <c r="L941" t="s">
        <v>9444</v>
      </c>
      <c r="M941" t="s">
        <v>9445</v>
      </c>
      <c r="N941">
        <f>-662.349268484581 -89.6060647066777 -550.963873413094</f>
        <v>-1302.9192066043527</v>
      </c>
      <c r="O941">
        <f>-647.095689804608 -221.6445640531 -515.87914075075</f>
        <v>-1384.6193946084582</v>
      </c>
      <c r="P941">
        <f>-642.809826959845 -276.812888864685 -226.864727821883</f>
        <v>-1146.4874436464131</v>
      </c>
      <c r="Q941">
        <f>-483.40852125657 -98.1031483098377 -253.415529756529</f>
        <v>-834.92719932293676</v>
      </c>
      <c r="R941" t="s">
        <v>9446</v>
      </c>
      <c r="S941" t="s">
        <v>9447</v>
      </c>
      <c r="T941" t="s">
        <v>9448</v>
      </c>
      <c r="U941" t="s">
        <v>9449</v>
      </c>
      <c r="V941">
        <f>-621.212074012555 -131.43343349647 -90.3971735227544</f>
        <v>-843.04268103177947</v>
      </c>
      <c r="W941" t="s">
        <v>9450</v>
      </c>
      <c r="X941" t="s">
        <v>9451</v>
      </c>
      <c r="Y941" t="s">
        <v>9452</v>
      </c>
    </row>
    <row r="942" spans="1:25" x14ac:dyDescent="0.3">
      <c r="A942">
        <v>47050</v>
      </c>
      <c r="B942" t="s">
        <v>9453</v>
      </c>
      <c r="C942">
        <f>-647.426105207201 -38.8881569500809 -92.1773445121481</f>
        <v>-778.49160666942998</v>
      </c>
      <c r="D942">
        <f>-665.991811909984 -47.6773400897821 -206.169714710477</f>
        <v>-919.83886671024311</v>
      </c>
      <c r="E942">
        <f>-671.777075318955 -52.8350057271364 -304.488521734036</f>
        <v>-1029.1006027801272</v>
      </c>
      <c r="F942">
        <f>-673.489238237112 -56.8371369559986 -393.479010111674</f>
        <v>-1123.8053853047845</v>
      </c>
      <c r="G942">
        <f>-671.320720922696 -60.2007440001209 -482.485921044705</f>
        <v>-1214.0073859675219</v>
      </c>
      <c r="H942">
        <f>-664.20759023696 -64.3224225068857 -606.796911723827</f>
        <v>-1335.3269244676726</v>
      </c>
      <c r="I942">
        <f>-636.19886816437 -63.3146853226363 -685.02431979441</f>
        <v>-1384.5378732814161</v>
      </c>
      <c r="J942">
        <f>-671.341408736431 -35.1140804163958 -553.231192564842</f>
        <v>-1259.6866817176688</v>
      </c>
      <c r="K942" t="s">
        <v>9454</v>
      </c>
      <c r="L942" t="s">
        <v>9455</v>
      </c>
      <c r="M942" t="s">
        <v>9456</v>
      </c>
      <c r="N942">
        <f>-663.33412369499 -89.9034583419973 -550.95641081975</f>
        <v>-1304.1939928567372</v>
      </c>
      <c r="O942">
        <f>-647.956488511879 -221.9083071579 -515.78935277312</f>
        <v>-1385.654148442899</v>
      </c>
      <c r="P942">
        <f>-642.702589092147 -276.652188461991 -226.710263632388</f>
        <v>-1146.0650411865261</v>
      </c>
      <c r="Q942">
        <f>-483.267844940998 -97.9424983235517 -253.059045491213</f>
        <v>-834.26938875576275</v>
      </c>
      <c r="R942" t="s">
        <v>9457</v>
      </c>
      <c r="S942" t="s">
        <v>9458</v>
      </c>
      <c r="T942" t="s">
        <v>9459</v>
      </c>
      <c r="U942" t="s">
        <v>9460</v>
      </c>
      <c r="V942">
        <f>-621.408936155735 -131.537993853075 -90.3755850970127</f>
        <v>-843.32251510582273</v>
      </c>
      <c r="W942" t="s">
        <v>9461</v>
      </c>
      <c r="X942" t="s">
        <v>9462</v>
      </c>
      <c r="Y942" t="s">
        <v>9463</v>
      </c>
    </row>
    <row r="943" spans="1:25" x14ac:dyDescent="0.3">
      <c r="A943">
        <v>47100</v>
      </c>
      <c r="B943" t="s">
        <v>9464</v>
      </c>
      <c r="C943">
        <f>-647.984859185113 -38.877451366898 -92.2659675729984</f>
        <v>-779.12827812500939</v>
      </c>
      <c r="D943">
        <f>-666.80931474979 -47.8491750187382 -206.201710278726</f>
        <v>-920.86020004725424</v>
      </c>
      <c r="E943">
        <f>-672.839204095672 -53.0679230985859 -304.502658714127</f>
        <v>-1030.4097859083849</v>
      </c>
      <c r="F943">
        <f>-674.779808413141 -57.0862223143622 -393.487580253276</f>
        <v>-1125.3536109807792</v>
      </c>
      <c r="G943">
        <f>-672.845757553093 -60.4259586736227 -482.500809735247</f>
        <v>-1215.7725259619629</v>
      </c>
      <c r="H943">
        <f>-666.065488621061 -64.4712160379736 -606.832946841303</f>
        <v>-1337.3696515003376</v>
      </c>
      <c r="I943">
        <f>-638.300556317937 -63.4935805522935 -685.147502378392</f>
        <v>-1386.9416392486223</v>
      </c>
      <c r="J943">
        <f>-673.09131488372 -35.3010964619098 -553.232191943644</f>
        <v>-1261.6246032892736</v>
      </c>
      <c r="K943" t="s">
        <v>9465</v>
      </c>
      <c r="L943" t="s">
        <v>9466</v>
      </c>
      <c r="M943" t="s">
        <v>9467</v>
      </c>
      <c r="N943">
        <f>-665.007055571633 -90.0812337728064 -551.008831374321</f>
        <v>-1306.0971207187604</v>
      </c>
      <c r="O943">
        <f>-649.380398654505 -222.051279251366 -515.804773369226</f>
        <v>-1387.2364512750971</v>
      </c>
      <c r="P943">
        <f>-642.579920513672 -276.298469001232 -226.664293730622</f>
        <v>-1145.542683245526</v>
      </c>
      <c r="Q943">
        <f>-483.588325323035 -97.1908381502442 -252.988489578406</f>
        <v>-833.76765305168522</v>
      </c>
      <c r="R943" t="s">
        <v>9468</v>
      </c>
      <c r="S943" t="s">
        <v>9469</v>
      </c>
      <c r="T943" t="s">
        <v>9470</v>
      </c>
      <c r="U943" t="s">
        <v>9471</v>
      </c>
      <c r="V943">
        <f>-621.808335397662 -131.483815232453 -90.3953908145788</f>
        <v>-843.68754144469381</v>
      </c>
      <c r="W943" t="s">
        <v>9472</v>
      </c>
      <c r="X943" t="s">
        <v>9473</v>
      </c>
      <c r="Y943" t="s">
        <v>9474</v>
      </c>
    </row>
    <row r="944" spans="1:25" x14ac:dyDescent="0.3">
      <c r="A944">
        <v>47150</v>
      </c>
      <c r="B944" t="s">
        <v>9475</v>
      </c>
      <c r="C944">
        <f>-648.283996331349 -39.0064837722871 -92.2932346113322</f>
        <v>-779.58371471496832</v>
      </c>
      <c r="D944">
        <f>-667.172397780321 -48.0660431824892 -206.211464150043</f>
        <v>-921.44990511285323</v>
      </c>
      <c r="E944">
        <f>-673.255219446819 -53.2762057659165 -304.509672959398</f>
        <v>-1031.0410981721334</v>
      </c>
      <c r="F944">
        <f>-675.241291480562 -57.2535100336077 -393.495472694855</f>
        <v>-1125.9902742090246</v>
      </c>
      <c r="G944">
        <f>-673.349704535393 -60.5181394337365 -482.512228619089</f>
        <v>-1216.3800725882184</v>
      </c>
      <c r="H944">
        <f>-666.624485679054 -64.4234411478922 -606.851967823201</f>
        <v>-1337.8998946501472</v>
      </c>
      <c r="I944">
        <f>-638.960154328831 -63.4253942187033 -685.201871285843</f>
        <v>-1387.5874198333772</v>
      </c>
      <c r="J944">
        <f>-673.649993150241 -35.3170589426845 -553.216312638648</f>
        <v>-1262.1833647315734</v>
      </c>
      <c r="K944" t="s">
        <v>9476</v>
      </c>
      <c r="L944" t="s">
        <v>9477</v>
      </c>
      <c r="M944" t="s">
        <v>9478</v>
      </c>
      <c r="N944">
        <f>-665.517735971546 -90.0927350831992 -551.056073082598</f>
        <v>-1306.6665441373432</v>
      </c>
      <c r="O944">
        <f>-649.779421537261 -222.048337382522 -515.891213069338</f>
        <v>-1387.7189719891212</v>
      </c>
      <c r="P944">
        <f>-642.604592514359 -276.220325984203 -226.745612294647</f>
        <v>-1145.5705307932089</v>
      </c>
      <c r="Q944">
        <f>-484.205864017373 -96.6184154844455 -253.276441569125</f>
        <v>-834.10072107094356</v>
      </c>
      <c r="R944" t="s">
        <v>9479</v>
      </c>
      <c r="S944" t="s">
        <v>9480</v>
      </c>
      <c r="T944" t="s">
        <v>9481</v>
      </c>
      <c r="U944" t="s">
        <v>9482</v>
      </c>
      <c r="V944">
        <f>-622.120682683316 -131.544381772173 -90.4005310593873</f>
        <v>-844.06559551487624</v>
      </c>
      <c r="W944" t="s">
        <v>9483</v>
      </c>
      <c r="X944" t="s">
        <v>9484</v>
      </c>
      <c r="Y944" t="s">
        <v>9485</v>
      </c>
    </row>
    <row r="945" spans="1:25" x14ac:dyDescent="0.3">
      <c r="A945">
        <v>47200</v>
      </c>
      <c r="B945" t="s">
        <v>9486</v>
      </c>
      <c r="C945">
        <f>-648.812646638142 -38.9936233725393 -92.4293299227394</f>
        <v>-780.23559993342076</v>
      </c>
      <c r="D945">
        <f>-667.704486668784 -48.1416061087755 -206.339965819962</f>
        <v>-922.18605859752154</v>
      </c>
      <c r="E945">
        <f>-673.77125762009 -53.3998489381729 -304.636462105775</f>
        <v>-1031.8075686640379</v>
      </c>
      <c r="F945">
        <f>-675.734760963691 -57.4090981681788 -393.621415332091</f>
        <v>-1126.7652744639608</v>
      </c>
      <c r="G945">
        <f>-673.812040307101 -60.6952264470044 -482.636779411785</f>
        <v>-1217.1440461658904</v>
      </c>
      <c r="H945">
        <f>-667.034542699064 -64.6188114713113 -606.972889601644</f>
        <v>-1338.6262437720193</v>
      </c>
      <c r="I945">
        <f>-639.56209570888 -63.6535827188511 -685.390794941089</f>
        <v>-1388.6064733688199</v>
      </c>
      <c r="J945">
        <f>-674.076450703986 -35.5036157358268 -553.344329550196</f>
        <v>-1262.9243959900086</v>
      </c>
      <c r="K945" t="s">
        <v>9487</v>
      </c>
      <c r="L945" t="s">
        <v>9488</v>
      </c>
      <c r="M945" t="s">
        <v>9489</v>
      </c>
      <c r="N945">
        <f>-665.957488541346 -90.2807205328133 -551.173205158152</f>
        <v>-1307.4114142323115</v>
      </c>
      <c r="O945">
        <f>-650.146387340264 -222.207610664688 -515.935714922657</f>
        <v>-1388.2897129276089</v>
      </c>
      <c r="P945">
        <f>-643.079252260365 -275.789900893789 -226.677588284868</f>
        <v>-1145.5467414390221</v>
      </c>
      <c r="Q945">
        <f>-486.039652409919 -95.0504206117923 -253.559394459304</f>
        <v>-834.64946748101534</v>
      </c>
      <c r="R945" t="s">
        <v>9490</v>
      </c>
      <c r="S945" t="s">
        <v>9491</v>
      </c>
      <c r="T945" t="s">
        <v>9492</v>
      </c>
      <c r="U945" t="s">
        <v>9493</v>
      </c>
      <c r="V945">
        <f>-622.757078310406 -131.203455419676 -90.4670728759701</f>
        <v>-844.42760660605211</v>
      </c>
      <c r="W945" t="s">
        <v>9494</v>
      </c>
      <c r="X945" t="s">
        <v>9495</v>
      </c>
      <c r="Y945" t="s">
        <v>9496</v>
      </c>
    </row>
    <row r="946" spans="1:25" x14ac:dyDescent="0.3">
      <c r="A946">
        <v>47250</v>
      </c>
      <c r="B946" t="s">
        <v>9497</v>
      </c>
      <c r="C946">
        <f>-649.100300684668 -38.900196763034 -92.5139282829783</f>
        <v>-780.51442573068039</v>
      </c>
      <c r="D946">
        <f>-667.941617518266 -48.0484567386359 -206.432920600535</f>
        <v>-922.42299485743683</v>
      </c>
      <c r="E946">
        <f>-673.956826495304 -53.3401459996451 -304.730768631853</f>
        <v>-1032.0277411268021</v>
      </c>
      <c r="F946">
        <f>-675.871205315801 -57.3930877956077 -393.714783403796</f>
        <v>-1126.9790765152047</v>
      </c>
      <c r="G946">
        <f>-673.896672562518 -60.737105068546 -482.726879293762</f>
        <v>-1217.3606569248261</v>
      </c>
      <c r="H946">
        <f>-667.044844905436 -64.756818217224 -607.055909190664</f>
        <v>-1338.857572313324</v>
      </c>
      <c r="I946">
        <f>-639.654691106593 -63.8504182906672 -685.503224860376</f>
        <v>-1389.0083342576363</v>
      </c>
      <c r="J946">
        <f>-674.069955831195 -35.592927364544 -553.451483978159</f>
        <v>-1263.114367173898</v>
      </c>
      <c r="K946" t="s">
        <v>9498</v>
      </c>
      <c r="L946" t="s">
        <v>9499</v>
      </c>
      <c r="M946" t="s">
        <v>9500</v>
      </c>
      <c r="N946">
        <f>-666.050003667081 -90.3829637383039 -551.238219359041</f>
        <v>-1307.6711867644258</v>
      </c>
      <c r="O946">
        <f>-650.36976616659 -222.295311163797 -515.876040818208</f>
        <v>-1388.5411181485952</v>
      </c>
      <c r="P946">
        <f>-643.334525025106 -275.587161521125 -226.563654693929</f>
        <v>-1145.4853412401601</v>
      </c>
      <c r="Q946">
        <f>-486.9718844589 -94.2996749866331 -253.700806113874</f>
        <v>-834.97236555940708</v>
      </c>
      <c r="R946" t="s">
        <v>9501</v>
      </c>
      <c r="S946" t="s">
        <v>9502</v>
      </c>
      <c r="T946" t="s">
        <v>9503</v>
      </c>
      <c r="U946" t="s">
        <v>9504</v>
      </c>
      <c r="V946">
        <f>-623.133573936459 -131.12807754784 -90.4979709158799</f>
        <v>-844.75962240017896</v>
      </c>
      <c r="W946" t="s">
        <v>9505</v>
      </c>
      <c r="X946" t="s">
        <v>9506</v>
      </c>
      <c r="Y946" t="s">
        <v>9507</v>
      </c>
    </row>
    <row r="947" spans="1:25" x14ac:dyDescent="0.3">
      <c r="A947">
        <v>47300</v>
      </c>
      <c r="B947" t="s">
        <v>9508</v>
      </c>
      <c r="C947">
        <f>-649.469736323819 -39.0069306691616 -92.6548666495984</f>
        <v>-781.13153364257903</v>
      </c>
      <c r="D947">
        <f>-668.236038453402 -48.0863973030384 -206.591782763405</f>
        <v>-922.91421851984546</v>
      </c>
      <c r="E947">
        <f>-674.138532598017 -53.4138484499822 -304.894529021277</f>
        <v>-1032.4469100692763</v>
      </c>
      <c r="F947">
        <f>-675.933661265045 -57.5367998076888 -393.877702710083</f>
        <v>-1127.3481637828168</v>
      </c>
      <c r="G947">
        <f>-673.823058887271 -60.991612181859 -482.882562689128</f>
        <v>-1217.6972337582579</v>
      </c>
      <c r="H947">
        <f>-666.764062323137 -65.2114308081211 -607.193297949188</f>
        <v>-1339.1687910804462</v>
      </c>
      <c r="I947">
        <f>-639.506694396372 -64.5360607418754 -685.689347302376</f>
        <v>-1389.7321024406233</v>
      </c>
      <c r="J947">
        <f>-673.697508808047 -35.9351555847693 -553.638437943746</f>
        <v>-1263.2711023365623</v>
      </c>
      <c r="K947" t="s">
        <v>9509</v>
      </c>
      <c r="L947" t="s">
        <v>9510</v>
      </c>
      <c r="M947" t="s">
        <v>9511</v>
      </c>
      <c r="N947">
        <f>-666.043180862292 -90.7740173609191 -551.342173217267</f>
        <v>-1308.159371440478</v>
      </c>
      <c r="O947">
        <f>-651.076391077212 -222.68801878877 -515.678895247219</f>
        <v>-1389.4433051132009</v>
      </c>
      <c r="P947">
        <f>-644.112702509757 -274.288654102307 -226.058178517105</f>
        <v>-1144.4595351291691</v>
      </c>
      <c r="Q947">
        <f>-487.660038681606 -92.9045400931761 -252.004192192209</f>
        <v>-832.56877096699111</v>
      </c>
      <c r="R947" t="s">
        <v>9512</v>
      </c>
      <c r="S947" t="s">
        <v>9513</v>
      </c>
      <c r="T947" t="s">
        <v>9514</v>
      </c>
      <c r="U947" t="s">
        <v>9515</v>
      </c>
      <c r="V947">
        <f>-623.877772693168 -131.441119519565 -90.5498515320658</f>
        <v>-845.86874374479885</v>
      </c>
      <c r="W947" t="s">
        <v>9516</v>
      </c>
      <c r="X947" t="s">
        <v>9517</v>
      </c>
      <c r="Y947" t="s">
        <v>9518</v>
      </c>
    </row>
    <row r="948" spans="1:25" x14ac:dyDescent="0.3">
      <c r="A948">
        <v>47350</v>
      </c>
      <c r="B948" t="s">
        <v>9519</v>
      </c>
      <c r="C948">
        <f>-649.507043187056 -39.2942162950924 -92.6649380436595</f>
        <v>-781.46619752580784</v>
      </c>
      <c r="D948">
        <f>-668.251480441106 -48.2978422927818 -206.611372843191</f>
        <v>-923.16069557707874</v>
      </c>
      <c r="E948">
        <f>-674.107432908531 -53.637762270884 -304.916296259094</f>
        <v>-1032.6614914385091</v>
      </c>
      <c r="F948">
        <f>-675.850741006942 -57.8019812343507 -393.89868489867</f>
        <v>-1127.5514071399627</v>
      </c>
      <c r="G948">
        <f>-673.679470835775 -61.3306354284246 -482.899097053878</f>
        <v>-1217.9092033180775</v>
      </c>
      <c r="H948">
        <f>-666.526757155763 -65.687597408353 -607.199740195417</f>
        <v>-1339.4140947595329</v>
      </c>
      <c r="I948">
        <f>-639.324714549934 -65.1905989987044 -685.71613739163</f>
        <v>-1390.2314509402686</v>
      </c>
      <c r="J948">
        <f>-673.390084025537 -36.3367743231408 -553.676518800598</f>
        <v>-1263.4033771492759</v>
      </c>
      <c r="K948" t="s">
        <v>9520</v>
      </c>
      <c r="L948" t="s">
        <v>9521</v>
      </c>
      <c r="M948" t="s">
        <v>9522</v>
      </c>
      <c r="N948">
        <f>-665.958691941476 -91.2040026356935 -551.325831536837</f>
        <v>-1308.4885261140066</v>
      </c>
      <c r="O948">
        <f>-651.420107026786 -223.119202352225 -515.496790223885</f>
        <v>-1390.036099602896</v>
      </c>
      <c r="P948">
        <f>-644.512093527256 -274.135215163496 -225.771350443899</f>
        <v>-1144.4186591346511</v>
      </c>
      <c r="Q948">
        <f>-488.024770612771 -92.703762639072 -251.171992695486</f>
        <v>-831.90052594732902</v>
      </c>
      <c r="R948" t="s">
        <v>9523</v>
      </c>
      <c r="S948" t="s">
        <v>9524</v>
      </c>
      <c r="T948" t="s">
        <v>9525</v>
      </c>
      <c r="U948" t="s">
        <v>9526</v>
      </c>
      <c r="V948">
        <f>-624.144021840202 -131.90535435849 -90.578209774642</f>
        <v>-846.62758597333402</v>
      </c>
      <c r="W948" t="s">
        <v>9527</v>
      </c>
      <c r="X948" t="s">
        <v>9528</v>
      </c>
      <c r="Y948" t="s">
        <v>9529</v>
      </c>
    </row>
    <row r="949" spans="1:25" x14ac:dyDescent="0.3">
      <c r="A949">
        <v>47400</v>
      </c>
      <c r="B949" t="s">
        <v>9530</v>
      </c>
      <c r="C949">
        <f>-649.094813981362 -39.7273202566853 -92.6359636896478</f>
        <v>-781.45809792769512</v>
      </c>
      <c r="D949">
        <f>-667.885716490586 -48.5999368476168 -206.585011646511</f>
        <v>-923.07066498471386</v>
      </c>
      <c r="E949">
        <f>-673.70191848222 -53.9750392187423 -304.890465162751</f>
        <v>-1032.5674228637133</v>
      </c>
      <c r="F949">
        <f>-675.380179481768 -58.2300231783418 -393.869734225273</f>
        <v>-1127.4799368853828</v>
      </c>
      <c r="G949">
        <f>-673.115705452119 -61.9125034497677 -482.861583963919</f>
        <v>-1217.8897928658057</v>
      </c>
      <c r="H949">
        <f>-665.804877414466 -66.5529800371212 -607.142870165617</f>
        <v>-1339.5007276172041</v>
      </c>
      <c r="I949">
        <f>-638.646685186082 -66.3948302162928 -685.675854209487</f>
        <v>-1390.7173696118618</v>
      </c>
      <c r="J949">
        <f>-672.517456453419 -37.0508286506861 -553.68383641538</f>
        <v>-1263.2521215194852</v>
      </c>
      <c r="K949" t="s">
        <v>9531</v>
      </c>
      <c r="L949" t="s">
        <v>9532</v>
      </c>
      <c r="M949" t="s">
        <v>9533</v>
      </c>
      <c r="N949">
        <f>-665.526572226443 -91.9710887352046 -551.221893875267</f>
        <v>-1308.7195548369145</v>
      </c>
      <c r="O949">
        <f>-651.825095171728 -223.901983967648 -515.094542407402</f>
        <v>-1390.8216215467778</v>
      </c>
      <c r="P949">
        <f>-645.107575358578 -273.511541969611 -225.120285008395</f>
        <v>-1143.7394023365839</v>
      </c>
      <c r="Q949">
        <f>-488.175709271416 -92.3446167853792 -249.652497921049</f>
        <v>-830.17282397784413</v>
      </c>
      <c r="R949" t="s">
        <v>9534</v>
      </c>
      <c r="S949" t="s">
        <v>9535</v>
      </c>
      <c r="T949" t="s">
        <v>9536</v>
      </c>
      <c r="U949" t="s">
        <v>9537</v>
      </c>
      <c r="V949">
        <f>-624.299169536025 -132.297870780818 -90.5657110512226</f>
        <v>-847.16275136806564</v>
      </c>
      <c r="W949" t="s">
        <v>9538</v>
      </c>
      <c r="X949" t="s">
        <v>9539</v>
      </c>
      <c r="Y949" t="s">
        <v>9540</v>
      </c>
    </row>
    <row r="950" spans="1:25" x14ac:dyDescent="0.3">
      <c r="A950">
        <v>47450</v>
      </c>
      <c r="B950" t="s">
        <v>9541</v>
      </c>
      <c r="C950">
        <f>-648.877399708026 -39.9190527944381 -92.6193921742544</f>
        <v>-781.41584467671851</v>
      </c>
      <c r="D950">
        <f>-667.71357097845 -48.7664735684991 -206.563013801544</f>
        <v>-923.0430583484931</v>
      </c>
      <c r="E950">
        <f>-673.535294984631 -54.1490973204623 -304.867602026765</f>
        <v>-1032.5519943318582</v>
      </c>
      <c r="F950">
        <f>-675.205924432371 -58.4222573790469 -393.84620531131</f>
        <v>-1127.4743871227279</v>
      </c>
      <c r="G950">
        <f>-672.921145990263 -62.1363065606199 -482.83628333349</f>
        <v>-1217.8937358843727</v>
      </c>
      <c r="H950">
        <f>-665.568858971439 -66.8355543008588 -607.112818416061</f>
        <v>-1339.5172316883588</v>
      </c>
      <c r="I950">
        <f>-638.417501718783 -66.7766941290893 -685.648393539339</f>
        <v>-1390.8425893872113</v>
      </c>
      <c r="J950">
        <f>-672.215556660405 -37.2973897994959 -553.665396383113</f>
        <v>-1263.178342843014</v>
      </c>
      <c r="K950" t="s">
        <v>9542</v>
      </c>
      <c r="L950" t="s">
        <v>9543</v>
      </c>
      <c r="M950" t="s">
        <v>9544</v>
      </c>
      <c r="N950">
        <f>-665.392814222563 -92.2379032565127 -551.184377281939</f>
        <v>-1308.8150947610147</v>
      </c>
      <c r="O950">
        <f>-652.035938992759 -224.180344168413 -514.987399752823</f>
        <v>-1391.203682913995</v>
      </c>
      <c r="P950">
        <f>-645.489398510243 -273.403814763794 -224.943651005714</f>
        <v>-1143.8368642797509</v>
      </c>
      <c r="Q950">
        <f>-488.155861069491 -92.5766924512832 -249.40927272739</f>
        <v>-830.14182624816419</v>
      </c>
      <c r="R950" t="s">
        <v>9545</v>
      </c>
      <c r="S950" t="s">
        <v>9546</v>
      </c>
      <c r="T950" t="s">
        <v>9547</v>
      </c>
      <c r="U950" t="s">
        <v>9548</v>
      </c>
      <c r="V950">
        <f>-624.294194465276 -132.504650832428 -90.5381723302029</f>
        <v>-847.3370176279069</v>
      </c>
      <c r="W950" t="s">
        <v>9549</v>
      </c>
      <c r="X950" t="s">
        <v>9550</v>
      </c>
      <c r="Y950" t="s">
        <v>9551</v>
      </c>
    </row>
    <row r="951" spans="1:25" x14ac:dyDescent="0.3">
      <c r="A951">
        <v>47500</v>
      </c>
      <c r="B951" t="s">
        <v>9552</v>
      </c>
      <c r="C951">
        <f>-648.576418110639 -40.4743383757154 -92.6105498661552</f>
        <v>-781.66130635250965</v>
      </c>
      <c r="D951">
        <f>-667.440042115708 -49.2768719048222 -206.553025121357</f>
        <v>-923.26993914188722</v>
      </c>
      <c r="E951">
        <f>-673.264228929256 -54.6842458450665 -304.856189996319</f>
        <v>-1032.8046647706415</v>
      </c>
      <c r="F951">
        <f>-674.929433377429 -59.0063645390837 -393.832443662727</f>
        <v>-1127.7682415792397</v>
      </c>
      <c r="G951">
        <f>-672.631773325689 -62.7991721067731 -482.818849873432</f>
        <v>-1218.2497953058942</v>
      </c>
      <c r="H951">
        <f>-665.254764476828 -67.6418525220129 -607.088470949382</f>
        <v>-1339.9850879482228</v>
      </c>
      <c r="I951">
        <f>-638.062098544467 -67.7129115381456 -685.609733226923</f>
        <v>-1391.3847433095357</v>
      </c>
      <c r="J951">
        <f>-671.783289950712 -38.0260221424726 -553.669433294186</f>
        <v>-1263.4787453873705</v>
      </c>
      <c r="K951" t="s">
        <v>9553</v>
      </c>
      <c r="L951" t="s">
        <v>9554</v>
      </c>
      <c r="M951" t="s">
        <v>9555</v>
      </c>
      <c r="N951">
        <f>-665.218663165741 -92.9956422511677 -551.137631565109</f>
        <v>-1309.3519369820178</v>
      </c>
      <c r="O951">
        <f>-652.346625827322 -224.96617368074 -514.873665658189</f>
        <v>-1392.1864651662509</v>
      </c>
      <c r="P951">
        <f>-645.896836262939 -273.649324660552 -224.736605690052</f>
        <v>-1144.2827666135431</v>
      </c>
      <c r="Q951">
        <f>-487.893372753057 -93.4514601737678 -249.526113013466</f>
        <v>-830.87094594029077</v>
      </c>
      <c r="R951" t="s">
        <v>9556</v>
      </c>
      <c r="S951" t="s">
        <v>9557</v>
      </c>
      <c r="T951" t="s">
        <v>9558</v>
      </c>
      <c r="U951" t="s">
        <v>9559</v>
      </c>
      <c r="V951">
        <f>-624.142944282179 -133.134761688036 -90.5479294285543</f>
        <v>-847.82563539876935</v>
      </c>
      <c r="W951" t="s">
        <v>9560</v>
      </c>
      <c r="X951" t="s">
        <v>9561</v>
      </c>
      <c r="Y951" t="s">
        <v>9562</v>
      </c>
    </row>
    <row r="952" spans="1:25" x14ac:dyDescent="0.3">
      <c r="A952">
        <v>47550</v>
      </c>
      <c r="B952" t="s">
        <v>9563</v>
      </c>
      <c r="C952">
        <f>-648.479957313043 -40.6710826542596 -92.6020920669786</f>
        <v>-781.7531320342822</v>
      </c>
      <c r="D952">
        <f>-667.357685610298 -49.4630745858892 -206.543048924727</f>
        <v>-923.3638091209142</v>
      </c>
      <c r="E952">
        <f>-673.193720516099 -54.8725487236052 -304.845381984037</f>
        <v>-1032.911651223741</v>
      </c>
      <c r="F952">
        <f>-674.869792747708 -59.20153786631 -393.821088180333</f>
        <v>-1127.892418794351</v>
      </c>
      <c r="G952">
        <f>-672.583432849845 -63.0065822259901 -482.807289533184</f>
        <v>-1218.3973046090191</v>
      </c>
      <c r="H952">
        <f>-665.222027931914 -67.8723672673618 -607.07702314578</f>
        <v>-1340.1714183450558</v>
      </c>
      <c r="I952">
        <f>-638.013874875965 -67.968023432468 -685.592727958985</f>
        <v>-1391.5746262674181</v>
      </c>
      <c r="J952">
        <f>-671.715921090743 -38.2432891637329 -553.661107390786</f>
        <v>-1263.6203176452618</v>
      </c>
      <c r="K952" t="s">
        <v>9564</v>
      </c>
      <c r="L952" t="s">
        <v>9565</v>
      </c>
      <c r="M952" t="s">
        <v>9566</v>
      </c>
      <c r="N952">
        <f>-665.206720829349 -93.2191907097306 -551.122939237238</f>
        <v>-1309.5488507763175</v>
      </c>
      <c r="O952">
        <f>-652.453337780608 -225.207006973028 -514.86760085947</f>
        <v>-1392.5279456131061</v>
      </c>
      <c r="P952">
        <f>-645.845175117661 -274.08775727604 -224.767294446463</f>
        <v>-1144.7002268401641</v>
      </c>
      <c r="Q952">
        <f>-487.601767198077 -94.1333978626171 -249.792485358752</f>
        <v>-831.52765041944622</v>
      </c>
      <c r="R952" t="s">
        <v>9567</v>
      </c>
      <c r="S952" t="s">
        <v>9568</v>
      </c>
      <c r="T952" t="s">
        <v>9569</v>
      </c>
      <c r="U952" t="s">
        <v>9570</v>
      </c>
      <c r="V952">
        <f>-624.025838822039 -133.328897323495 -90.5431890356236</f>
        <v>-847.89792518115758</v>
      </c>
      <c r="W952" t="s">
        <v>9571</v>
      </c>
      <c r="X952" t="s">
        <v>9572</v>
      </c>
      <c r="Y952" t="s">
        <v>9573</v>
      </c>
    </row>
    <row r="953" spans="1:25" x14ac:dyDescent="0.3">
      <c r="A953">
        <v>47600</v>
      </c>
      <c r="B953" t="s">
        <v>9574</v>
      </c>
      <c r="C953">
        <f>-648.345691008637 -41.2802130455614 -92.5501274912396</f>
        <v>-782.17603154543804</v>
      </c>
      <c r="D953">
        <f>-667.292075865026 -50.0762729717267 -206.479422422936</f>
        <v>-923.84777125968867</v>
      </c>
      <c r="E953">
        <f>-673.178977860655 -55.4637706192766 -304.779903648827</f>
        <v>-1033.4226521287585</v>
      </c>
      <c r="F953">
        <f>-674.897172590197 -59.7624064112231 -393.756345146781</f>
        <v>-1128.4159241482012</v>
      </c>
      <c r="G953">
        <f>-672.648955152151 -63.5262615443205 -482.745273756396</f>
        <v>-1218.9204904528674</v>
      </c>
      <c r="H953">
        <f>-665.336628462667 -68.3222210168644 -607.020495202367</f>
        <v>-1340.6793446818983</v>
      </c>
      <c r="I953">
        <f>-638.08871340384 -68.3860227685971 -685.522605665558</f>
        <v>-1391.997341837995</v>
      </c>
      <c r="J953">
        <f>-671.839860361461 -38.726694204219 -553.587061792298</f>
        <v>-1264.1536163579781</v>
      </c>
      <c r="K953" t="s">
        <v>9575</v>
      </c>
      <c r="L953" t="s">
        <v>9576</v>
      </c>
      <c r="M953" t="s">
        <v>9577</v>
      </c>
      <c r="N953">
        <f>-665.268918171688 -93.6966313383771 -551.079053963509</f>
        <v>-1310.0446034735742</v>
      </c>
      <c r="O953">
        <f>-652.34828351261 -225.69006587424 -514.906641109724</f>
        <v>-1392.9449904965741</v>
      </c>
      <c r="P953">
        <f>-645.152291035817 -274.992228285644 -224.891606560056</f>
        <v>-1145.0361258815171</v>
      </c>
      <c r="Q953">
        <f>-486.947012920323 -95.0312102733312 -250.11001789742</f>
        <v>-832.08824109107422</v>
      </c>
      <c r="R953" t="s">
        <v>9578</v>
      </c>
      <c r="S953" t="s">
        <v>9579</v>
      </c>
      <c r="T953" t="s">
        <v>9580</v>
      </c>
      <c r="U953" t="s">
        <v>9581</v>
      </c>
      <c r="V953">
        <f>-623.841820395653 -133.893321057945 -90.535229361094</f>
        <v>-848.27037081469211</v>
      </c>
      <c r="W953" t="s">
        <v>9582</v>
      </c>
      <c r="X953" t="s">
        <v>9583</v>
      </c>
      <c r="Y953" t="s">
        <v>9584</v>
      </c>
    </row>
    <row r="954" spans="1:25" x14ac:dyDescent="0.3">
      <c r="A954">
        <v>47650</v>
      </c>
      <c r="B954" t="s">
        <v>9585</v>
      </c>
      <c r="C954">
        <f>-648.43455564219 -41.4998314900595 -92.5332304697954</f>
        <v>-782.46761760204492</v>
      </c>
      <c r="D954">
        <f>-667.437951764628 -50.3243273365676 -206.450919878332</f>
        <v>-924.21319897952765</v>
      </c>
      <c r="E954">
        <f>-673.361091326842 -55.684473452143 -304.750558222728</f>
        <v>-1033.7961230017131</v>
      </c>
      <c r="F954">
        <f>-675.1061710255 -59.9377464316965 -393.728756054615</f>
        <v>-1128.7726735118115</v>
      </c>
      <c r="G954">
        <f>-672.878346852342 -63.6341046629097 -482.720941263326</f>
        <v>-1219.2333927785778</v>
      </c>
      <c r="H954">
        <f>-665.587188625652 -68.3124855347287 -607.001958818582</f>
        <v>-1340.9016329789627</v>
      </c>
      <c r="I954">
        <f>-638.307230458972 -68.3096052167264 -685.492888151756</f>
        <v>-1392.1097238274542</v>
      </c>
      <c r="J954">
        <f>-672.13814736857 -38.7746469430547 -553.542601540749</f>
        <v>-1264.4553958523738</v>
      </c>
      <c r="K954" t="s">
        <v>9586</v>
      </c>
      <c r="L954" t="s">
        <v>9587</v>
      </c>
      <c r="M954" t="s">
        <v>9588</v>
      </c>
      <c r="N954">
        <f>-665.45326825421 -93.7330397282938 -551.081497998112</f>
        <v>-1310.2678059806158</v>
      </c>
      <c r="O954">
        <f>-652.271620704756 -225.724971642788 -514.988618611747</f>
        <v>-1392.985210959291</v>
      </c>
      <c r="P954">
        <f>-644.66210555891 -274.876304716325 -224.958482371183</f>
        <v>-1144.496892646418</v>
      </c>
      <c r="Q954">
        <f>-486.536128616853 -94.8121425888194 -249.93740999516</f>
        <v>-831.28568120083241</v>
      </c>
      <c r="R954" t="s">
        <v>9589</v>
      </c>
      <c r="S954" t="s">
        <v>9590</v>
      </c>
      <c r="T954" t="s">
        <v>9591</v>
      </c>
      <c r="U954" t="s">
        <v>9592</v>
      </c>
      <c r="V954">
        <f>-623.802606937915 -134.154832268109 -90.5073065435404</f>
        <v>-848.46474574956437</v>
      </c>
      <c r="W954" t="s">
        <v>9593</v>
      </c>
      <c r="X954" t="s">
        <v>9594</v>
      </c>
      <c r="Y954" t="s">
        <v>9595</v>
      </c>
    </row>
    <row r="955" spans="1:25" x14ac:dyDescent="0.3">
      <c r="A955">
        <v>47700</v>
      </c>
      <c r="B955" t="s">
        <v>9596</v>
      </c>
      <c r="C955">
        <f>-648.864746918573 -42.4471528796184 -92.5409513396427</f>
        <v>-783.85285113783414</v>
      </c>
      <c r="D955">
        <f>-667.847377216966 -51.3473071805258 -206.45623646557</f>
        <v>-925.65092086306186</v>
      </c>
      <c r="E955">
        <f>-673.777299332474 -56.6820077584271 -304.756869898255</f>
        <v>-1035.2161769891559</v>
      </c>
      <c r="F955">
        <f>-675.535953354251 -60.8770400420601 -393.737603548603</f>
        <v>-1130.150596944914</v>
      </c>
      <c r="G955">
        <f>-673.328987551316 -64.4786398766239 -482.734183342353</f>
        <v>-1220.5418107702928</v>
      </c>
      <c r="H955">
        <f>-666.073330859394 -68.9850526981054 -607.023534476529</f>
        <v>-1342.0819180340284</v>
      </c>
      <c r="I955">
        <f>-638.700993711923 -68.8453597672133 -685.482178049571</f>
        <v>-1393.0285315287074</v>
      </c>
      <c r="J955">
        <f>-672.724268007061 -39.5356877601657 -553.527734216171</f>
        <v>-1265.7876899833977</v>
      </c>
      <c r="K955" t="s">
        <v>9597</v>
      </c>
      <c r="L955" t="s">
        <v>9598</v>
      </c>
      <c r="M955" t="s">
        <v>9599</v>
      </c>
      <c r="N955">
        <f>-665.80798403062 -94.46822510682 -551.132161960396</f>
        <v>-1311.4083710978362</v>
      </c>
      <c r="O955">
        <f>-651.999211870173 -226.421134291117 -515.174188616584</f>
        <v>-1393.5945347778741</v>
      </c>
      <c r="P955">
        <f>-642.940714545697 -275.311238478388 -225.141558355198</f>
        <v>-1143.3935113792829</v>
      </c>
      <c r="Q955">
        <f>-485.350401777817 -94.6155627912342 -248.916266572996</f>
        <v>-828.8822311420472</v>
      </c>
      <c r="R955" t="s">
        <v>9600</v>
      </c>
      <c r="S955" t="s">
        <v>9601</v>
      </c>
      <c r="T955" t="s">
        <v>9602</v>
      </c>
      <c r="U955" t="s">
        <v>9603</v>
      </c>
      <c r="V955">
        <f>-624.039994233204 -135.057553291635 -90.5008606472805</f>
        <v>-849.59840817211955</v>
      </c>
      <c r="W955" t="s">
        <v>9604</v>
      </c>
      <c r="X955" t="s">
        <v>9605</v>
      </c>
      <c r="Y955" t="s">
        <v>9606</v>
      </c>
    </row>
    <row r="956" spans="1:25" x14ac:dyDescent="0.3">
      <c r="A956">
        <v>47750</v>
      </c>
      <c r="B956" t="s">
        <v>9607</v>
      </c>
      <c r="C956">
        <f>-649.199502998308 -42.7815558628904 -92.570329624532</f>
        <v>-784.5513884857304</v>
      </c>
      <c r="D956">
        <f>-668.091632037811 -51.7001379843152 -206.499079167066</f>
        <v>-926.29084918919216</v>
      </c>
      <c r="E956">
        <f>-673.956716417695 -57.0394933529542 -304.80345291235</f>
        <v>-1035.7996626829993</v>
      </c>
      <c r="F956">
        <f>-675.662171793452 -61.2349887767878 -393.785178880909</f>
        <v>-1130.6823394511487</v>
      </c>
      <c r="G956">
        <f>-673.406828756678 -64.831970440636 -482.780751668241</f>
        <v>-1221.0195508655552</v>
      </c>
      <c r="H956">
        <f>-666.089267757743 -69.3269631622024 -607.066924348921</f>
        <v>-1342.4831552688665</v>
      </c>
      <c r="I956">
        <f>-638.668692800463 -69.1467254139732 -685.50869427367</f>
        <v>-1393.324112488106</v>
      </c>
      <c r="J956">
        <f>-672.811722988327 -39.8882890364496 -553.573984416414</f>
        <v>-1266.2739964411905</v>
      </c>
      <c r="K956" t="s">
        <v>9608</v>
      </c>
      <c r="L956" t="s">
        <v>9609</v>
      </c>
      <c r="M956" t="s">
        <v>9610</v>
      </c>
      <c r="N956">
        <f>-665.807041850928 -94.8096151275197 -551.175299066685</f>
        <v>-1311.7919560451328</v>
      </c>
      <c r="O956">
        <f>-651.757226315392 -226.731078473205 -515.162248748765</f>
        <v>-1393.6505535373622</v>
      </c>
      <c r="P956">
        <f>-641.971757987412 -275.52221952764 -225.136543587015</f>
        <v>-1142.6305211020672</v>
      </c>
      <c r="Q956">
        <f>-484.787694402814 -94.4070379697223 -248.40354459673</f>
        <v>-827.59827696926618</v>
      </c>
      <c r="R956" t="s">
        <v>9611</v>
      </c>
      <c r="S956" t="s">
        <v>9612</v>
      </c>
      <c r="T956" t="s">
        <v>9613</v>
      </c>
      <c r="U956" t="s">
        <v>9614</v>
      </c>
      <c r="V956">
        <f>-624.310657882151 -135.236605792395 -90.5687711169728</f>
        <v>-850.11603479151881</v>
      </c>
      <c r="W956" t="s">
        <v>9615</v>
      </c>
      <c r="X956" t="s">
        <v>9616</v>
      </c>
      <c r="Y956" t="s">
        <v>9617</v>
      </c>
    </row>
    <row r="957" spans="1:25" x14ac:dyDescent="0.3">
      <c r="A957">
        <v>47800</v>
      </c>
      <c r="B957" t="s">
        <v>9618</v>
      </c>
      <c r="C957">
        <f>-650.420831290722 -42.384252198196 -92.608156426498</f>
        <v>-785.41323991541606</v>
      </c>
      <c r="D957">
        <f>-669.23326744871 -51.3343340251224 -206.547535430296</f>
        <v>-927.11513690412835</v>
      </c>
      <c r="E957">
        <f>-674.921554233391 -56.6737054309704 -304.86248505214</f>
        <v>-1036.4577447165013</v>
      </c>
      <c r="F957">
        <f>-676.423253119691 -60.8597120612826 -393.848141347587</f>
        <v>-1131.1311065285606</v>
      </c>
      <c r="G957">
        <f>-673.919975430646 -64.4383622153703 -482.83791899763</f>
        <v>-1221.1962566436464</v>
      </c>
      <c r="H957">
        <f>-666.209885199321 -68.8987668354437 -607.101508922518</f>
        <v>-1342.2101609572826</v>
      </c>
      <c r="I957">
        <f>-638.691671216911 -68.6963333308809 -685.509111922698</f>
        <v>-1392.8971164704899</v>
      </c>
      <c r="J957">
        <f>-673.152843339901 -39.4817231212694 -553.625016619635</f>
        <v>-1266.2595830808054</v>
      </c>
      <c r="K957" t="s">
        <v>9619</v>
      </c>
      <c r="L957" t="s">
        <v>9620</v>
      </c>
      <c r="M957" t="s">
        <v>9621</v>
      </c>
      <c r="N957">
        <f>-666.052653461986 -94.3901942950999 -551.213487942549</f>
        <v>-1311.6563356996348</v>
      </c>
      <c r="O957">
        <f>-651.747108145033 -226.259465833708 -515.079180647422</f>
        <v>-1393.0857546261632</v>
      </c>
      <c r="P957">
        <f>-641.708056237205 -274.519589306407 -224.973400549067</f>
        <v>-1141.201046092679</v>
      </c>
      <c r="Q957">
        <f>-484.847647923256 -93.0694784740294 -247.809634547473</f>
        <v>-825.72676094475844</v>
      </c>
      <c r="R957" t="s">
        <v>9622</v>
      </c>
      <c r="S957" t="s">
        <v>9623</v>
      </c>
      <c r="T957" t="s">
        <v>9624</v>
      </c>
      <c r="U957" t="s">
        <v>9625</v>
      </c>
      <c r="V957">
        <f>-625.737691667688 -134.183739714658 -90.5537733893543</f>
        <v>-850.47520477170031</v>
      </c>
      <c r="W957" t="s">
        <v>9626</v>
      </c>
      <c r="X957" t="s">
        <v>9627</v>
      </c>
      <c r="Y957" t="s">
        <v>9628</v>
      </c>
    </row>
    <row r="958" spans="1:25" x14ac:dyDescent="0.3">
      <c r="A958">
        <v>47850</v>
      </c>
      <c r="B958" t="s">
        <v>9629</v>
      </c>
      <c r="C958">
        <f>-651.266874126868 -42.0064865179227 -92.6679054355852</f>
        <v>-785.94126608037584</v>
      </c>
      <c r="D958">
        <f>-670.061077349368 -51.002081282124 -206.606871562708</f>
        <v>-927.67003019419997</v>
      </c>
      <c r="E958">
        <f>-675.67108554865 -56.3589819475565 -304.925105953781</f>
        <v>-1036.9551734499873</v>
      </c>
      <c r="F958">
        <f>-677.07620273389 -60.5533757473429 -393.911977405478</f>
        <v>-1131.541555886711</v>
      </c>
      <c r="G958">
        <f>-674.450934834582 -64.1335038893274 -482.898162020822</f>
        <v>-1221.4826007447314</v>
      </c>
      <c r="H958">
        <f>-666.543427932377 -68.589105115112 -607.149707174338</f>
        <v>-1342.2822402218271</v>
      </c>
      <c r="I958">
        <f>-638.991315587307 -68.4339273883877 -685.545367295971</f>
        <v>-1392.9706102716657</v>
      </c>
      <c r="J958">
        <f>-673.567007649962 -39.1735541183773 -553.682701610182</f>
        <v>-1266.4232633785214</v>
      </c>
      <c r="K958" t="s">
        <v>9630</v>
      </c>
      <c r="L958" t="s">
        <v>9631</v>
      </c>
      <c r="M958" t="s">
        <v>9632</v>
      </c>
      <c r="N958">
        <f>-666.479307472246 -94.0832324178461 -551.262643086913</f>
        <v>-1311.8251829770052</v>
      </c>
      <c r="O958">
        <f>-652.226601445477 -225.927876500555 -515.051827072605</f>
        <v>-1393.2063050186368</v>
      </c>
      <c r="P958">
        <f>-642.344027772187 -273.739632355668 -224.866364611886</f>
        <v>-1140.9500247397409</v>
      </c>
      <c r="Q958">
        <f>-485.390425771555 -92.3666465453107 -247.676725838359</f>
        <v>-825.43379815522462</v>
      </c>
      <c r="R958" t="s">
        <v>9633</v>
      </c>
      <c r="S958" t="s">
        <v>9634</v>
      </c>
      <c r="T958" t="s">
        <v>9635</v>
      </c>
      <c r="U958" t="s">
        <v>9636</v>
      </c>
      <c r="V958">
        <f>-626.547315219991 -133.876363876141 -90.5726957341283</f>
        <v>-850.99637483026027</v>
      </c>
      <c r="W958" t="s">
        <v>9637</v>
      </c>
      <c r="X958" t="s">
        <v>9638</v>
      </c>
      <c r="Y958" t="s">
        <v>9639</v>
      </c>
    </row>
    <row r="959" spans="1:25" x14ac:dyDescent="0.3">
      <c r="A959">
        <v>47900</v>
      </c>
      <c r="B959" t="s">
        <v>9640</v>
      </c>
      <c r="C959">
        <f>-652.691802579774 -41.8564095483327 -92.8772594157051</f>
        <v>-787.42547154381191</v>
      </c>
      <c r="D959">
        <f>-671.381183298297 -50.9632877136175 -206.824624678338</f>
        <v>-929.16909569025256</v>
      </c>
      <c r="E959">
        <f>-676.836772449041 -56.3951123658494 -305.147525424429</f>
        <v>-1038.3794102393194</v>
      </c>
      <c r="F959">
        <f>-678.075901204197 -60.6499890268992 -394.134077519293</f>
        <v>-1132.8599677503892</v>
      </c>
      <c r="G959">
        <f>-675.258252071733 -64.2846831765726 -483.111968045472</f>
        <v>-1222.6549032937776</v>
      </c>
      <c r="H959">
        <f>-667.054011475955 -68.8112170152151 -607.341727079809</f>
        <v>-1343.2069555709791</v>
      </c>
      <c r="I959">
        <f>-639.408227939817 -68.802117261341 -685.704594031179</f>
        <v>-1393.914939232337</v>
      </c>
      <c r="J959">
        <f>-674.1718129105 -39.3606995715081 -553.906493507874</f>
        <v>-1267.4390059898819</v>
      </c>
      <c r="K959" t="s">
        <v>9641</v>
      </c>
      <c r="L959" t="s">
        <v>9642</v>
      </c>
      <c r="M959" t="s">
        <v>9643</v>
      </c>
      <c r="N959">
        <f>-667.156716110317 -94.2778029391434 -551.442175186236</f>
        <v>-1312.8766942356965</v>
      </c>
      <c r="O959">
        <f>-653.125820841506 -226.092216912577 -515.030322857341</f>
        <v>-1394.248360611424</v>
      </c>
      <c r="P959">
        <f>-643.269892306131 -273.257653846956 -224.738137167318</f>
        <v>-1141.2656833204051</v>
      </c>
      <c r="Q959">
        <f>-486.213534705766 -91.9888825744654 -247.667205278458</f>
        <v>-825.86962255868946</v>
      </c>
      <c r="R959" t="s">
        <v>9644</v>
      </c>
      <c r="S959" t="s">
        <v>9645</v>
      </c>
      <c r="T959" t="s">
        <v>9646</v>
      </c>
      <c r="U959" t="s">
        <v>9647</v>
      </c>
      <c r="V959">
        <f>-627.93535682052 -133.854999495227 -90.6657127280913</f>
        <v>-852.45606904383828</v>
      </c>
      <c r="W959" t="s">
        <v>9648</v>
      </c>
      <c r="X959" t="s">
        <v>9649</v>
      </c>
      <c r="Y959" t="s">
        <v>9650</v>
      </c>
    </row>
    <row r="960" spans="1:25" x14ac:dyDescent="0.3">
      <c r="A960">
        <v>47950</v>
      </c>
      <c r="B960" t="s">
        <v>9651</v>
      </c>
      <c r="C960">
        <f>-653.323059536769 -42.0147841615781 -92.9658192045906</f>
        <v>-788.30366290293773</v>
      </c>
      <c r="D960">
        <f>-671.975746149816 -51.1583269689322 -206.91625957093</f>
        <v>-930.05033268967827</v>
      </c>
      <c r="E960">
        <f>-677.35271736256 -56.6276899525419 -305.241357572682</f>
        <v>-1039.221764887784</v>
      </c>
      <c r="F960">
        <f>-678.501815822423 -60.9198240824198 -394.227335845609</f>
        <v>-1133.6489757504519</v>
      </c>
      <c r="G960">
        <f>-675.575342230683 -64.5955035317547 -483.200208832447</f>
        <v>-1223.3710545948848</v>
      </c>
      <c r="H960">
        <f>-667.199842111039 -69.1845124678241 -607.416099770354</f>
        <v>-1343.800454349217</v>
      </c>
      <c r="I960">
        <f>-639.49301858068 -69.2522525306299 -685.757475534696</f>
        <v>-1394.502746646006</v>
      </c>
      <c r="J960">
        <f>-674.375398631884 -39.7051679076026 -554.004598963609</f>
        <v>-1268.0851655030956</v>
      </c>
      <c r="K960" t="s">
        <v>9652</v>
      </c>
      <c r="L960" t="s">
        <v>9653</v>
      </c>
      <c r="M960" t="s">
        <v>9654</v>
      </c>
      <c r="N960">
        <f>-667.395528114453 -94.6249921393267 -551.505139144985</f>
        <v>-1313.5256593987647</v>
      </c>
      <c r="O960">
        <f>-653.476906107587 -226.411246539336 -514.967869988318</f>
        <v>-1394.8560226352408</v>
      </c>
      <c r="P960">
        <f>-643.577993867077 -273.217979370922 -224.619232101417</f>
        <v>-1141.4152053394162</v>
      </c>
      <c r="Q960">
        <f>-486.35623434288 -92.0958097339744 -247.575059309418</f>
        <v>-826.0271033862723</v>
      </c>
      <c r="R960" t="s">
        <v>9655</v>
      </c>
      <c r="S960" t="s">
        <v>9656</v>
      </c>
      <c r="T960" t="s">
        <v>9657</v>
      </c>
      <c r="U960" t="s">
        <v>9658</v>
      </c>
      <c r="V960">
        <f>-628.659614172484 -134.133494370555 -90.6876718688302</f>
        <v>-853.4807804118692</v>
      </c>
      <c r="W960" t="s">
        <v>9659</v>
      </c>
      <c r="X960" t="s">
        <v>9660</v>
      </c>
      <c r="Y960" t="s">
        <v>9661</v>
      </c>
    </row>
    <row r="961" spans="1:25" x14ac:dyDescent="0.3">
      <c r="A961">
        <v>48000</v>
      </c>
      <c r="B961" t="s">
        <v>9662</v>
      </c>
      <c r="C961">
        <f>-654.642933500767 -42.0819172344216 -93.0687711288044</f>
        <v>-789.79362186399294</v>
      </c>
      <c r="D961">
        <f>-673.313837300351 -51.3052306758511 -207.009846509955</f>
        <v>-931.6289144861571</v>
      </c>
      <c r="E961">
        <f>-678.614076314402 -56.8409812628754 -305.3353941513</f>
        <v>-1040.7904517285774</v>
      </c>
      <c r="F961">
        <f>-679.656778111107 -61.1933421496176 -394.319710122326</f>
        <v>-1135.1698303830506</v>
      </c>
      <c r="G961">
        <f>-676.586904370661 -64.9305941248194 -483.28509444039</f>
        <v>-1224.8025929358705</v>
      </c>
      <c r="H961">
        <f>-667.972456931073 -69.6076232474747 -607.48152797976</f>
        <v>-1345.0616081583078</v>
      </c>
      <c r="I961">
        <f>-640.159906276657 -69.8361342388046 -685.785041541886</f>
        <v>-1395.7810820573477</v>
      </c>
      <c r="J961">
        <f>-675.250999677663 -40.0904273653011 -554.104740047865</f>
        <v>-1269.446167090829</v>
      </c>
      <c r="K961" t="s">
        <v>9663</v>
      </c>
      <c r="L961" t="s">
        <v>9664</v>
      </c>
      <c r="M961" t="s">
        <v>9665</v>
      </c>
      <c r="N961">
        <f>-668.275508018786 -95.0084711579052 -551.552877149485</f>
        <v>-1314.8368563261761</v>
      </c>
      <c r="O961">
        <f>-654.318798627814 -226.748198888031 -514.864981686978</f>
        <v>-1395.931979202823</v>
      </c>
      <c r="P961">
        <f>-643.96042074963 -273.311904666476 -224.493246647674</f>
        <v>-1141.7655720637799</v>
      </c>
      <c r="Q961">
        <f>-486.725205854205 -92.1905249859874 -247.363020474595</f>
        <v>-826.27875131478743</v>
      </c>
      <c r="R961" t="s">
        <v>9666</v>
      </c>
      <c r="S961" t="s">
        <v>9667</v>
      </c>
      <c r="T961" t="s">
        <v>9668</v>
      </c>
      <c r="U961" t="s">
        <v>9669</v>
      </c>
      <c r="V961">
        <f>-629.954250075829 -134.229901466035 -90.7196815954658</f>
        <v>-854.9038331373298</v>
      </c>
      <c r="W961" t="s">
        <v>9670</v>
      </c>
      <c r="X961" t="s">
        <v>9671</v>
      </c>
      <c r="Y961" t="s">
        <v>9672</v>
      </c>
    </row>
    <row r="962" spans="1:25" x14ac:dyDescent="0.3">
      <c r="A962">
        <v>48050</v>
      </c>
      <c r="B962" t="s">
        <v>9673</v>
      </c>
      <c r="C962">
        <f>-655.152932924942 -42.0945572351779 -93.1103885008056</f>
        <v>-790.35787866092551</v>
      </c>
      <c r="D962">
        <f>-673.832741913026 -51.3737541250994 -207.045389952577</f>
        <v>-932.25188599070236</v>
      </c>
      <c r="E962">
        <f>-679.136780063191 -56.9464933000108 -305.368680058047</f>
        <v>-1041.4519534212488</v>
      </c>
      <c r="F962">
        <f>-680.181048562444 -61.3281105650917 -394.351493984895</f>
        <v>-1135.8606531124306</v>
      </c>
      <c r="G962">
        <f>-677.110858569249 -65.090404680363 -483.31591147624</f>
        <v>-1225.5171747258519</v>
      </c>
      <c r="H962">
        <f>-668.493753768542 -69.797363687826 -607.510974128911</f>
        <v>-1345.802091585279</v>
      </c>
      <c r="I962">
        <f>-640.687385676583 -70.1104819536015 -685.816360366115</f>
        <v>-1396.6142279962994</v>
      </c>
      <c r="J962">
        <f>-675.781417039674 -40.2683038090604 -554.142098904942</f>
        <v>-1270.1918197536766</v>
      </c>
      <c r="K962" t="s">
        <v>9674</v>
      </c>
      <c r="L962" t="s">
        <v>9675</v>
      </c>
      <c r="M962" t="s">
        <v>9676</v>
      </c>
      <c r="N962">
        <f>-668.789962863754 -95.1837375125942 -551.575584849652</f>
        <v>-1315.5492852260004</v>
      </c>
      <c r="O962">
        <f>-654.773179356418 -226.917498294511 -514.89738724279</f>
        <v>-1396.5880648937191</v>
      </c>
      <c r="P962">
        <f>-643.939995130909 -273.355281189394 -224.522713655579</f>
        <v>-1141.817989975882</v>
      </c>
      <c r="Q962">
        <f>-486.64449400874 -92.2706044800718 -247.268095800831</f>
        <v>-826.18319428964287</v>
      </c>
      <c r="R962" t="s">
        <v>9677</v>
      </c>
      <c r="S962" t="s">
        <v>9678</v>
      </c>
      <c r="T962" t="s">
        <v>9679</v>
      </c>
      <c r="U962" t="s">
        <v>9680</v>
      </c>
      <c r="V962">
        <f>-630.363761610101 -134.249934228511 -90.7436146305326</f>
        <v>-855.35731046914475</v>
      </c>
      <c r="W962" t="s">
        <v>9681</v>
      </c>
      <c r="X962" t="s">
        <v>9682</v>
      </c>
      <c r="Y962" t="s">
        <v>9683</v>
      </c>
    </row>
    <row r="963" spans="1:25" x14ac:dyDescent="0.3">
      <c r="A963">
        <v>48100</v>
      </c>
      <c r="B963" t="s">
        <v>9684</v>
      </c>
      <c r="C963">
        <f>-656.155785861476 -42.1872273279546 -93.2377842534576</f>
        <v>-791.58079744288818</v>
      </c>
      <c r="D963">
        <f>-674.867782836581 -51.525623241552 -207.162640566501</f>
        <v>-933.55604664463408</v>
      </c>
      <c r="E963">
        <f>-680.210258411151 -57.2175981280925 -305.47703388219</f>
        <v>-1042.9048904214335</v>
      </c>
      <c r="F963">
        <f>-681.295039124047 -61.7335105658799 -394.452710147163</f>
        <v>-1137.48125983709</v>
      </c>
      <c r="G963">
        <f>-678.271860708559 -65.6561273239781 -483.411693289096</f>
        <v>-1227.3396813216332</v>
      </c>
      <c r="H963">
        <f>-669.72784055728 -70.6144558051703 -607.602097677621</f>
        <v>-1347.9443940400715</v>
      </c>
      <c r="I963">
        <f>-641.99825441338 -71.1438359320539 -685.933487896131</f>
        <v>-1399.0755782415649</v>
      </c>
      <c r="J963">
        <f>-676.97243351293 -40.9760065760152 -554.287980872492</f>
        <v>-1272.236420961437</v>
      </c>
      <c r="K963" t="s">
        <v>9685</v>
      </c>
      <c r="L963" t="s">
        <v>9686</v>
      </c>
      <c r="M963" t="s">
        <v>9687</v>
      </c>
      <c r="N963">
        <f>-670.002989294574 -95.8892308307368 -551.616042419017</f>
        <v>-1317.5082625443279</v>
      </c>
      <c r="O963">
        <f>-655.929096028823 -227.580484897046 -514.774833856436</f>
        <v>-1398.2844147823048</v>
      </c>
      <c r="P963">
        <f>-643.57371157418 -273.806339528385 -224.427367160517</f>
        <v>-1141.8074182630821</v>
      </c>
      <c r="Q963">
        <f>-486.35327807834 -92.6636557225634 -247.229089663864</f>
        <v>-826.2460234647674</v>
      </c>
      <c r="R963" t="s">
        <v>9688</v>
      </c>
      <c r="S963" t="s">
        <v>9689</v>
      </c>
      <c r="T963" t="s">
        <v>9690</v>
      </c>
      <c r="U963" t="s">
        <v>9691</v>
      </c>
      <c r="V963">
        <f>-631.366150548684 -134.506675950434 -90.8246243837599</f>
        <v>-856.69745088287789</v>
      </c>
      <c r="W963" t="s">
        <v>9692</v>
      </c>
      <c r="X963" t="s">
        <v>9693</v>
      </c>
      <c r="Y963" t="s">
        <v>9694</v>
      </c>
    </row>
    <row r="964" spans="1:25" x14ac:dyDescent="0.3">
      <c r="A964">
        <v>48150</v>
      </c>
      <c r="B964" t="s">
        <v>9695</v>
      </c>
      <c r="C964">
        <f>-656.763234543267 -42.2103793084882 -93.2988321251927</f>
        <v>-792.27244597694789</v>
      </c>
      <c r="D964">
        <f>-675.50260898469 -51.5639098784632 -207.21808599076</f>
        <v>-934.28460485391315</v>
      </c>
      <c r="E964">
        <f>-680.858492054501 -57.3477622880851 -305.526224628635</f>
        <v>-1043.7324789712211</v>
      </c>
      <c r="F964">
        <f>-681.953184186496 -61.9778812093355 -394.495956365123</f>
        <v>-1138.4270217609544</v>
      </c>
      <c r="G964">
        <f>-678.93814053336 -66.0456829856321 -483.448789529608</f>
        <v>-1228.4326130486002</v>
      </c>
      <c r="H964">
        <f>-670.404413974464 -71.2392299371693 -607.630159684781</f>
        <v>-1349.2738035964144</v>
      </c>
      <c r="I964">
        <f>-642.754435158343 -71.9373623969727 -685.988492790084</f>
        <v>-1400.6802903453997</v>
      </c>
      <c r="J964">
        <f>-677.623930079976 -41.4970590826151 -554.370400744003</f>
        <v>-1273.4913899065941</v>
      </c>
      <c r="K964" t="s">
        <v>9696</v>
      </c>
      <c r="L964" t="s">
        <v>9697</v>
      </c>
      <c r="M964" t="s">
        <v>9698</v>
      </c>
      <c r="N964">
        <f>-670.695172158876 -96.4103780098555 -551.597705017035</f>
        <v>-1318.7032551857665</v>
      </c>
      <c r="O964">
        <f>-656.63634206417 -228.04115169547 -514.569898490478</f>
        <v>-1399.2473922501181</v>
      </c>
      <c r="P964">
        <f>-643.662653360041 -274.012587696387 -224.208828385397</f>
        <v>-1141.884069441825</v>
      </c>
      <c r="Q964">
        <f>-486.36980343108 -92.9740245668515 -247.336152271596</f>
        <v>-826.6799802695275</v>
      </c>
      <c r="R964" t="s">
        <v>9699</v>
      </c>
      <c r="S964" t="s">
        <v>9700</v>
      </c>
      <c r="T964" t="s">
        <v>9701</v>
      </c>
      <c r="U964" t="s">
        <v>9702</v>
      </c>
      <c r="V964">
        <f>-632.048691940369 -134.588978156616 -90.84354491148</f>
        <v>-857.48121500846503</v>
      </c>
      <c r="W964" t="s">
        <v>9703</v>
      </c>
      <c r="X964" t="s">
        <v>9704</v>
      </c>
      <c r="Y964" t="s">
        <v>9705</v>
      </c>
    </row>
    <row r="965" spans="1:25" x14ac:dyDescent="0.3">
      <c r="A965">
        <v>48200</v>
      </c>
      <c r="B965" t="s">
        <v>9706</v>
      </c>
      <c r="C965">
        <f>-657.955948708663 -41.6556027428041 -93.3213431454739</f>
        <v>-792.93289459694097</v>
      </c>
      <c r="D965">
        <f>-676.751655181349 -50.9710212517309 -207.234366330449</f>
        <v>-934.95704276352888</v>
      </c>
      <c r="E965">
        <f>-682.133366572724 -56.9100664669597 -305.532071349422</f>
        <v>-1044.5755043891056</v>
      </c>
      <c r="F965">
        <f>-683.24609331206 -61.7533190964268 -394.490105152263</f>
        <v>-1139.4895175607498</v>
      </c>
      <c r="G965">
        <f>-680.245498537697 -66.1071102032959 -483.42983147316</f>
        <v>-1229.7824402141528</v>
      </c>
      <c r="H965">
        <f>-671.730724467913 -71.7760056025902 -607.591726388474</f>
        <v>-1351.0984564589771</v>
      </c>
      <c r="I965">
        <f>-644.281517205179 -72.8677017958489 -686.016152923322</f>
        <v>-1403.16537192435</v>
      </c>
      <c r="J965">
        <f>-678.901477495777 -41.8249559393048 -554.442624528273</f>
        <v>-1275.1690579633548</v>
      </c>
      <c r="K965" t="s">
        <v>9707</v>
      </c>
      <c r="L965" t="s">
        <v>9708</v>
      </c>
      <c r="M965" t="s">
        <v>9709</v>
      </c>
      <c r="N965">
        <f>-672.053698917483 -96.7378192385609 -551.465877936385</f>
        <v>-1320.2573960924287</v>
      </c>
      <c r="O965">
        <f>-658.018089304665 -228.271298202393 -514.065638679939</f>
        <v>-1400.3550261869968</v>
      </c>
      <c r="P965">
        <f>-644.15475674391 -273.391866114656 -223.612374918244</f>
        <v>-1141.1589977768101</v>
      </c>
      <c r="Q965">
        <f>-486.728938984971 -92.5696686628094 -247.513569433033</f>
        <v>-826.8121770808134</v>
      </c>
      <c r="R965" t="s">
        <v>9710</v>
      </c>
      <c r="S965" t="s">
        <v>9711</v>
      </c>
      <c r="T965" t="s">
        <v>9712</v>
      </c>
      <c r="U965" t="s">
        <v>9713</v>
      </c>
      <c r="V965">
        <f>-633.1391109126 -133.949480717382 -90.8307679146722</f>
        <v>-857.91935954465418</v>
      </c>
      <c r="W965" t="s">
        <v>9714</v>
      </c>
      <c r="X965" t="s">
        <v>9715</v>
      </c>
      <c r="Y965" t="s">
        <v>9716</v>
      </c>
    </row>
    <row r="966" spans="1:25" x14ac:dyDescent="0.3">
      <c r="A966">
        <v>48250</v>
      </c>
      <c r="B966" t="s">
        <v>9717</v>
      </c>
      <c r="C966">
        <f>-658.414080970171 -41.5531081262413 -93.3121744192272</f>
        <v>-793.27936351563949</v>
      </c>
      <c r="D966">
        <f>-677.213957436906 -50.88241458266 -207.223307775499</f>
        <v>-935.31967979506499</v>
      </c>
      <c r="E966">
        <f>-682.594928671636 -56.9091365064239 -305.515599384166</f>
        <v>-1045.0196645622259</v>
      </c>
      <c r="F966">
        <f>-683.706610596893 -61.8626640655762 -394.467678749741</f>
        <v>-1140.0369534122101</v>
      </c>
      <c r="G966">
        <f>-680.705463485653 -66.3585619874134 -483.400411976121</f>
        <v>-1230.4644374491875</v>
      </c>
      <c r="H966">
        <f>-672.190744212147 -72.2591144378518 -607.551518108246</f>
        <v>-1352.001376758245</v>
      </c>
      <c r="I966">
        <f>-644.840574685655 -73.5560266401403 -686.007305301231</f>
        <v>-1404.4039066270263</v>
      </c>
      <c r="J966">
        <f>-679.337311531819 -42.205850651457 -554.456828353388</f>
        <v>-1275.999990536664</v>
      </c>
      <c r="K966" t="s">
        <v>9718</v>
      </c>
      <c r="L966" t="s">
        <v>9719</v>
      </c>
      <c r="M966" t="s">
        <v>9720</v>
      </c>
      <c r="N966">
        <f>-672.537910275088 -97.1191771131803 -551.38063510396</f>
        <v>-1321.0377224922283</v>
      </c>
      <c r="O966">
        <f>-658.51552795103 -228.597560863706 -513.799839627947</f>
        <v>-1400.9129284426831</v>
      </c>
      <c r="P966">
        <f>-644.146408666054 -273.2200952014 -223.294179487036</f>
        <v>-1140.6606833544899</v>
      </c>
      <c r="Q966">
        <f>-486.663572012686 -92.499174375796 -247.584407532163</f>
        <v>-826.74715392064502</v>
      </c>
      <c r="R966" t="s">
        <v>9721</v>
      </c>
      <c r="S966" t="s">
        <v>9722</v>
      </c>
      <c r="T966" t="s">
        <v>9723</v>
      </c>
      <c r="U966" t="s">
        <v>9724</v>
      </c>
      <c r="V966">
        <f>-633.608812036349 -133.898238723117 -90.81750013091</f>
        <v>-858.32455089037603</v>
      </c>
      <c r="W966" t="s">
        <v>9725</v>
      </c>
      <c r="X966" t="s">
        <v>9726</v>
      </c>
      <c r="Y966" t="s">
        <v>9727</v>
      </c>
    </row>
    <row r="967" spans="1:25" x14ac:dyDescent="0.3">
      <c r="A967">
        <v>48300</v>
      </c>
      <c r="B967" t="s">
        <v>9728</v>
      </c>
      <c r="C967">
        <f>-658.963366979697 -41.2605935106071 -93.2782515038953</f>
        <v>-793.50221199419934</v>
      </c>
      <c r="D967">
        <f>-677.70846552188 -50.6774402157275 -207.191238965735</f>
        <v>-935.57714470334258</v>
      </c>
      <c r="E967">
        <f>-683.082543244368 -56.9102051774248 -305.471044072585</f>
        <v>-1045.4637924943779</v>
      </c>
      <c r="F967">
        <f>-684.205485778463 -62.1076735591789 -394.409077417792</f>
        <v>-1140.7222367554339</v>
      </c>
      <c r="G967">
        <f>-681.234660670847 -66.9074323595576 -483.326979783369</f>
        <v>-1231.4690728137734</v>
      </c>
      <c r="H967">
        <f>-672.783636255572 -73.2985848858968 -607.45814111433</f>
        <v>-1353.5403622557988</v>
      </c>
      <c r="I967">
        <f>-645.659185755896 -74.9890189530447 -685.984771365699</f>
        <v>-1406.6329760746398</v>
      </c>
      <c r="J967">
        <f>-679.855659451935 -43.0297583868721 -554.476027730665</f>
        <v>-1277.3614455694722</v>
      </c>
      <c r="K967" t="s">
        <v>9729</v>
      </c>
      <c r="L967" t="s">
        <v>9730</v>
      </c>
      <c r="M967" t="s">
        <v>9731</v>
      </c>
      <c r="N967">
        <f>-673.149265787659 -97.9425477149434 -551.192188599051</f>
        <v>-1322.2840021016534</v>
      </c>
      <c r="O967">
        <f>-659.119179943384 -229.315855470556 -513.218238303894</f>
        <v>-1401.6532737178341</v>
      </c>
      <c r="P967">
        <f>-643.662599794208 -272.730119798093 -222.585316511687</f>
        <v>-1138.978036103988</v>
      </c>
      <c r="Q967">
        <f>-486.002859925041 -92.2616846155013 -247.593743114391</f>
        <v>-825.85828765493329</v>
      </c>
      <c r="R967" t="s">
        <v>9732</v>
      </c>
      <c r="S967" t="s">
        <v>9733</v>
      </c>
      <c r="T967" t="s">
        <v>9734</v>
      </c>
      <c r="U967" t="s">
        <v>9735</v>
      </c>
      <c r="V967">
        <f>-633.928856060313 -133.634614083715 -90.7296694702541</f>
        <v>-858.29313961428215</v>
      </c>
      <c r="W967" t="s">
        <v>9736</v>
      </c>
      <c r="X967" t="s">
        <v>9737</v>
      </c>
      <c r="Y967" t="s">
        <v>9738</v>
      </c>
    </row>
    <row r="968" spans="1:25" x14ac:dyDescent="0.3">
      <c r="A968">
        <v>48350</v>
      </c>
      <c r="B968" t="s">
        <v>9739</v>
      </c>
      <c r="C968">
        <f>-659.306388577885 -41.0318600522558 -93.2787526026652</f>
        <v>-793.61700123280593</v>
      </c>
      <c r="D968">
        <f>-678.049925902066 -50.5186639061417 -207.186115921298</f>
        <v>-935.75470572950564</v>
      </c>
      <c r="E968">
        <f>-683.415900369155 -56.8513707392119 -305.460098939602</f>
        <v>-1045.7273700479689</v>
      </c>
      <c r="F968">
        <f>-684.529027975337 -62.1587527594054 -394.391637848871</f>
        <v>-1141.0794185836135</v>
      </c>
      <c r="G968">
        <f>-681.546216215614 -67.0897238615937 -483.301990810772</f>
        <v>-1231.9379308879797</v>
      </c>
      <c r="H968">
        <f>-673.0767380977 -73.6878426196881 -607.420924863275</f>
        <v>-1354.1855055806632</v>
      </c>
      <c r="I968">
        <f>-646.063901371948 -75.5478353906724 -685.982279156159</f>
        <v>-1407.5940159187794</v>
      </c>
      <c r="J968">
        <f>-680.148743251639 -43.3297512005568 -554.490108089625</f>
        <v>-1277.9686025418207</v>
      </c>
      <c r="K968" t="s">
        <v>9740</v>
      </c>
      <c r="L968" t="s">
        <v>9741</v>
      </c>
      <c r="M968" t="s">
        <v>9742</v>
      </c>
      <c r="N968">
        <f>-673.458770098239 -98.2389424048579 -551.114513697057</f>
        <v>-1322.8122262001539</v>
      </c>
      <c r="O968">
        <f>-659.386967929534 -229.550885576175 -512.950961612125</f>
        <v>-1401.8888151178339</v>
      </c>
      <c r="P968">
        <f>-643.548918519659 -272.3433802086 -222.2462373405</f>
        <v>-1138.1385360687591</v>
      </c>
      <c r="Q968">
        <f>-485.920031076873 -91.9046509592886 -247.660334860626</f>
        <v>-825.48501689678756</v>
      </c>
      <c r="R968" t="s">
        <v>9743</v>
      </c>
      <c r="S968" t="s">
        <v>9744</v>
      </c>
      <c r="T968" t="s">
        <v>9745</v>
      </c>
      <c r="U968" t="s">
        <v>9746</v>
      </c>
      <c r="V968">
        <f>-634.100580416848 -133.50015586295 -90.6990330224975</f>
        <v>-858.29976930229543</v>
      </c>
      <c r="W968" t="s">
        <v>9747</v>
      </c>
      <c r="X968" t="s">
        <v>9748</v>
      </c>
      <c r="Y968" t="s">
        <v>9749</v>
      </c>
    </row>
    <row r="969" spans="1:25" x14ac:dyDescent="0.3">
      <c r="A969">
        <v>48400</v>
      </c>
      <c r="B969" t="s">
        <v>9750</v>
      </c>
      <c r="C969">
        <f>-660.104459183367 -40.4410728480757 -93.2860592532249</f>
        <v>-793.83159128466764</v>
      </c>
      <c r="D969">
        <f>-678.83401195602 -50.0242413219014 -207.187771137823</f>
        <v>-936.04602441574445</v>
      </c>
      <c r="E969">
        <f>-684.127896841037 -56.4790755795302 -305.457626310179</f>
        <v>-1046.0645987307462</v>
      </c>
      <c r="F969">
        <f>-685.151559287822 -61.9184786736994 -394.382348464467</f>
        <v>-1141.4523864259884</v>
      </c>
      <c r="G969">
        <f>-682.055797960843 -67.0047766415696 -483.280027271078</f>
        <v>-1232.3406018734906</v>
      </c>
      <c r="H969">
        <f>-673.404573771091 -73.8466348178201 -607.373337178076</f>
        <v>-1354.624545766987</v>
      </c>
      <c r="I969">
        <f>-646.571937161951 -75.9967441473634 -685.98887862761</f>
        <v>-1408.5575599369245</v>
      </c>
      <c r="J969">
        <f>-680.595498338229 -43.389886034046 -554.515059653878</f>
        <v>-1278.500444026153</v>
      </c>
      <c r="K969" t="s">
        <v>9751</v>
      </c>
      <c r="L969" t="s">
        <v>9752</v>
      </c>
      <c r="M969" t="s">
        <v>9753</v>
      </c>
      <c r="N969">
        <f>-673.827606876965 -98.2817591316991 -551.016886280827</f>
        <v>-1323.126252289491</v>
      </c>
      <c r="O969">
        <f>-659.545571719698 -229.495215480842 -512.591598003261</f>
        <v>-1401.6323852038011</v>
      </c>
      <c r="P969">
        <f>-643.465894183698 -270.991793392473 -221.712402889108</f>
        <v>-1136.1700904652789</v>
      </c>
      <c r="Q969">
        <f>-485.652600939514 -90.8281944110713 -247.921015907152</f>
        <v>-824.40181125773722</v>
      </c>
      <c r="R969" t="s">
        <v>9754</v>
      </c>
      <c r="S969" t="s">
        <v>9755</v>
      </c>
      <c r="T969" t="s">
        <v>9756</v>
      </c>
      <c r="U969" t="s">
        <v>9757</v>
      </c>
      <c r="V969">
        <f>-634.474216201535 -133.095760653782 -90.6898625643702</f>
        <v>-858.25983941968718</v>
      </c>
      <c r="W969" t="s">
        <v>9758</v>
      </c>
      <c r="X969" t="s">
        <v>9759</v>
      </c>
      <c r="Y969" t="s">
        <v>9760</v>
      </c>
    </row>
    <row r="970" spans="1:25" x14ac:dyDescent="0.3">
      <c r="A970">
        <v>48450</v>
      </c>
      <c r="B970" t="s">
        <v>9761</v>
      </c>
      <c r="C970">
        <f>-660.439534619256 -40.1964529576132 -93.2955952428586</f>
        <v>-793.93158281972785</v>
      </c>
      <c r="D970">
        <f>-679.16771956514 -49.8104971538876 -207.194890641974</f>
        <v>-936.1731073610016</v>
      </c>
      <c r="E970">
        <f>-684.429746282357 -56.3185572900898 -305.462971301494</f>
        <v>-1046.2112748739407</v>
      </c>
      <c r="F970">
        <f>-685.412827372251 -61.8188911550694 -394.384325123155</f>
        <v>-1141.6160436504754</v>
      </c>
      <c r="G970">
        <f>-682.264884887424 -66.9785010637213 -483.27592850461</f>
        <v>-1232.5193144557554</v>
      </c>
      <c r="H970">
        <f>-673.529053927357 -73.9366451981191 -607.357015688053</f>
        <v>-1354.8227148135293</v>
      </c>
      <c r="I970">
        <f>-646.771713355274 -76.2401970783842 -685.993915359187</f>
        <v>-1409.0058257928451</v>
      </c>
      <c r="J970">
        <f>-680.794701756588 -43.4353436275846 -554.534602214276</f>
        <v>-1278.7646475984486</v>
      </c>
      <c r="K970" t="s">
        <v>9762</v>
      </c>
      <c r="L970" t="s">
        <v>9763</v>
      </c>
      <c r="M970" t="s">
        <v>9764</v>
      </c>
      <c r="N970">
        <f>-673.951923618851 -98.3140146718529 -550.975467112508</f>
        <v>-1323.241405403212</v>
      </c>
      <c r="O970">
        <f>-659.463931629851 -229.469221755871 -512.43062943467</f>
        <v>-1401.3637828203919</v>
      </c>
      <c r="P970">
        <f>-643.244697768319 -270.477110188096 -221.489922630216</f>
        <v>-1135.2117305866309</v>
      </c>
      <c r="Q970">
        <f>-485.409674194251 -90.3778962559354 -248.009773858684</f>
        <v>-823.79734430887038</v>
      </c>
      <c r="R970" t="s">
        <v>9765</v>
      </c>
      <c r="S970" t="s">
        <v>9766</v>
      </c>
      <c r="T970" t="s">
        <v>9767</v>
      </c>
      <c r="U970" t="s">
        <v>9768</v>
      </c>
      <c r="V970">
        <f>-634.644766038494 -132.998075450181 -90.6972841458708</f>
        <v>-858.34012563454576</v>
      </c>
      <c r="W970" t="s">
        <v>9769</v>
      </c>
      <c r="X970" t="s">
        <v>9770</v>
      </c>
      <c r="Y970" t="s">
        <v>9771</v>
      </c>
    </row>
    <row r="971" spans="1:25" x14ac:dyDescent="0.3">
      <c r="A971">
        <v>48500</v>
      </c>
      <c r="B971" t="s">
        <v>9772</v>
      </c>
      <c r="C971">
        <f>-660.822076203585 -39.7913375922469 -93.3058634317813</f>
        <v>-793.91927722761318</v>
      </c>
      <c r="D971">
        <f>-679.526563184008 -49.411536898358 -207.208463531673</f>
        <v>-936.146563614039</v>
      </c>
      <c r="E971">
        <f>-684.735894759298 -56.0049568612344 -305.473735864046</f>
        <v>-1046.2145874845785</v>
      </c>
      <c r="F971">
        <f>-685.659704483395 -61.6164975821764 -394.388825636133</f>
        <v>-1141.6650277017043</v>
      </c>
      <c r="G971">
        <f>-682.442112440096 -66.9208716171145 -483.26943206022</f>
        <v>-1232.6324161174305</v>
      </c>
      <c r="H971">
        <f>-673.598742376522 -74.1171371205171 -607.329159235409</f>
        <v>-1355.0450387324481</v>
      </c>
      <c r="I971">
        <f>-647.017601365967 -76.7613845170931 -686.015119130294</f>
        <v>-1409.7941050133541</v>
      </c>
      <c r="J971">
        <f>-680.958113810924 -43.5206930257666 -554.574948001403</f>
        <v>-1279.0537548380935</v>
      </c>
      <c r="K971" t="s">
        <v>9773</v>
      </c>
      <c r="L971" t="s">
        <v>9774</v>
      </c>
      <c r="M971" t="s">
        <v>9775</v>
      </c>
      <c r="N971">
        <f>-674.02240812596 -98.3801334335772 -550.898203589985</f>
        <v>-1323.3007451495223</v>
      </c>
      <c r="O971">
        <f>-659.202329689865 -229.432315379292 -512.114814270276</f>
        <v>-1400.7494593394331</v>
      </c>
      <c r="P971">
        <f>-642.283710556663 -269.852914808501 -221.131754452267</f>
        <v>-1133.268379817431</v>
      </c>
      <c r="Q971">
        <f>-484.711427656246 -89.552557893222 -247.845879597485</f>
        <v>-822.10986514695298</v>
      </c>
      <c r="R971" t="s">
        <v>9776</v>
      </c>
      <c r="S971" t="s">
        <v>9777</v>
      </c>
      <c r="T971" t="s">
        <v>9778</v>
      </c>
      <c r="U971" t="s">
        <v>9779</v>
      </c>
      <c r="V971">
        <f>-634.883763814939 -132.679695331487 -90.7040362017477</f>
        <v>-858.26749534817372</v>
      </c>
      <c r="W971" t="s">
        <v>9780</v>
      </c>
      <c r="X971" t="s">
        <v>9781</v>
      </c>
      <c r="Y971" t="s">
        <v>9782</v>
      </c>
    </row>
    <row r="972" spans="1:25" x14ac:dyDescent="0.3">
      <c r="A972">
        <v>48550</v>
      </c>
      <c r="B972" t="s">
        <v>9783</v>
      </c>
      <c r="C972">
        <f>-660.754798460956 -39.6480295571178 -93.3334609945773</f>
        <v>-793.73628901265101</v>
      </c>
      <c r="D972">
        <f>-679.465040099374 -49.2521985905692 -207.236495709096</f>
        <v>-935.95373439903915</v>
      </c>
      <c r="E972">
        <f>-684.642116021067 -55.8775643313681 -305.501259998939</f>
        <v>-1046.0209403513741</v>
      </c>
      <c r="F972">
        <f>-685.522595380271 -61.5372013314268 -394.413757357295</f>
        <v>-1141.4735540689928</v>
      </c>
      <c r="G972">
        <f>-682.248104755391 -66.9095874102118 -483.288093852252</f>
        <v>-1232.4457860178547</v>
      </c>
      <c r="H972">
        <f>-673.31161586271 -74.222102319641 -607.334430454736</f>
        <v>-1354.868148637087</v>
      </c>
      <c r="I972">
        <f>-646.814030453063 -77.0674352419439 -686.04151870302</f>
        <v>-1409.922984398027</v>
      </c>
      <c r="J972">
        <f>-680.69895657979 -43.5748100173644 -554.613594315666</f>
        <v>-1278.8873609128204</v>
      </c>
      <c r="K972" t="s">
        <v>9784</v>
      </c>
      <c r="L972" t="s">
        <v>9785</v>
      </c>
      <c r="M972" t="s">
        <v>9786</v>
      </c>
      <c r="N972">
        <f>-673.789275315461 -98.4336621230302 -550.881950835964</f>
        <v>-1323.1048882744553</v>
      </c>
      <c r="O972">
        <f>-659.020751871553 -229.434423841584 -511.941379092441</f>
        <v>-1400.396554805578</v>
      </c>
      <c r="P972">
        <f>-641.87083954377 -269.516748067221 -220.925175906926</f>
        <v>-1132.3127635179169</v>
      </c>
      <c r="Q972">
        <f>-484.264931800319 -89.2448506482626 -247.632083815414</f>
        <v>-821.14186626399567</v>
      </c>
      <c r="R972" t="s">
        <v>9787</v>
      </c>
      <c r="S972" t="s">
        <v>9788</v>
      </c>
      <c r="T972" t="s">
        <v>9789</v>
      </c>
      <c r="U972" t="s">
        <v>9790</v>
      </c>
      <c r="V972">
        <f>-634.686370741474 -132.643202096082 -90.7878822570115</f>
        <v>-858.1174550945675</v>
      </c>
      <c r="W972" t="s">
        <v>9791</v>
      </c>
      <c r="X972" t="s">
        <v>9792</v>
      </c>
      <c r="Y972" t="s">
        <v>9793</v>
      </c>
    </row>
    <row r="973" spans="1:25" x14ac:dyDescent="0.3">
      <c r="A973">
        <v>48600</v>
      </c>
      <c r="B973" t="s">
        <v>9794</v>
      </c>
      <c r="C973">
        <f>-661.399429860159 -38.4071586314722 -93.3215572059663</f>
        <v>-793.12814569759746</v>
      </c>
      <c r="D973">
        <f>-680.338305101188 -48.0703751986832 -207.181805958533</f>
        <v>-935.59048625840421</v>
      </c>
      <c r="E973">
        <f>-685.625390595794 -54.7176221428663 -305.439259724859</f>
        <v>-1045.7822724635193</v>
      </c>
      <c r="F973">
        <f>-686.568852942578 -60.393591578928 -394.350135039933</f>
        <v>-1141.312579561439</v>
      </c>
      <c r="G973">
        <f>-683.320585910681 -65.7849395142405 -483.22431412836</f>
        <v>-1232.3298395532815</v>
      </c>
      <c r="H973">
        <f>-674.382472333493 -73.1317971633453 -607.268402945386</f>
        <v>-1354.7826724422243</v>
      </c>
      <c r="I973">
        <f>-648.159675976682 -76.3585402273429 -686.052857072896</f>
        <v>-1410.571073276921</v>
      </c>
      <c r="J973">
        <f>-681.665136289832 -42.4564138548749 -554.549466612148</f>
        <v>-1278.6710167568549</v>
      </c>
      <c r="K973" t="s">
        <v>9795</v>
      </c>
      <c r="L973" t="s">
        <v>9796</v>
      </c>
      <c r="M973" t="s">
        <v>9797</v>
      </c>
      <c r="N973">
        <f>-674.966236776599 -97.341291790694 -550.816053786598</f>
        <v>-1323.1235823538909</v>
      </c>
      <c r="O973">
        <f>-660.687010719583 -228.370670451233 -511.67197081488</f>
        <v>-1400.7296519856959</v>
      </c>
      <c r="P973">
        <f>-644.120673537697 -267.185354389583 -220.450061312078</f>
        <v>-1131.7560892393581</v>
      </c>
      <c r="Q973">
        <f>-485.859869798307 -87.5273272291286 -247.419003793484</f>
        <v>-820.80620082091957</v>
      </c>
      <c r="R973" t="s">
        <v>9798</v>
      </c>
      <c r="S973" t="s">
        <v>9799</v>
      </c>
      <c r="T973" t="s">
        <v>9800</v>
      </c>
      <c r="U973" t="s">
        <v>9801</v>
      </c>
      <c r="V973">
        <f>-635.319386733943 -131.226615741051 -90.7135353940394</f>
        <v>-857.25953786903335</v>
      </c>
      <c r="W973" t="s">
        <v>9802</v>
      </c>
      <c r="X973" t="s">
        <v>9803</v>
      </c>
      <c r="Y973" t="s">
        <v>9804</v>
      </c>
    </row>
    <row r="974" spans="1:25" x14ac:dyDescent="0.3">
      <c r="A974">
        <v>48650</v>
      </c>
      <c r="B974" t="s">
        <v>9805</v>
      </c>
      <c r="C974">
        <f>-661.998423067234 -37.9470593356928 -93.2623144772401</f>
        <v>-793.20779688016682</v>
      </c>
      <c r="D974">
        <f>-681.031001713535 -47.656893365094 -207.102939411083</f>
        <v>-935.7908344897121</v>
      </c>
      <c r="E974">
        <f>-686.417759288314 -54.2290699334544 -305.360087014067</f>
        <v>-1046.0069162358354</v>
      </c>
      <c r="F974">
        <f>-687.455978032552 -59.7965107944735 -394.276654147931</f>
        <v>-1141.5291429749566</v>
      </c>
      <c r="G974">
        <f>-684.305688131801 -65.0411462471382 -483.163209363797</f>
        <v>-1232.5100437427363</v>
      </c>
      <c r="H974">
        <f>-675.506347689475 -72.1459565453108 -607.231205890069</f>
        <v>-1354.8835101248546</v>
      </c>
      <c r="I974">
        <f>-649.472885577947 -75.4287625496738 -686.076219219684</f>
        <v>-1410.9778673473047</v>
      </c>
      <c r="J974">
        <f>-682.692842145471 -41.568852727373 -554.442121303889</f>
        <v>-1278.7038161767332</v>
      </c>
      <c r="K974" t="s">
        <v>9806</v>
      </c>
      <c r="L974" t="s">
        <v>9807</v>
      </c>
      <c r="M974" t="s">
        <v>9808</v>
      </c>
      <c r="N974">
        <f>-676.064320103944 -96.4703652085921 -550.828024387963</f>
        <v>-1323.3627097004992</v>
      </c>
      <c r="O974">
        <f>-662.063942108494 -227.536502177723 -511.775199508712</f>
        <v>-1401.3756437949289</v>
      </c>
      <c r="P974">
        <f>-646.095826724919 -266.024700074283 -220.476578332739</f>
        <v>-1132.5971051319411</v>
      </c>
      <c r="Q974">
        <f>-487.184773752093 -86.9517057932878 -247.513462415517</f>
        <v>-821.64994196089776</v>
      </c>
      <c r="R974" t="s">
        <v>9809</v>
      </c>
      <c r="S974" t="s">
        <v>9810</v>
      </c>
      <c r="T974" t="s">
        <v>9811</v>
      </c>
      <c r="U974" t="s">
        <v>9812</v>
      </c>
      <c r="V974">
        <f>-635.312135417738 -130.608947701104 -90.7021708295866</f>
        <v>-856.62325394842867</v>
      </c>
      <c r="W974" t="s">
        <v>9813</v>
      </c>
      <c r="X974" t="s">
        <v>9814</v>
      </c>
      <c r="Y974" t="s">
        <v>9815</v>
      </c>
    </row>
    <row r="975" spans="1:25" x14ac:dyDescent="0.3">
      <c r="A975">
        <v>48700</v>
      </c>
      <c r="B975" t="s">
        <v>9816</v>
      </c>
      <c r="C975">
        <f>-662.495104294411 -37.154544294898 -93.2109130781135</f>
        <v>-792.86056166742253</v>
      </c>
      <c r="D975">
        <f>-681.522399878622 -47.0907062361302 -207.032879705175</f>
        <v>-935.6459858199272</v>
      </c>
      <c r="E975">
        <f>-687.136773833491 -53.5187884247152 -305.286813300829</f>
        <v>-1045.9423755590353</v>
      </c>
      <c r="F975">
        <f>-688.46542189234 -58.8254247798918 -394.215482478472</f>
        <v>-1141.5063291507038</v>
      </c>
      <c r="G975">
        <f>-685.685877054614 -63.6788370338284 -483.136631904573</f>
        <v>-1232.5013459930153</v>
      </c>
      <c r="H975">
        <f>-677.48383440877 -70.101730301026 -607.282876746589</f>
        <v>-1354.868441456385</v>
      </c>
      <c r="I975">
        <f>-651.944315531171 -73.2790264019138 -686.293423413896</f>
        <v>-1411.5167653469807</v>
      </c>
      <c r="J975">
        <f>-684.47200179216 -39.8222882795139 -554.295766503627</f>
        <v>-1278.5900565753009</v>
      </c>
      <c r="K975" t="s">
        <v>9817</v>
      </c>
      <c r="L975" t="s">
        <v>9818</v>
      </c>
      <c r="M975" t="s">
        <v>9819</v>
      </c>
      <c r="N975">
        <f>-677.71438922221 -94.7285942959431 -551.008621569682</f>
        <v>-1323.4516050878351</v>
      </c>
      <c r="O975">
        <f>-663.552502513906 -225.977380839974 -512.619447569951</f>
        <v>-1402.149330923831</v>
      </c>
      <c r="P975">
        <f>-648.585444923507 -265.048202230977 -221.345299066305</f>
        <v>-1134.9789462207889</v>
      </c>
      <c r="Q975">
        <f>-488.906731726343 -86.6129606955524 -248.074056599444</f>
        <v>-823.59374902133948</v>
      </c>
      <c r="R975" t="s">
        <v>9820</v>
      </c>
      <c r="S975" t="s">
        <v>9821</v>
      </c>
      <c r="T975" t="s">
        <v>9822</v>
      </c>
      <c r="U975" t="s">
        <v>9823</v>
      </c>
      <c r="V975">
        <f>-635.037625339354 -129.718552326837 -90.6648335968833</f>
        <v>-855.42101126307432</v>
      </c>
      <c r="W975" t="s">
        <v>9824</v>
      </c>
      <c r="X975" t="s">
        <v>9825</v>
      </c>
      <c r="Y975" t="s">
        <v>9826</v>
      </c>
    </row>
    <row r="976" spans="1:25" x14ac:dyDescent="0.3">
      <c r="A976">
        <v>48750</v>
      </c>
      <c r="B976" t="s">
        <v>9827</v>
      </c>
      <c r="C976">
        <f>-662.374333462918 -37.2294272815454 -93.1593620697988</f>
        <v>-792.76312281426226</v>
      </c>
      <c r="D976">
        <f>-681.461260973312 -47.2096577652403 -206.967600528891</f>
        <v>-935.63851926744337</v>
      </c>
      <c r="E976">
        <f>-687.249831128562 -53.5594653572973 -305.216380683739</f>
        <v>-1046.0256771695983</v>
      </c>
      <c r="F976">
        <f>-688.783047021228 -58.7467307545219 -394.148757637868</f>
        <v>-1141.6785354136177</v>
      </c>
      <c r="G976">
        <f>-686.253504745482 -63.4295599636389 -483.08647300361</f>
        <v>-1232.7695377127309</v>
      </c>
      <c r="H976">
        <f>-678.446673162936 -69.5578534482941 -607.273017586952</f>
        <v>-1355.2775441981821</v>
      </c>
      <c r="I976">
        <f>-653.122465932356 -72.5948388159463 -686.358395054739</f>
        <v>-1412.0756998030415</v>
      </c>
      <c r="J976">
        <f>-685.355768586411 -39.415577869873 -554.197473525496</f>
        <v>-1278.9688199817801</v>
      </c>
      <c r="K976" t="s">
        <v>9828</v>
      </c>
      <c r="L976" t="s">
        <v>9829</v>
      </c>
      <c r="M976" t="s">
        <v>9830</v>
      </c>
      <c r="N976">
        <f>-678.408460560069 -94.3064820942157 -551.05197665003</f>
        <v>-1323.7669193043148</v>
      </c>
      <c r="O976">
        <f>-663.897349691646 -225.604030005901 -513.055875519783</f>
        <v>-1402.5572552173298</v>
      </c>
      <c r="P976">
        <f>-648.749826937211 -265.591062372384 -221.9153381045</f>
        <v>-1136.2562274140951</v>
      </c>
      <c r="Q976">
        <f>-489.102276102471 -87.1118926533982 -248.536804073771</f>
        <v>-824.7509728296402</v>
      </c>
      <c r="R976" t="s">
        <v>9831</v>
      </c>
      <c r="S976" t="s">
        <v>9832</v>
      </c>
      <c r="T976" t="s">
        <v>9833</v>
      </c>
      <c r="U976" t="s">
        <v>9834</v>
      </c>
      <c r="V976">
        <f>-634.823215134069 -129.86970514056 -90.6255056982553</f>
        <v>-855.31842597288426</v>
      </c>
      <c r="W976" t="s">
        <v>9835</v>
      </c>
      <c r="X976" t="s">
        <v>9836</v>
      </c>
      <c r="Y976" t="s">
        <v>9837</v>
      </c>
    </row>
    <row r="977" spans="1:25" x14ac:dyDescent="0.3">
      <c r="A977">
        <v>48800</v>
      </c>
      <c r="B977" t="s">
        <v>9838</v>
      </c>
      <c r="C977">
        <f>-661.396418654178 -38.1240485813023 -92.9822512709811</f>
        <v>-792.50271850646141</v>
      </c>
      <c r="D977">
        <f>-680.570931717201 -48.0511392205851 -206.78047930633</f>
        <v>-935.40255024411613</v>
      </c>
      <c r="E977">
        <f>-686.731599997933 -54.4023232625109 -305.006449335172</f>
        <v>-1046.1403725956159</v>
      </c>
      <c r="F977">
        <f>-688.722148409936 -59.6028957898372 -393.929118883303</f>
        <v>-1142.2541630830763</v>
      </c>
      <c r="G977">
        <f>-686.770764849415 -64.3039889332936 -482.880396811569</f>
        <v>-1233.9551505942775</v>
      </c>
      <c r="H977">
        <f>-679.898623599276 -70.4585647366234 -607.120876735246</f>
        <v>-1357.4780650711455</v>
      </c>
      <c r="I977">
        <f>-654.963807582578 -73.3500627226049 -686.335241735433</f>
        <v>-1414.6491120406158</v>
      </c>
      <c r="J977">
        <f>-686.533894786161 -40.321748629503 -554.007239022987</f>
        <v>-1280.862882438651</v>
      </c>
      <c r="K977" t="s">
        <v>9839</v>
      </c>
      <c r="L977" t="s">
        <v>9840</v>
      </c>
      <c r="M977" t="s">
        <v>9841</v>
      </c>
      <c r="N977">
        <f>-679.311685052107 -95.1788458436806 -550.890378191201</f>
        <v>-1325.3809090869886</v>
      </c>
      <c r="O977">
        <f>-664.009072113965 -226.487456081863 -513.194128034427</f>
        <v>-1403.6906562302549</v>
      </c>
      <c r="P977">
        <f>-647.553951155585 -267.247324253094 -222.231797171138</f>
        <v>-1137.0330725798169</v>
      </c>
      <c r="Q977">
        <f>-488.047145874643 -88.7852045195521 -249.794466352357</f>
        <v>-826.62681674655209</v>
      </c>
      <c r="R977" t="s">
        <v>9842</v>
      </c>
      <c r="S977" t="s">
        <v>9843</v>
      </c>
      <c r="T977" t="s">
        <v>9844</v>
      </c>
      <c r="U977" t="s">
        <v>9845</v>
      </c>
      <c r="V977">
        <f>-633.971124425392 -131.07895823082 -90.4640525602071</f>
        <v>-855.51413521641905</v>
      </c>
      <c r="W977" t="s">
        <v>9846</v>
      </c>
      <c r="X977" t="s">
        <v>9847</v>
      </c>
      <c r="Y977" t="s">
        <v>9848</v>
      </c>
    </row>
    <row r="978" spans="1:25" x14ac:dyDescent="0.3">
      <c r="A978">
        <v>48850</v>
      </c>
      <c r="B978" t="s">
        <v>9849</v>
      </c>
      <c r="C978">
        <f>-660.753340652298 -38.5394944466409 -92.8704440030756</f>
        <v>-792.16327910201449</v>
      </c>
      <c r="D978">
        <f>-679.950883008536 -48.4424939919929 -206.666744918357</f>
        <v>-935.06012191888601</v>
      </c>
      <c r="E978">
        <f>-686.295818798985 -54.7776963205142 -304.882267810689</f>
        <v>-1045.9557829301882</v>
      </c>
      <c r="F978">
        <f>-688.519587532955 -59.9601115999008 -393.800408031127</f>
        <v>-1142.2801071639828</v>
      </c>
      <c r="G978">
        <f>-686.868129353757 -64.636064179173 -482.75904710297</f>
        <v>-1234.2632406359</v>
      </c>
      <c r="H978">
        <f>-680.484615878827 -70.7444285411707 -607.027933044591</f>
        <v>-1358.2569774645885</v>
      </c>
      <c r="I978">
        <f>-655.715344182417 -73.5315032120745 -686.298076219076</f>
        <v>-1415.5449236135676</v>
      </c>
      <c r="J978">
        <f>-686.965123625383 -40.6347205638242 -553.879943410542</f>
        <v>-1281.4797875997492</v>
      </c>
      <c r="K978" t="s">
        <v>9850</v>
      </c>
      <c r="L978" t="s">
        <v>9851</v>
      </c>
      <c r="M978" t="s">
        <v>9852</v>
      </c>
      <c r="N978">
        <f>-679.622410873919 -95.4782679780262 -550.806844185506</f>
        <v>-1325.907523037451</v>
      </c>
      <c r="O978">
        <f>-664.117312003657 -226.768204389429 -513.080249099304</f>
        <v>-1403.9657654923899</v>
      </c>
      <c r="P978">
        <f>-646.89988348436 -267.169409036236 -222.112013688658</f>
        <v>-1136.181306209254</v>
      </c>
      <c r="Q978">
        <f>-487.15159536698 -89.0712279921252 -250.613687263574</f>
        <v>-826.83651062267916</v>
      </c>
      <c r="R978" t="s">
        <v>9853</v>
      </c>
      <c r="S978" t="s">
        <v>9854</v>
      </c>
      <c r="T978" t="s">
        <v>9855</v>
      </c>
      <c r="U978" t="s">
        <v>9856</v>
      </c>
      <c r="V978">
        <f>-633.369419236266 -131.584168779565 -90.4236885918145</f>
        <v>-855.37727660764551</v>
      </c>
      <c r="W978" t="s">
        <v>9857</v>
      </c>
      <c r="X978" t="s">
        <v>9858</v>
      </c>
      <c r="Y978" t="s">
        <v>9859</v>
      </c>
    </row>
    <row r="979" spans="1:25" x14ac:dyDescent="0.3">
      <c r="A979">
        <v>48900</v>
      </c>
      <c r="B979" t="s">
        <v>9860</v>
      </c>
      <c r="C979">
        <f>-659.556700044534 -38.9219609667509 -92.6713874450434</f>
        <v>-791.15004845632825</v>
      </c>
      <c r="D979">
        <f>-678.890634777681 -48.8724782076438 -206.440502939036</f>
        <v>-934.20361592436086</v>
      </c>
      <c r="E979">
        <f>-685.549038849797 -55.0198224928724 -304.647092697398</f>
        <v>-1045.2159540400673</v>
      </c>
      <c r="F979">
        <f>-688.131195488809 -59.9320943979619 -393.570911961787</f>
        <v>-1141.634201848558</v>
      </c>
      <c r="G979">
        <f>-686.910958890192 -64.230023701859 -482.555600747188</f>
        <v>-1233.6965833392389</v>
      </c>
      <c r="H979">
        <f>-681.20338052403 -69.6911023854543 -606.887534584049</f>
        <v>-1357.7820174935332</v>
      </c>
      <c r="I979">
        <f>-656.637225577203 -72.1525096833516 -686.231472766767</f>
        <v>-1415.0212080273216</v>
      </c>
      <c r="J979">
        <f>-687.58313769798 -39.8850103828333 -553.556413728739</f>
        <v>-1281.0245618095523</v>
      </c>
      <c r="K979" t="s">
        <v>9861</v>
      </c>
      <c r="L979" t="s">
        <v>9862</v>
      </c>
      <c r="M979" t="s">
        <v>9863</v>
      </c>
      <c r="N979">
        <f>-679.847113383232 -94.690955286673 -550.793898512146</f>
        <v>-1325.3319671820509</v>
      </c>
      <c r="O979">
        <f>-663.761199962433 -225.972158366461 -513.297596776259</f>
        <v>-1403.030955105153</v>
      </c>
      <c r="P979">
        <f>-646.226615866827 -265.043140112044 -222.166553266677</f>
        <v>-1133.436309245548</v>
      </c>
      <c r="Q979">
        <f>-485.342188154933 -88.1898145536011 -251.999292484197</f>
        <v>-825.53129519273114</v>
      </c>
      <c r="R979" t="s">
        <v>9864</v>
      </c>
      <c r="S979" t="s">
        <v>9865</v>
      </c>
      <c r="T979" t="s">
        <v>9866</v>
      </c>
      <c r="U979" t="s">
        <v>9867</v>
      </c>
      <c r="V979">
        <f>-632.279832078393 -131.864494790593 -90.3055516254076</f>
        <v>-854.4498784943936</v>
      </c>
      <c r="W979" t="s">
        <v>9868</v>
      </c>
      <c r="X979" t="s">
        <v>9869</v>
      </c>
      <c r="Y979" t="s">
        <v>9870</v>
      </c>
    </row>
    <row r="980" spans="1:25" x14ac:dyDescent="0.3">
      <c r="A980">
        <v>48950</v>
      </c>
      <c r="B980" t="s">
        <v>9871</v>
      </c>
      <c r="C980">
        <f>-659.055415468904 -39.146846219792 -92.6405280389887</f>
        <v>-790.8427897276847</v>
      </c>
      <c r="D980">
        <f>-678.450102411889 -49.1367753246921 -206.395806627582</f>
        <v>-933.98268436416311</v>
      </c>
      <c r="E980">
        <f>-685.223361879448 -55.173754412687 -304.60144385512</f>
        <v>-1044.9985601472549</v>
      </c>
      <c r="F980">
        <f>-687.932400402766 -59.9252804158739 -393.530251866193</f>
        <v>-1141.3879326848328</v>
      </c>
      <c r="G980">
        <f>-686.860819602745 -63.9975253095845 -482.527473819747</f>
        <v>-1233.3858187320766</v>
      </c>
      <c r="H980">
        <f>-681.382072870567 -69.0723331240322 -606.886010754942</f>
        <v>-1357.3404167495412</v>
      </c>
      <c r="I980">
        <f>-656.857696418874 -71.3783377094055 -686.247555461446</f>
        <v>-1414.4835895897254</v>
      </c>
      <c r="J980">
        <f>-687.785174645572 -39.4496376227937 -553.455517575718</f>
        <v>-1280.6903298440839</v>
      </c>
      <c r="K980" t="s">
        <v>9872</v>
      </c>
      <c r="L980" t="s">
        <v>9873</v>
      </c>
      <c r="M980" t="s">
        <v>9874</v>
      </c>
      <c r="N980">
        <f>-679.800937098014 -94.228588401917 -550.868256544915</f>
        <v>-1324.8977820448458</v>
      </c>
      <c r="O980">
        <f>-663.211849284783 -225.524506198507 -513.723587583232</f>
        <v>-1402.4599430665221</v>
      </c>
      <c r="P980">
        <f>-645.814278822379 -264.608546945519 -222.586215866953</f>
        <v>-1133.0090416348512</v>
      </c>
      <c r="Q980">
        <f>-484.59970971852 -88.0267804820551 -252.24474410754</f>
        <v>-824.87123430811505</v>
      </c>
      <c r="R980" t="s">
        <v>9875</v>
      </c>
      <c r="S980" t="s">
        <v>9876</v>
      </c>
      <c r="T980" t="s">
        <v>9877</v>
      </c>
      <c r="U980" t="s">
        <v>9878</v>
      </c>
      <c r="V980">
        <f>-631.760883474719 -132.129787966014 -90.2737120919458</f>
        <v>-854.1643835326787</v>
      </c>
      <c r="W980" t="s">
        <v>9879</v>
      </c>
      <c r="X980" t="s">
        <v>9880</v>
      </c>
      <c r="Y980" t="s">
        <v>9881</v>
      </c>
    </row>
    <row r="981" spans="1:25" x14ac:dyDescent="0.3">
      <c r="A981">
        <v>49000</v>
      </c>
      <c r="B981" t="s">
        <v>9882</v>
      </c>
      <c r="C981">
        <f>-658.036214728439 -39.9695867679668 -92.7206903607763</f>
        <v>-790.72649185718205</v>
      </c>
      <c r="D981">
        <f>-677.410938737573 -49.9837730753632 -206.477296143526</f>
        <v>-933.8720079564622</v>
      </c>
      <c r="E981">
        <f>-684.35631919523 -55.9050109625825 -304.677911817624</f>
        <v>-1044.9392419754365</v>
      </c>
      <c r="F981">
        <f>-687.294974775358 -60.4932191002542 -393.607937178712</f>
        <v>-1141.3961310543243</v>
      </c>
      <c r="G981">
        <f>-686.525833057418 -64.3379744469469 -482.618471856513</f>
        <v>-1233.4822793608778</v>
      </c>
      <c r="H981">
        <f>-681.544615436075 -69.0244499083981 -607.013089157819</f>
        <v>-1357.582154502292</v>
      </c>
      <c r="I981">
        <f>-656.996033602347 -71.115121753772 -686.373283357031</f>
        <v>-1414.48443871315</v>
      </c>
      <c r="J981">
        <f>-687.875007527855 -39.5900160985282 -553.470088984217</f>
        <v>-1280.9351126106003</v>
      </c>
      <c r="K981" t="s">
        <v>9883</v>
      </c>
      <c r="L981" t="s">
        <v>9884</v>
      </c>
      <c r="M981" t="s">
        <v>9885</v>
      </c>
      <c r="N981">
        <f>-679.598160772826 -94.3341747377456 -551.076196086692</f>
        <v>-1325.0085315972635</v>
      </c>
      <c r="O981">
        <f>-662.22555651652 -225.706886095293 -514.60104732076</f>
        <v>-1402.533489932573</v>
      </c>
      <c r="P981">
        <f>-643.866010673268 -266.147370169999 -223.708049227963</f>
        <v>-1133.7214300712299</v>
      </c>
      <c r="Q981">
        <f>-483.257756245424 -88.6990833924165 -251.419710416752</f>
        <v>-823.37655005459249</v>
      </c>
      <c r="R981" t="s">
        <v>9886</v>
      </c>
      <c r="S981" t="s">
        <v>9887</v>
      </c>
      <c r="T981" t="s">
        <v>9888</v>
      </c>
      <c r="U981" t="s">
        <v>9889</v>
      </c>
      <c r="V981">
        <f>-630.717867388267 -132.957362251292 -90.3841564192476</f>
        <v>-854.05938605880658</v>
      </c>
      <c r="W981" t="s">
        <v>9890</v>
      </c>
      <c r="X981" t="s">
        <v>9891</v>
      </c>
      <c r="Y981" t="s">
        <v>9892</v>
      </c>
    </row>
    <row r="982" spans="1:25" x14ac:dyDescent="0.3">
      <c r="A982">
        <v>49050</v>
      </c>
      <c r="B982" t="s">
        <v>9893</v>
      </c>
      <c r="C982">
        <f>-657.61124507012 -40.3348720196582 -92.8059790980381</f>
        <v>-790.75209618781628</v>
      </c>
      <c r="D982">
        <f>-676.910968076997 -50.3124894864072 -206.578621896655</f>
        <v>-933.8020794600593</v>
      </c>
      <c r="E982">
        <f>-683.924829614836 -56.2363994193397 -304.774091455985</f>
        <v>-1044.9353204901606</v>
      </c>
      <c r="F982">
        <f>-686.979634047831 -60.838340601214 -393.699600853094</f>
        <v>-1141.5175755021392</v>
      </c>
      <c r="G982">
        <f>-686.381413623946 -64.7076570351358 -482.710283490492</f>
        <v>-1233.7993541495737</v>
      </c>
      <c r="H982">
        <f>-681.696075516634 -69.4384464902691 -607.114861928397</f>
        <v>-1358.2493839353001</v>
      </c>
      <c r="I982">
        <f>-657.143810634471 -71.4904519525126 -686.474784761438</f>
        <v>-1415.1090473484214</v>
      </c>
      <c r="J982">
        <f>-687.872724016262 -39.9810182398376 -553.566554615519</f>
        <v>-1281.4202968716186</v>
      </c>
      <c r="K982" t="s">
        <v>9894</v>
      </c>
      <c r="L982" t="s">
        <v>9895</v>
      </c>
      <c r="M982" t="s">
        <v>9896</v>
      </c>
      <c r="N982">
        <f>-679.643071669877 -94.7323917938338 -551.174501931117</f>
        <v>-1325.5499653948277</v>
      </c>
      <c r="O982">
        <f>-662.23222414877 -226.136308256084 -514.773847295378</f>
        <v>-1403.1423797002321</v>
      </c>
      <c r="P982">
        <f>-642.802029673771 -267.382285196882 -224.063663207885</f>
        <v>-1134.2479780785379</v>
      </c>
      <c r="Q982">
        <f>-482.751572968032 -89.2624707423956 -250.672596603113</f>
        <v>-822.68664031354058</v>
      </c>
      <c r="R982" t="s">
        <v>9897</v>
      </c>
      <c r="S982" t="s">
        <v>9898</v>
      </c>
      <c r="T982" t="s">
        <v>9899</v>
      </c>
      <c r="U982" t="s">
        <v>9900</v>
      </c>
      <c r="V982">
        <f>-630.435284709338 -133.332651955853 -90.4301981188676</f>
        <v>-854.19813478405854</v>
      </c>
      <c r="W982" t="s">
        <v>9901</v>
      </c>
      <c r="X982" t="s">
        <v>9902</v>
      </c>
      <c r="Y982" t="s">
        <v>9903</v>
      </c>
    </row>
    <row r="983" spans="1:25" x14ac:dyDescent="0.3">
      <c r="A983">
        <v>49100</v>
      </c>
      <c r="B983" t="s">
        <v>9904</v>
      </c>
      <c r="C983">
        <f>-656.69338622753 -41.0800599001634 -92.8996439780947</f>
        <v>-790.67309010578811</v>
      </c>
      <c r="D983">
        <f>-675.76947195648 -50.845081960126 -206.72829890865</f>
        <v>-933.34285282525593</v>
      </c>
      <c r="E983">
        <f>-682.813229019704 -56.7567455811304 -304.922411897899</f>
        <v>-1044.4923864987334</v>
      </c>
      <c r="F983">
        <f>-685.988405990285 -61.408752114145 -393.84114898164</f>
        <v>-1141.2383070860701</v>
      </c>
      <c r="G983">
        <f>-685.605718540238 -65.3878825242812 -482.848217343629</f>
        <v>-1233.8418184081481</v>
      </c>
      <c r="H983">
        <f>-681.322796475786 -70.3323465697956 -607.258931780028</f>
        <v>-1358.9140748256095</v>
      </c>
      <c r="I983">
        <f>-656.78191121349 -72.3645423037137 -686.622850377203</f>
        <v>-1415.7693038944067</v>
      </c>
      <c r="J983">
        <f>-687.194744967086 -40.7631839328776 -553.737805594827</f>
        <v>-1281.6957344947905</v>
      </c>
      <c r="K983" t="s">
        <v>9905</v>
      </c>
      <c r="L983" t="s">
        <v>9906</v>
      </c>
      <c r="M983" t="s">
        <v>9907</v>
      </c>
      <c r="N983">
        <f>-679.220338878834 -95.5497159199981 -551.286003584347</f>
        <v>-1326.0560583831791</v>
      </c>
      <c r="O983">
        <f>-662.122996111526 -226.98109810386 -514.742134708128</f>
        <v>-1403.846228923514</v>
      </c>
      <c r="P983">
        <f>-642.139894356417 -268.28278860776 -224.077401241672</f>
        <v>-1134.5000842058491</v>
      </c>
      <c r="Q983">
        <f>-482.493039616154 -89.6664462530575 -249.766650440364</f>
        <v>-821.92613630957544</v>
      </c>
      <c r="R983" t="s">
        <v>9908</v>
      </c>
      <c r="S983" t="s">
        <v>9909</v>
      </c>
      <c r="T983" t="s">
        <v>9910</v>
      </c>
      <c r="U983" t="s">
        <v>9911</v>
      </c>
      <c r="V983">
        <f>-630.057254497657 -134.338566214752 -90.5205666598795</f>
        <v>-854.91638737228845</v>
      </c>
      <c r="W983" t="s">
        <v>9912</v>
      </c>
      <c r="X983" t="s">
        <v>9913</v>
      </c>
      <c r="Y983" t="s">
        <v>9914</v>
      </c>
    </row>
    <row r="984" spans="1:25" x14ac:dyDescent="0.3">
      <c r="A984">
        <v>49150</v>
      </c>
      <c r="B984" t="s">
        <v>9915</v>
      </c>
      <c r="C984">
        <f>-656.22782279636 -41.345684234499 -92.9003249462612</f>
        <v>-790.4738319771202</v>
      </c>
      <c r="D984">
        <f>-675.191966338085 -50.9727045710513 -206.759535851759</f>
        <v>-932.92420676089523</v>
      </c>
      <c r="E984">
        <f>-682.239944582274 -56.8676416524067 -304.954398398858</f>
        <v>-1044.0619846335387</v>
      </c>
      <c r="F984">
        <f>-685.462637570691 -61.5388465612816 -393.87015121229</f>
        <v>-1140.8716353442626</v>
      </c>
      <c r="G984">
        <f>-685.171828137654 -65.5699395902282 -482.875428591865</f>
        <v>-1233.6171963197471</v>
      </c>
      <c r="H984">
        <f>-681.065027364542 -70.6188712629726 -607.287701845707</f>
        <v>-1358.9716004732215</v>
      </c>
      <c r="I984">
        <f>-656.554168970041 -72.6609490632743 -686.660837566293</f>
        <v>-1415.8759555996085</v>
      </c>
      <c r="J984">
        <f>-686.812016399013 -40.9976452423857 -553.781987528556</f>
        <v>-1281.5916491699547</v>
      </c>
      <c r="K984" t="s">
        <v>9916</v>
      </c>
      <c r="L984" t="s">
        <v>9917</v>
      </c>
      <c r="M984" t="s">
        <v>9918</v>
      </c>
      <c r="N984">
        <f>-678.932457213605 -95.7964544458705 -551.297981226985</f>
        <v>-1326.0268928864605</v>
      </c>
      <c r="O984">
        <f>-662.017947741705 -227.1922746316 -514.586701813338</f>
        <v>-1403.7969241866431</v>
      </c>
      <c r="P984">
        <f>-642.668868916395 -267.626180337395 -223.756909258994</f>
        <v>-1134.051958512784</v>
      </c>
      <c r="Q984">
        <f>-482.818478852621 -89.2132783184691 -249.595532355568</f>
        <v>-821.62728952665816</v>
      </c>
      <c r="R984" t="s">
        <v>9919</v>
      </c>
      <c r="S984" t="s">
        <v>9920</v>
      </c>
      <c r="T984" t="s">
        <v>9921</v>
      </c>
      <c r="U984" t="s">
        <v>9922</v>
      </c>
      <c r="V984">
        <f>-629.991816020039 -134.562343259341 -90.5589319451342</f>
        <v>-855.11309122451416</v>
      </c>
      <c r="W984" t="s">
        <v>9923</v>
      </c>
      <c r="X984" t="s">
        <v>9924</v>
      </c>
      <c r="Y984" t="s">
        <v>9925</v>
      </c>
    </row>
    <row r="985" spans="1:25" x14ac:dyDescent="0.3">
      <c r="A985">
        <v>49200</v>
      </c>
      <c r="B985" t="s">
        <v>9926</v>
      </c>
      <c r="C985">
        <f>-655.576779825586 -41.7019208123979 -92.8414964196534</f>
        <v>-790.12019705763726</v>
      </c>
      <c r="D985">
        <f>-674.412993709546 -51.1190119924754 -206.739442544943</f>
        <v>-932.27144824696438</v>
      </c>
      <c r="E985">
        <f>-681.563723112267 -57.08307708597 -304.922673724212</f>
        <v>-1043.5694739224491</v>
      </c>
      <c r="F985">
        <f>-684.971593459969 -61.9048806344906 -393.823636652422</f>
        <v>-1140.7001107468816</v>
      </c>
      <c r="G985">
        <f>-684.96100674262 -66.1702933864553 -482.818289340372</f>
        <v>-1233.9495894694473</v>
      </c>
      <c r="H985">
        <f>-681.347832932475 -71.6292122564721 -607.228719033082</f>
        <v>-1360.2057642220291</v>
      </c>
      <c r="I985">
        <f>-656.886011111218 -73.801324772237 -686.613461316331</f>
        <v>-1417.3007971997858</v>
      </c>
      <c r="J985">
        <f>-686.820672655045 -41.8229394138675 -553.79709252293</f>
        <v>-1282.4407045918424</v>
      </c>
      <c r="K985" t="s">
        <v>9927</v>
      </c>
      <c r="L985" t="s">
        <v>9928</v>
      </c>
      <c r="M985" t="s">
        <v>9929</v>
      </c>
      <c r="N985">
        <f>-679.054777743587 -96.6310292002884 -551.166546900121</f>
        <v>-1326.8523538439963</v>
      </c>
      <c r="O985">
        <f>-662.25711314527 -227.917848678639 -514.057612086211</f>
        <v>-1404.2325739101198</v>
      </c>
      <c r="P985">
        <f>-643.785375315557 -266.714282530857 -222.948056741283</f>
        <v>-1133.447714587697</v>
      </c>
      <c r="Q985">
        <f>-483.573319105684 -88.6908682653063 -249.228072911369</f>
        <v>-821.49226028235921</v>
      </c>
      <c r="R985" t="s">
        <v>9930</v>
      </c>
      <c r="S985" t="s">
        <v>9931</v>
      </c>
      <c r="T985" t="s">
        <v>9932</v>
      </c>
      <c r="U985" t="s">
        <v>9933</v>
      </c>
      <c r="V985">
        <f>-629.977390285411 -134.825283878553 -90.55271160245</f>
        <v>-855.35538576641409</v>
      </c>
      <c r="W985" t="s">
        <v>9934</v>
      </c>
      <c r="X985" t="s">
        <v>9935</v>
      </c>
      <c r="Y985" t="s">
        <v>9936</v>
      </c>
    </row>
    <row r="986" spans="1:25" x14ac:dyDescent="0.3">
      <c r="A986">
        <v>49250</v>
      </c>
      <c r="B986" t="s">
        <v>9937</v>
      </c>
      <c r="C986">
        <f>-655.300607106418 -41.8816962330252 -92.8182285638993</f>
        <v>-790.00053190334256</v>
      </c>
      <c r="D986">
        <f>-674.049774169918 -51.1957445973901 -206.738898276265</f>
        <v>-931.9844170435731</v>
      </c>
      <c r="E986">
        <f>-681.245008123863 -57.1923821984867 -304.916969022726</f>
        <v>-1043.3543593450759</v>
      </c>
      <c r="F986">
        <f>-684.743673264087 -62.0875750756441 -393.810401955969</f>
        <v>-1140.6416502956999</v>
      </c>
      <c r="G986">
        <f>-684.876019062741 -66.469054253987 -482.799303869533</f>
        <v>-1234.144377186261</v>
      </c>
      <c r="H986">
        <f>-681.518257864564 -72.1327491074735 -607.20778353225</f>
        <v>-1360.8587905042875</v>
      </c>
      <c r="I986">
        <f>-657.009564799345 -74.3757544641919 -686.576060687</f>
        <v>-1417.9613799505369</v>
      </c>
      <c r="J986">
        <f>-686.863081232355 -42.2359423908158 -553.813752195799</f>
        <v>-1282.9127758189697</v>
      </c>
      <c r="K986" t="s">
        <v>9938</v>
      </c>
      <c r="L986" t="s">
        <v>9939</v>
      </c>
      <c r="M986" t="s">
        <v>9940</v>
      </c>
      <c r="N986">
        <f>-679.128536998295 -97.0449715645184 -551.109879105136</f>
        <v>-1327.2833876679492</v>
      </c>
      <c r="O986">
        <f>-662.282099666204 -228.292524597076 -513.865298040138</f>
        <v>-1404.4399223034179</v>
      </c>
      <c r="P986">
        <f>-643.407908211132 -266.801841457832 -222.743336944521</f>
        <v>-1132.9530866134851</v>
      </c>
      <c r="Q986">
        <f>-483.298977412814 -88.6887594827797 -249.044542158086</f>
        <v>-821.03227905367964</v>
      </c>
      <c r="R986" t="s">
        <v>9941</v>
      </c>
      <c r="S986" t="s">
        <v>9942</v>
      </c>
      <c r="T986" t="s">
        <v>9943</v>
      </c>
      <c r="U986" t="s">
        <v>9944</v>
      </c>
      <c r="V986">
        <f>-629.827117630745 -134.94076264017 -90.5698051492869</f>
        <v>-855.33768542020186</v>
      </c>
      <c r="W986" t="s">
        <v>9945</v>
      </c>
      <c r="X986" t="s">
        <v>9946</v>
      </c>
      <c r="Y986" t="s">
        <v>9947</v>
      </c>
    </row>
    <row r="987" spans="1:25" x14ac:dyDescent="0.3">
      <c r="A987">
        <v>49300</v>
      </c>
      <c r="B987" t="s">
        <v>9948</v>
      </c>
      <c r="C987">
        <f>-654.874143503767 -42.1856957625757 -92.7955302139981</f>
        <v>-789.85536948034076</v>
      </c>
      <c r="D987">
        <f>-673.439236553475 -51.3561750488664 -206.758148230453</f>
        <v>-931.55355983279435</v>
      </c>
      <c r="E987">
        <f>-680.683248391656 -57.3396094851807 -304.933370701174</f>
        <v>-1042.9562285780107</v>
      </c>
      <c r="F987">
        <f>-684.311860483412 -62.2618169669756 -393.820137305713</f>
        <v>-1140.3938147561007</v>
      </c>
      <c r="G987">
        <f>-684.660924481091 -66.7067173667579 -482.805294267087</f>
        <v>-1234.172936114936</v>
      </c>
      <c r="H987">
        <f>-681.69805489283 -72.4947062145604 -607.218078487657</f>
        <v>-1361.4108395950475</v>
      </c>
      <c r="I987">
        <f>-657.014192181049 -74.8006230972198 -686.530094477864</f>
        <v>-1418.3449097561329</v>
      </c>
      <c r="J987">
        <f>-686.841122574055 -42.5399730677248 -553.836665266529</f>
        <v>-1283.2177609083087</v>
      </c>
      <c r="K987" t="s">
        <v>9949</v>
      </c>
      <c r="L987" t="s">
        <v>9950</v>
      </c>
      <c r="M987" t="s">
        <v>9951</v>
      </c>
      <c r="N987">
        <f>-679.162632827228 -97.3554444273377 -551.103674188996</f>
        <v>-1327.6217514435616</v>
      </c>
      <c r="O987">
        <f>-662.317149410328 -228.601803045643 -513.824145138666</f>
        <v>-1404.7430975946372</v>
      </c>
      <c r="P987">
        <f>-641.889352743196 -267.419661824171 -222.848027592145</f>
        <v>-1132.157042159512</v>
      </c>
      <c r="Q987">
        <f>-482.259668986152 -88.8633426130934 -249.056436320781</f>
        <v>-820.1794479200264</v>
      </c>
      <c r="R987" t="s">
        <v>9952</v>
      </c>
      <c r="S987" t="s">
        <v>9953</v>
      </c>
      <c r="T987" t="s">
        <v>9954</v>
      </c>
      <c r="U987" t="s">
        <v>9955</v>
      </c>
      <c r="V987">
        <f>-629.639075933453 -135.112913465671 -90.5246447400856</f>
        <v>-855.27663413920959</v>
      </c>
      <c r="W987" t="s">
        <v>9956</v>
      </c>
      <c r="X987" t="s">
        <v>9957</v>
      </c>
      <c r="Y987" t="s">
        <v>9958</v>
      </c>
    </row>
    <row r="988" spans="1:25" x14ac:dyDescent="0.3">
      <c r="A988">
        <v>49350</v>
      </c>
      <c r="B988" t="s">
        <v>9959</v>
      </c>
      <c r="C988">
        <f>-654.84458783743 -42.2417987631825 -92.79519336422</f>
        <v>-789.88157996483255</v>
      </c>
      <c r="D988">
        <f>-673.300013365886 -51.3823766368732 -206.778012583593</f>
        <v>-931.4604025863523</v>
      </c>
      <c r="E988">
        <f>-680.541230972542 -57.3598494858913 -304.95384477067</f>
        <v>-1042.8549252291034</v>
      </c>
      <c r="F988">
        <f>-684.204746880843 -62.2829271655244 -393.839126143548</f>
        <v>-1140.3268001899155</v>
      </c>
      <c r="G988">
        <f>-684.625939835532 -66.7347973629369 -482.823547490725</f>
        <v>-1234.1842846891939</v>
      </c>
      <c r="H988">
        <f>-681.803410644111 -72.5379679290061 -607.238876844788</f>
        <v>-1361.5802554179049</v>
      </c>
      <c r="I988">
        <f>-657.018997972093 -74.8648805502285 -686.51907211731</f>
        <v>-1418.4029506396314</v>
      </c>
      <c r="J988">
        <f>-686.873623113675 -42.5749042406148 -553.855203304783</f>
        <v>-1283.3037306590727</v>
      </c>
      <c r="K988" t="s">
        <v>9960</v>
      </c>
      <c r="L988" t="s">
        <v>9961</v>
      </c>
      <c r="M988" t="s">
        <v>9962</v>
      </c>
      <c r="N988">
        <f>-679.217265943079 -97.3936171163973 -551.12453643773</f>
        <v>-1327.7354194972063</v>
      </c>
      <c r="O988">
        <f>-662.377274012645 -228.635832330049 -513.883403715964</f>
        <v>-1404.8965100586579</v>
      </c>
      <c r="P988">
        <f>-641.428227973773 -267.67791754514 -222.97439666855</f>
        <v>-1132.0805421874632</v>
      </c>
      <c r="Q988">
        <f>-481.770486986765 -89.1642205822463 -249.302849362482</f>
        <v>-820.23755693149326</v>
      </c>
      <c r="R988" t="s">
        <v>9963</v>
      </c>
      <c r="S988" t="s">
        <v>9964</v>
      </c>
      <c r="T988" t="s">
        <v>9965</v>
      </c>
      <c r="U988" t="s">
        <v>9966</v>
      </c>
      <c r="V988">
        <f>-629.624834670815 -135.241008981521 -90.5292239592917</f>
        <v>-855.39506761162761</v>
      </c>
      <c r="W988" t="s">
        <v>9967</v>
      </c>
      <c r="X988" t="s">
        <v>9968</v>
      </c>
      <c r="Y988" t="s">
        <v>9969</v>
      </c>
    </row>
    <row r="989" spans="1:25" x14ac:dyDescent="0.3">
      <c r="A989">
        <v>49400</v>
      </c>
      <c r="B989" t="s">
        <v>9970</v>
      </c>
      <c r="C989">
        <f>-655.136070084814 -41.9542927431721 -92.8701617592805</f>
        <v>-789.96052458726672</v>
      </c>
      <c r="D989">
        <f>-673.288279393089 -51.0254687644083 -206.907117404504</f>
        <v>-931.22086556200134</v>
      </c>
      <c r="E989">
        <f>-680.483853608773 -57.032973957356 -305.084422234842</f>
        <v>-1042.6012498009709</v>
      </c>
      <c r="F989">
        <f>-684.193523647192 -62.0170510839007 -393.964402476014</f>
        <v>-1140.1749772071066</v>
      </c>
      <c r="G989">
        <f>-684.749771631471 -66.5628407677955 -482.943522419908</f>
        <v>-1234.2561348191746</v>
      </c>
      <c r="H989">
        <f>-682.209540052786 -72.530780127048 -607.357061160345</f>
        <v>-1362.097381340179</v>
      </c>
      <c r="I989">
        <f>-657.202062304227 -74.9022855073408 -686.565766330353</f>
        <v>-1418.6701141419207</v>
      </c>
      <c r="J989">
        <f>-687.118864097683 -42.4915019889579 -554.001152096094</f>
        <v>-1283.6115181827349</v>
      </c>
      <c r="K989" t="s">
        <v>9971</v>
      </c>
      <c r="L989" t="s">
        <v>9972</v>
      </c>
      <c r="M989" t="s">
        <v>9973</v>
      </c>
      <c r="N989">
        <f>-679.535898433843 -97.3176552378854 -551.216423025139</f>
        <v>-1328.0699766968673</v>
      </c>
      <c r="O989">
        <f>-662.804275564048 -228.571172529377 -513.965607377725</f>
        <v>-1405.34105547115</v>
      </c>
      <c r="P989">
        <f>-641.360698306321 -267.434503976584 -223.068591939635</f>
        <v>-1131.86379422254</v>
      </c>
      <c r="Q989">
        <f>-481.203023913195 -89.4333525799518 -249.827313792372</f>
        <v>-820.46369028551885</v>
      </c>
      <c r="R989" t="s">
        <v>9974</v>
      </c>
      <c r="S989" t="s">
        <v>9975</v>
      </c>
      <c r="T989" t="s">
        <v>9976</v>
      </c>
      <c r="U989" t="s">
        <v>9977</v>
      </c>
      <c r="V989">
        <f>-629.784783702603 -134.778150896852 -90.6243709390733</f>
        <v>-855.18730553852834</v>
      </c>
      <c r="W989" t="s">
        <v>9978</v>
      </c>
      <c r="X989" t="s">
        <v>9979</v>
      </c>
      <c r="Y989" t="s">
        <v>9980</v>
      </c>
    </row>
    <row r="990" spans="1:25" x14ac:dyDescent="0.3">
      <c r="A990">
        <v>49450</v>
      </c>
      <c r="B990" t="s">
        <v>9981</v>
      </c>
      <c r="C990">
        <f>-655.375099532785 -41.6391138787044 -92.8905799391774</f>
        <v>-789.90479335066686</v>
      </c>
      <c r="D990">
        <f>-673.391561894547 -50.7022114600813 -206.949764765827</f>
        <v>-931.04353812045531</v>
      </c>
      <c r="E990">
        <f>-680.546211356122 -56.7515184612994 -305.127479134166</f>
        <v>-1042.4252089515874</v>
      </c>
      <c r="F990">
        <f>-684.250540500278 -61.7928721627065 -394.004415034462</f>
        <v>-1140.0478276974466</v>
      </c>
      <c r="G990">
        <f>-684.832974931164 -66.4154459982326 -482.97940149566</f>
        <v>-1234.2278224250567</v>
      </c>
      <c r="H990">
        <f>-682.363140393242 -72.5114281228668 -607.388087669455</f>
        <v>-1362.2626561855639</v>
      </c>
      <c r="I990">
        <f>-657.213677059188 -74.906480487374 -686.551207240018</f>
        <v>-1418.6713647865799</v>
      </c>
      <c r="J990">
        <f>-687.211879925002 -42.4129817797414 -554.059931874229</f>
        <v>-1283.6847935789724</v>
      </c>
      <c r="K990" t="s">
        <v>9982</v>
      </c>
      <c r="L990" t="s">
        <v>9983</v>
      </c>
      <c r="M990" t="s">
        <v>9984</v>
      </c>
      <c r="N990">
        <f>-679.687960325573 -97.2446568613125 -551.223887961365</f>
        <v>-1328.1565051482505</v>
      </c>
      <c r="O990">
        <f>-663.084783245717 -228.508199432395 -513.897596469346</f>
        <v>-1405.490579147458</v>
      </c>
      <c r="P990">
        <f>-641.436138666939 -267.094517680909 -222.978954378101</f>
        <v>-1131.509610725949</v>
      </c>
      <c r="Q990">
        <f>-480.946820020628 -89.4291221590988 -249.980298870774</f>
        <v>-820.35624105050078</v>
      </c>
      <c r="R990" t="s">
        <v>9985</v>
      </c>
      <c r="S990" t="s">
        <v>9986</v>
      </c>
      <c r="T990" t="s">
        <v>9987</v>
      </c>
      <c r="U990" t="s">
        <v>9988</v>
      </c>
      <c r="V990">
        <f>-630.014320246506 -134.371753692393 -90.6447818612007</f>
        <v>-855.03085580009974</v>
      </c>
      <c r="W990" t="s">
        <v>9989</v>
      </c>
      <c r="X990" t="s">
        <v>9990</v>
      </c>
      <c r="Y990" t="s">
        <v>9991</v>
      </c>
    </row>
    <row r="991" spans="1:25" x14ac:dyDescent="0.3">
      <c r="A991">
        <v>49500</v>
      </c>
      <c r="B991" t="s">
        <v>9992</v>
      </c>
      <c r="C991">
        <f>-655.850676968943 -40.9394499299115 -92.8974569360964</f>
        <v>-789.68758383495094</v>
      </c>
      <c r="D991">
        <f>-673.741735192487 -49.991665999358 -206.977233977232</f>
        <v>-930.71063516907702</v>
      </c>
      <c r="E991">
        <f>-680.784363238963 -56.1439543360013 -305.156593012249</f>
        <v>-1042.0849105872135</v>
      </c>
      <c r="F991">
        <f>-684.387258088828 -61.3242593070288 -394.029649192944</f>
        <v>-1139.7411665888008</v>
      </c>
      <c r="G991">
        <f>-684.869556546135 -66.1330018763999 -482.995403726099</f>
        <v>-1233.9979621486339</v>
      </c>
      <c r="H991">
        <f>-682.261796001623 -72.5393426390781 -607.385815830166</f>
        <v>-1362.186954470867</v>
      </c>
      <c r="I991">
        <f>-656.742328228177 -75.0399642908185 -686.42708708003</f>
        <v>-1418.2093795990254</v>
      </c>
      <c r="J991">
        <f>-687.09356710399 -42.2976677703143 -554.137257434524</f>
        <v>-1283.5284923088284</v>
      </c>
      <c r="K991" t="s">
        <v>9993</v>
      </c>
      <c r="L991" t="s">
        <v>9994</v>
      </c>
      <c r="M991" t="s">
        <v>9995</v>
      </c>
      <c r="N991">
        <f>-679.725101173162 -97.1428669702559 -551.15811980881</f>
        <v>-1328.026087952228</v>
      </c>
      <c r="O991">
        <f>-663.465330356699 -228.361998081919 -513.556024279613</f>
        <v>-1405.383352718231</v>
      </c>
      <c r="P991">
        <f>-641.725880160346 -266.233092327343 -222.550129394586</f>
        <v>-1130.509101882275</v>
      </c>
      <c r="Q991">
        <f>-480.503982784671 -89.2865338150077 -249.90431883742</f>
        <v>-819.69483543709862</v>
      </c>
      <c r="R991" t="s">
        <v>9996</v>
      </c>
      <c r="S991" t="s">
        <v>9997</v>
      </c>
      <c r="T991" t="s">
        <v>9998</v>
      </c>
      <c r="U991" t="s">
        <v>9999</v>
      </c>
      <c r="V991">
        <f>-630.560693792213 -133.591955639272 -90.6474147914785</f>
        <v>-854.80006422296344</v>
      </c>
      <c r="W991" t="s">
        <v>10000</v>
      </c>
      <c r="X991" t="s">
        <v>10001</v>
      </c>
      <c r="Y991" t="s">
        <v>10002</v>
      </c>
    </row>
    <row r="992" spans="1:25" x14ac:dyDescent="0.3">
      <c r="A992">
        <v>49550</v>
      </c>
      <c r="B992" t="s">
        <v>10003</v>
      </c>
      <c r="C992">
        <f>-655.888282848309 -40.8657862131313 -92.9132138321703</f>
        <v>-789.6672828936106</v>
      </c>
      <c r="D992">
        <f>-673.800258441107 -49.9133640612915 -206.990051755756</f>
        <v>-930.70367425815448</v>
      </c>
      <c r="E992">
        <f>-680.813217116529 -56.1543266678698 -305.165961335544</f>
        <v>-1042.1335051199428</v>
      </c>
      <c r="F992">
        <f>-684.372170214375 -61.4513299913674 -394.034038650946</f>
        <v>-1139.8575388566885</v>
      </c>
      <c r="G992">
        <f>-684.793812798493 -66.4151780344239 -482.991528401252</f>
        <v>-1234.200519234169</v>
      </c>
      <c r="H992">
        <f>-682.085416156342 -73.0787380284492 -607.366104307069</f>
        <v>-1362.5302584918602</v>
      </c>
      <c r="I992">
        <f>-656.351010295555 -75.6937809705137 -686.334141171052</f>
        <v>-1418.3789324371207</v>
      </c>
      <c r="J992">
        <f>-686.912429757582 -42.72057742637 -554.183479120957</f>
        <v>-1283.8164863049092</v>
      </c>
      <c r="K992" t="s">
        <v>10004</v>
      </c>
      <c r="L992" t="s">
        <v>10005</v>
      </c>
      <c r="M992" t="s">
        <v>10006</v>
      </c>
      <c r="N992">
        <f>-679.642073187247 -97.5722669719137 -551.086515483657</f>
        <v>-1328.3008556428176</v>
      </c>
      <c r="O992">
        <f>-663.56330915777 -228.744849043799 -513.268591175278</f>
        <v>-1405.5767493768471</v>
      </c>
      <c r="P992">
        <f>-641.763461763361 -266.243636144611 -222.219036216676</f>
        <v>-1130.2261341246478</v>
      </c>
      <c r="Q992">
        <f>-480.293037364342 -89.5468611976264 -249.721574164537</f>
        <v>-819.56147272650537</v>
      </c>
      <c r="R992" t="s">
        <v>10007</v>
      </c>
      <c r="S992" t="s">
        <v>10008</v>
      </c>
      <c r="T992" t="s">
        <v>10009</v>
      </c>
      <c r="U992" t="s">
        <v>10010</v>
      </c>
      <c r="V992">
        <f>-630.726335110579 -133.573029924457 -90.6623098733766</f>
        <v>-854.96167490841265</v>
      </c>
      <c r="W992" t="s">
        <v>10011</v>
      </c>
      <c r="X992" t="s">
        <v>10012</v>
      </c>
      <c r="Y992" t="s">
        <v>10013</v>
      </c>
    </row>
    <row r="993" spans="1:25" x14ac:dyDescent="0.3">
      <c r="A993">
        <v>49600</v>
      </c>
      <c r="B993" t="s">
        <v>10014</v>
      </c>
      <c r="C993">
        <f>-655.854988564344 -40.2981223521178 -92.9682494740201</f>
        <v>-789.12136039048198</v>
      </c>
      <c r="D993">
        <f>-673.868960511249 -49.4179315635038 -207.023204518096</f>
        <v>-930.31009659284882</v>
      </c>
      <c r="E993">
        <f>-680.944237357874 -55.8837009357485 -305.180207850631</f>
        <v>-1042.0081461442535</v>
      </c>
      <c r="F993">
        <f>-684.552785823101 -61.4493905213108 -394.029851920191</f>
        <v>-1140.0320282646028</v>
      </c>
      <c r="G993">
        <f>-685.018694833396 -66.7484533813326 -482.967592703404</f>
        <v>-1234.7347409181327</v>
      </c>
      <c r="H993">
        <f>-682.367638275221 -73.9517309449918 -607.313427199048</f>
        <v>-1363.6327964192608</v>
      </c>
      <c r="I993">
        <f>-656.223105428454 -76.8641135669118 -686.13617629392</f>
        <v>-1419.2233952892857</v>
      </c>
      <c r="J993">
        <f>-687.065050537692 -43.3492544678954 -554.259444075375</f>
        <v>-1284.6737490809624</v>
      </c>
      <c r="K993" t="s">
        <v>10015</v>
      </c>
      <c r="L993" t="s">
        <v>10016</v>
      </c>
      <c r="M993" t="s">
        <v>10017</v>
      </c>
      <c r="N993">
        <f>-680.003395465854 -98.2147409813138 -550.930648649154</f>
        <v>-1329.1487850963217</v>
      </c>
      <c r="O993">
        <f>-664.223075983025 -229.302034867181 -512.657317160571</f>
        <v>-1406.1824280107769</v>
      </c>
      <c r="P993">
        <f>-642.364676428899 -265.838369382404 -221.489863070382</f>
        <v>-1129.6929088816848</v>
      </c>
      <c r="Q993">
        <f>-480.498489851681 -89.5550901980255 -249.318205121019</f>
        <v>-819.3717851707255</v>
      </c>
      <c r="R993" t="s">
        <v>10018</v>
      </c>
      <c r="S993" t="s">
        <v>10019</v>
      </c>
      <c r="T993" t="s">
        <v>10020</v>
      </c>
      <c r="U993" t="s">
        <v>10021</v>
      </c>
      <c r="V993">
        <f>-630.905219271472 -133.008901134929 -90.6359866647941</f>
        <v>-854.55010707119516</v>
      </c>
      <c r="W993" t="s">
        <v>10022</v>
      </c>
      <c r="X993" t="s">
        <v>10023</v>
      </c>
      <c r="Y993" t="s">
        <v>10024</v>
      </c>
    </row>
    <row r="994" spans="1:25" x14ac:dyDescent="0.3">
      <c r="A994">
        <v>49650</v>
      </c>
      <c r="B994" t="s">
        <v>10025</v>
      </c>
      <c r="C994">
        <f>-655.778930898775 -39.88770889582 -93.0111660523686</f>
        <v>-788.67780584696357</v>
      </c>
      <c r="D994">
        <f>-673.894180612885 -49.0836210126618 -207.044046632095</f>
        <v>-930.02184825764175</v>
      </c>
      <c r="E994">
        <f>-681.070431421989 -55.6576428450546 -305.186448502628</f>
        <v>-1041.9145227696717</v>
      </c>
      <c r="F994">
        <f>-684.776357755974 -61.3386645146475 -394.024742828667</f>
        <v>-1140.1397650992885</v>
      </c>
      <c r="G994">
        <f>-685.346571009349 -66.7720765378808 -482.953848667251</f>
        <v>-1235.0724962144809</v>
      </c>
      <c r="H994">
        <f>-682.848776345739 -74.1834466177297 -607.290713988697</f>
        <v>-1364.3229369521657</v>
      </c>
      <c r="I994">
        <f>-656.494282300928 -77.2051807322625 -686.039201108514</f>
        <v>-1419.7386641417047</v>
      </c>
      <c r="J994">
        <f>-687.429075672386 -43.4854915110329 -554.281518809323</f>
        <v>-1285.1960859927419</v>
      </c>
      <c r="K994" t="s">
        <v>10026</v>
      </c>
      <c r="L994" t="s">
        <v>10027</v>
      </c>
      <c r="M994" t="s">
        <v>10028</v>
      </c>
      <c r="N994">
        <f>-680.46681151994 -98.3585894982243 -550.870868663346</f>
        <v>-1329.6962696815103</v>
      </c>
      <c r="O994">
        <f>-664.81158567996 -229.412218628083 -512.400208605608</f>
        <v>-1406.6240129136509</v>
      </c>
      <c r="P994">
        <f>-642.746055220415 -265.393731323915 -221.179372644239</f>
        <v>-1129.3191591885691</v>
      </c>
      <c r="Q994">
        <f>-480.720259071294 -89.2911559914651 -249.221720048179</f>
        <v>-819.23313511093806</v>
      </c>
      <c r="R994" t="s">
        <v>10029</v>
      </c>
      <c r="S994" t="s">
        <v>10030</v>
      </c>
      <c r="T994" t="s">
        <v>10031</v>
      </c>
      <c r="U994" t="s">
        <v>10032</v>
      </c>
      <c r="V994">
        <f>-630.918489191898 -132.528795038401 -90.6229904700458</f>
        <v>-854.07027470034473</v>
      </c>
      <c r="W994" t="s">
        <v>10033</v>
      </c>
      <c r="X994" t="s">
        <v>10034</v>
      </c>
      <c r="Y994" t="s">
        <v>10035</v>
      </c>
    </row>
    <row r="995" spans="1:25" x14ac:dyDescent="0.3">
      <c r="A995">
        <v>49700</v>
      </c>
      <c r="B995" t="s">
        <v>10036</v>
      </c>
      <c r="C995">
        <f>-655.934826722971 -39.0974250483719 -93.0925774191934</f>
        <v>-788.12482919053627</v>
      </c>
      <c r="D995">
        <f>-674.324213205417 -48.4720691609848 -207.066919615094</f>
        <v>-929.86320198149576</v>
      </c>
      <c r="E995">
        <f>-681.744858938426 -55.1842506668518 -305.181891931334</f>
        <v>-1042.1110015366116</v>
      </c>
      <c r="F995">
        <f>-685.674992181364 -60.9863489512791 -394.002798382139</f>
        <v>-1140.6641395147822</v>
      </c>
      <c r="G995">
        <f>-686.472116434264 -66.5382196788009 -482.92279408564</f>
        <v>-1235.9331301987049</v>
      </c>
      <c r="H995">
        <f>-684.294345600792 -74.1129666178349 -607.255851439109</f>
        <v>-1365.6631636577358</v>
      </c>
      <c r="I995">
        <f>-657.537128161606 -77.1461933245989 -685.86796950899</f>
        <v>-1420.5512909951949</v>
      </c>
      <c r="J995">
        <f>-688.705920741276 -43.3411994709177 -554.275124612944</f>
        <v>-1286.3222448251377</v>
      </c>
      <c r="K995" t="s">
        <v>10037</v>
      </c>
      <c r="L995" t="s">
        <v>10038</v>
      </c>
      <c r="M995" t="s">
        <v>10039</v>
      </c>
      <c r="N995">
        <f>-681.799387641101 -98.2181247826948 -550.810873203304</f>
        <v>-1330.8283856270998</v>
      </c>
      <c r="O995">
        <f>-666.14420703184 -229.204547992769 -512.162001543926</f>
        <v>-1407.5107565685348</v>
      </c>
      <c r="P995">
        <f>-643.588524011058 -264.683069947729 -220.916934313482</f>
        <v>-1129.188528272269</v>
      </c>
      <c r="Q995">
        <f>-481.647573269627 -88.5768222873221 -249.423138685301</f>
        <v>-819.64753424225</v>
      </c>
      <c r="R995" t="s">
        <v>10040</v>
      </c>
      <c r="S995" t="s">
        <v>10041</v>
      </c>
      <c r="T995" t="s">
        <v>10042</v>
      </c>
      <c r="U995" t="s">
        <v>10043</v>
      </c>
      <c r="V995">
        <f>-630.7582775331 -131.935561897263 -90.6638415896765</f>
        <v>-853.35768102003954</v>
      </c>
      <c r="W995" t="s">
        <v>10044</v>
      </c>
      <c r="X995" t="s">
        <v>10045</v>
      </c>
      <c r="Y995" t="s">
        <v>10046</v>
      </c>
    </row>
    <row r="996" spans="1:25" x14ac:dyDescent="0.3">
      <c r="A996">
        <v>49750</v>
      </c>
      <c r="B996" t="s">
        <v>10047</v>
      </c>
      <c r="C996">
        <f>-656.038124224494 -38.9020158449825 -93.2393782596749</f>
        <v>-788.17951832915151</v>
      </c>
      <c r="D996">
        <f>-674.533740026199 -48.349901603475 -207.190504281529</f>
        <v>-930.074145911203</v>
      </c>
      <c r="E996">
        <f>-682.080718677864 -55.1186032154039 -305.291985018831</f>
        <v>-1042.4913069120989</v>
      </c>
      <c r="F996">
        <f>-686.138629062576 -60.9694676655956 -394.103815057317</f>
        <v>-1141.2119117854886</v>
      </c>
      <c r="G996">
        <f>-687.077397232854 -66.5672544097181 -483.019695358401</f>
        <v>-1236.6643470009731</v>
      </c>
      <c r="H996">
        <f>-685.111695816227 -74.2032842084586 -607.352399111918</f>
        <v>-1366.6673791366036</v>
      </c>
      <c r="I996">
        <f>-658.155657019367 -77.1780708467481 -685.898971542873</f>
        <v>-1421.2326994089881</v>
      </c>
      <c r="J996">
        <f>-689.448406039195 -43.4073507367609 -554.379643270108</f>
        <v>-1287.2354000460639</v>
      </c>
      <c r="K996" t="s">
        <v>10048</v>
      </c>
      <c r="L996" t="s">
        <v>10049</v>
      </c>
      <c r="M996" t="s">
        <v>10050</v>
      </c>
      <c r="N996">
        <f>-682.504945841452 -98.2785922480541 -550.899837757836</f>
        <v>-1331.6833758473422</v>
      </c>
      <c r="O996">
        <f>-666.68647808984 -229.235860882199 -512.228060005463</f>
        <v>-1408.1503989775019</v>
      </c>
      <c r="P996">
        <f>-643.62969741099 -264.633609945956 -221.012370888036</f>
        <v>-1129.2756782449819</v>
      </c>
      <c r="Q996">
        <f>-481.902515476067 -88.3530583185025 -249.65391422642</f>
        <v>-819.90948802098956</v>
      </c>
      <c r="R996" t="s">
        <v>10051</v>
      </c>
      <c r="S996" t="s">
        <v>10052</v>
      </c>
      <c r="T996" t="s">
        <v>10053</v>
      </c>
      <c r="U996" t="s">
        <v>10054</v>
      </c>
      <c r="V996">
        <f>-630.603618022044 -131.904116282062 -90.7701408930776</f>
        <v>-853.27787519718356</v>
      </c>
      <c r="W996" t="s">
        <v>10055</v>
      </c>
      <c r="X996" t="s">
        <v>10056</v>
      </c>
      <c r="Y996" t="s">
        <v>10057</v>
      </c>
    </row>
    <row r="997" spans="1:25" x14ac:dyDescent="0.3">
      <c r="A997">
        <v>49800</v>
      </c>
      <c r="B997" t="s">
        <v>10058</v>
      </c>
      <c r="C997">
        <f>-655.734092183196 -39.3055314642836 -93.4894618411943</f>
        <v>-788.5290854886739</v>
      </c>
      <c r="D997">
        <f>-674.281963880244 -48.8876578594502 -207.421006335005</f>
        <v>-930.59062807469923</v>
      </c>
      <c r="E997">
        <f>-681.976549650194 -55.76470867121 -305.503321422771</f>
        <v>-1043.2445797441751</v>
      </c>
      <c r="F997">
        <f>-686.209172880629 -61.7112673380627 -394.300723577454</f>
        <v>-1142.2211637961457</v>
      </c>
      <c r="G997">
        <f>-687.36368260425 -67.4006709736368 -483.208172756003</f>
        <v>-1237.9725263338898</v>
      </c>
      <c r="H997">
        <f>-685.74238297173 -75.1604711038685 -607.538161047396</f>
        <v>-1368.4410151229945</v>
      </c>
      <c r="I997">
        <f>-658.397362480352 -77.904853755211 -685.958554553819</f>
        <v>-1422.2607707893819</v>
      </c>
      <c r="J997">
        <f>-689.992546275365 -44.3196425473302 -554.584553640176</f>
        <v>-1288.8967424628713</v>
      </c>
      <c r="K997" t="s">
        <v>10059</v>
      </c>
      <c r="L997" t="s">
        <v>10060</v>
      </c>
      <c r="M997" t="s">
        <v>10061</v>
      </c>
      <c r="N997">
        <f>-682.919060744058 -99.1718930107997 -551.06882446059</f>
        <v>-1333.1597782154477</v>
      </c>
      <c r="O997">
        <f>-666.705836445544 -230.083699769256 -512.381405015722</f>
        <v>-1409.170941230522</v>
      </c>
      <c r="P997">
        <f>-642.458511566752 -265.418834610907 -221.254785131657</f>
        <v>-1129.132131309316</v>
      </c>
      <c r="Q997">
        <f>-481.45449095277 -88.5117338840419 -250.107136220705</f>
        <v>-820.07336105751688</v>
      </c>
      <c r="R997" t="s">
        <v>10062</v>
      </c>
      <c r="S997" t="s">
        <v>10063</v>
      </c>
      <c r="T997" t="s">
        <v>10064</v>
      </c>
      <c r="U997" t="s">
        <v>10065</v>
      </c>
      <c r="V997">
        <f>-630.116038546427 -132.210128133775 -90.8589421859232</f>
        <v>-853.18510886612523</v>
      </c>
      <c r="W997" t="s">
        <v>10066</v>
      </c>
      <c r="X997" t="s">
        <v>10067</v>
      </c>
      <c r="Y997" t="s">
        <v>10068</v>
      </c>
    </row>
    <row r="998" spans="1:25" x14ac:dyDescent="0.3">
      <c r="A998">
        <v>49850</v>
      </c>
      <c r="B998" t="s">
        <v>10069</v>
      </c>
      <c r="C998">
        <f>-655.607926391273 -39.7938965291435 -93.493127893967</f>
        <v>-788.89495081438349</v>
      </c>
      <c r="D998">
        <f>-674.169698080038 -49.3596285434414 -207.423792733082</f>
        <v>-930.95311935656139</v>
      </c>
      <c r="E998">
        <f>-681.893520316365 -56.2562215131231 -305.502409898165</f>
        <v>-1043.6521517276531</v>
      </c>
      <c r="F998">
        <f>-686.15999122376 -62.2338880791297 -394.296159382403</f>
        <v>-1142.6900386852926</v>
      </c>
      <c r="G998">
        <f>-687.35631952337 -67.9675939664967 -483.200088351224</f>
        <v>-1238.5240018410907</v>
      </c>
      <c r="H998">
        <f>-685.80240861751 -75.8023828797429 -607.526379996389</f>
        <v>-1369.1311714936419</v>
      </c>
      <c r="I998">
        <f>-658.30588714635 -78.3985162580448 -685.898749994504</f>
        <v>-1422.6031533988987</v>
      </c>
      <c r="J998">
        <f>-690.059805452042 -44.9344076160462 -554.58918827451</f>
        <v>-1289.5834013425983</v>
      </c>
      <c r="K998" t="s">
        <v>10070</v>
      </c>
      <c r="L998" t="s">
        <v>10071</v>
      </c>
      <c r="M998" t="s">
        <v>10072</v>
      </c>
      <c r="N998">
        <f>-682.912496730153 -99.7750863594349 -551.043943144347</f>
        <v>-1333.7315262339348</v>
      </c>
      <c r="O998">
        <f>-666.48810119603 -230.645510402739 -512.329968977979</f>
        <v>-1409.463580576748</v>
      </c>
      <c r="P998">
        <f>-641.803800875145 -265.976831200683 -221.239482005576</f>
        <v>-1129.020114081404</v>
      </c>
      <c r="Q998">
        <f>-481.078761243741 -88.8369420016415 -250.217768440762</f>
        <v>-820.1334716861445</v>
      </c>
      <c r="R998" t="s">
        <v>10073</v>
      </c>
      <c r="S998" t="s">
        <v>10074</v>
      </c>
      <c r="T998" t="s">
        <v>10075</v>
      </c>
      <c r="U998" t="s">
        <v>10076</v>
      </c>
      <c r="V998">
        <f>-629.94325634067 -132.879631845705 -90.8614034927682</f>
        <v>-853.68429167914326</v>
      </c>
      <c r="W998" t="s">
        <v>10077</v>
      </c>
      <c r="X998" t="s">
        <v>10078</v>
      </c>
      <c r="Y998" t="s">
        <v>10079</v>
      </c>
    </row>
    <row r="999" spans="1:25" x14ac:dyDescent="0.3">
      <c r="A999">
        <v>49900</v>
      </c>
      <c r="B999" t="s">
        <v>10080</v>
      </c>
      <c r="C999">
        <f>-655.319545900247 -41.1174297550047 -93.4133469309259</f>
        <v>-789.85032258617753</v>
      </c>
      <c r="D999">
        <f>-673.860606659524 -50.6563095202323 -207.349545143326</f>
        <v>-931.86646132308238</v>
      </c>
      <c r="E999">
        <f>-681.602533371482 -57.5688103015441 -305.425675174448</f>
        <v>-1044.5970188474739</v>
      </c>
      <c r="F999">
        <f>-685.900007057741 -63.5773791612037 -394.215754234161</f>
        <v>-1143.6931404531058</v>
      </c>
      <c r="G999">
        <f>-687.142897643619 -69.3573662025158 -483.116193289203</f>
        <v>-1239.6164571353379</v>
      </c>
      <c r="H999">
        <f>-685.670548693637 -77.2727014826626 -607.438279548643</f>
        <v>-1370.3815297249425</v>
      </c>
      <c r="I999">
        <f>-657.941645987127 -79.6299123247093 -685.736265171708</f>
        <v>-1423.3078234835443</v>
      </c>
      <c r="J999">
        <f>-689.951076036287 -46.3778520246556 -554.518529734731</f>
        <v>-1290.8474577956736</v>
      </c>
      <c r="K999" t="s">
        <v>10081</v>
      </c>
      <c r="L999" t="s">
        <v>10082</v>
      </c>
      <c r="M999" t="s">
        <v>10083</v>
      </c>
      <c r="N999">
        <f>-682.685842238652 -101.201154530976 -550.942030311826</f>
        <v>-1334.8290270814541</v>
      </c>
      <c r="O999">
        <f>-665.925383476322 -232.027992031027 -512.191868426876</f>
        <v>-1410.1452439342252</v>
      </c>
      <c r="P999">
        <f>-640.452789447226 -267.520855846561 -221.189005696958</f>
        <v>-1129.1626509907451</v>
      </c>
      <c r="Q999">
        <f>-480.297236809763 -89.9053427664912 -250.408497799563</f>
        <v>-820.6110773758171</v>
      </c>
      <c r="R999" t="s">
        <v>10084</v>
      </c>
      <c r="S999" t="s">
        <v>10085</v>
      </c>
      <c r="T999" t="s">
        <v>10086</v>
      </c>
      <c r="U999" t="s">
        <v>10087</v>
      </c>
      <c r="V999">
        <f>-629.53739706145 -134.398627620118 -90.8406413538963</f>
        <v>-854.77666603546425</v>
      </c>
      <c r="W999" t="s">
        <v>10088</v>
      </c>
      <c r="X999" t="s">
        <v>10089</v>
      </c>
      <c r="Y999" t="s">
        <v>10090</v>
      </c>
    </row>
    <row r="1000" spans="1:25" x14ac:dyDescent="0.3">
      <c r="A1000">
        <v>49950</v>
      </c>
      <c r="B1000" t="s">
        <v>10080</v>
      </c>
      <c r="C1000">
        <f>-655.319545900247 -41.1174297550047 -93.4133469309259</f>
        <v>-789.85032258617753</v>
      </c>
      <c r="D1000">
        <f>-673.860606659524 -50.6563095202323 -207.349545143326</f>
        <v>-931.86646132308238</v>
      </c>
      <c r="E1000">
        <f>-681.602533371482 -57.5688103015441 -305.425675174448</f>
        <v>-1044.5970188474739</v>
      </c>
      <c r="F1000">
        <f>-685.900007057741 -63.5773791612037 -394.215754234161</f>
        <v>-1143.6931404531058</v>
      </c>
      <c r="G1000">
        <f>-687.142897643619 -69.3573662025158 -483.116193289203</f>
        <v>-1239.6164571353379</v>
      </c>
      <c r="H1000">
        <f>-685.670548693637 -77.2727014826626 -607.438279548643</f>
        <v>-1370.3815297249425</v>
      </c>
      <c r="I1000">
        <f>-657.941645987127 -79.6299123247093 -685.736265171708</f>
        <v>-1423.3078234835443</v>
      </c>
      <c r="J1000">
        <f>-689.951076036287 -46.3778520246556 -554.518529734731</f>
        <v>-1290.8474577956736</v>
      </c>
      <c r="K1000" t="s">
        <v>10081</v>
      </c>
      <c r="L1000" t="s">
        <v>10082</v>
      </c>
      <c r="M1000" t="s">
        <v>10083</v>
      </c>
      <c r="N1000">
        <f>-682.685842238652 -101.201154530976 -550.942030311826</f>
        <v>-1334.8290270814541</v>
      </c>
      <c r="O1000">
        <f>-665.925383476322 -232.027992031027 -512.191868426876</f>
        <v>-1410.1452439342252</v>
      </c>
      <c r="P1000">
        <f>-640.452789447226 -267.520855846561 -221.189005696958</f>
        <v>-1129.1626509907451</v>
      </c>
      <c r="Q1000">
        <f>-480.297236809763 -89.9053427664912 -250.408497799563</f>
        <v>-820.6110773758171</v>
      </c>
      <c r="R1000" t="s">
        <v>10084</v>
      </c>
      <c r="S1000" t="s">
        <v>10085</v>
      </c>
      <c r="T1000" t="s">
        <v>10086</v>
      </c>
      <c r="U1000" t="s">
        <v>10087</v>
      </c>
      <c r="V1000">
        <f>-629.53739706145 -134.398627620118 -90.8406413538963</f>
        <v>-854.77666603546425</v>
      </c>
      <c r="W1000" t="s">
        <v>10088</v>
      </c>
      <c r="X1000" t="s">
        <v>10089</v>
      </c>
      <c r="Y1000" t="s">
        <v>10090</v>
      </c>
    </row>
    <row r="1001" spans="1:25" x14ac:dyDescent="0.3">
      <c r="A1001">
        <v>50000</v>
      </c>
      <c r="B1001" t="s">
        <v>10091</v>
      </c>
      <c r="C1001">
        <f>-655.223638491077 -42.5997662407749 -93.287225754189</f>
        <v>-791.11063048604092</v>
      </c>
      <c r="D1001">
        <f>-673.724057446279 -52.204858584458 -207.224388417858</f>
        <v>-933.15330444859489</v>
      </c>
      <c r="E1001">
        <f>-681.445892396942 -59.0986004358178 -305.303633350355</f>
        <v>-1045.8481261831148</v>
      </c>
      <c r="F1001">
        <f>-685.729000429087 -65.0648911964618 -394.097079200714</f>
        <v>-1144.8909708262627</v>
      </c>
      <c r="G1001">
        <f>-686.960743231843 -70.7770287814615 -483.002129946223</f>
        <v>-1240.7399019595275</v>
      </c>
      <c r="H1001">
        <f>-685.475196330218 -78.5719018167529 -607.331650102272</f>
        <v>-1371.3787482492428</v>
      </c>
      <c r="I1001">
        <f>-657.492516408942 -80.6438888902303 -685.547476982552</f>
        <v>-1423.6838822817244</v>
      </c>
      <c r="J1001">
        <f>-689.849069125251 -47.7401323196277 -554.382784595138</f>
        <v>-1291.9719860400169</v>
      </c>
      <c r="K1001" t="s">
        <v>10092</v>
      </c>
      <c r="L1001" t="s">
        <v>10093</v>
      </c>
      <c r="M1001" t="s">
        <v>10094</v>
      </c>
      <c r="N1001">
        <f>-682.4086693601 -102.543328615586 -550.858103771229</f>
        <v>-1335.8101017469151</v>
      </c>
      <c r="O1001">
        <f>-665.263775461266 -233.371654915166 -512.290070838767</f>
        <v>-1410.9255012151989</v>
      </c>
      <c r="P1001">
        <f>-639.83114363549 -268.875539747676 -221.2850539584</f>
        <v>-1129.991737341566</v>
      </c>
      <c r="Q1001">
        <f>-479.83988355303 -91.0857651748879 -250.344712597347</f>
        <v>-821.27036132526484</v>
      </c>
      <c r="R1001" t="s">
        <v>10095</v>
      </c>
      <c r="S1001" t="s">
        <v>10096</v>
      </c>
      <c r="T1001" t="s">
        <v>10097</v>
      </c>
      <c r="U1001" t="s">
        <v>10098</v>
      </c>
      <c r="V1001">
        <f>-629.06635148552 -135.905303882354 -90.7902629969542</f>
        <v>-855.76191836482826</v>
      </c>
      <c r="W1001" t="s">
        <v>10099</v>
      </c>
      <c r="X1001" t="s">
        <v>10100</v>
      </c>
      <c r="Y1001" t="s">
        <v>10101</v>
      </c>
    </row>
    <row r="1002" spans="1:25" x14ac:dyDescent="0.3">
      <c r="A1002">
        <v>50050</v>
      </c>
      <c r="B1002" t="s">
        <v>10102</v>
      </c>
      <c r="C1002">
        <f>-655.279150942837 -43.0058682780245 -93.2753110740641</f>
        <v>-791.56033029492562</v>
      </c>
      <c r="D1002">
        <f>-673.741775741883 -52.6439397883814 -207.215860522264</f>
        <v>-933.60157605252834</v>
      </c>
      <c r="E1002">
        <f>-681.441225243629 -59.5416850640124 -305.296400831224</f>
        <v>-1046.2793111388655</v>
      </c>
      <c r="F1002">
        <f>-685.707599946489 -65.5023302779807 -394.091180111644</f>
        <v>-1145.3011103361137</v>
      </c>
      <c r="G1002">
        <f>-686.925691742816 -71.1993043881903 -482.997444574522</f>
        <v>-1241.1224407055283</v>
      </c>
      <c r="H1002">
        <f>-685.424507357008 -78.9629030656595 -607.328641162604</f>
        <v>-1371.7160515852715</v>
      </c>
      <c r="I1002">
        <f>-657.396274247234 -80.9253150542152 -685.530896304644</f>
        <v>-1423.8524856060931</v>
      </c>
      <c r="J1002">
        <f>-689.837026271679 -48.148900710014 -554.372737739263</f>
        <v>-1292.3586647209559</v>
      </c>
      <c r="K1002" t="s">
        <v>10103</v>
      </c>
      <c r="L1002" t="s">
        <v>10104</v>
      </c>
      <c r="M1002" t="s">
        <v>10105</v>
      </c>
      <c r="N1002">
        <f>-682.333124803131 -102.94409955874 -550.860612093848</f>
        <v>-1336.137836455719</v>
      </c>
      <c r="O1002">
        <f>-665.02263221271 -233.76310664624 -512.325595128926</f>
        <v>-1411.1113339878762</v>
      </c>
      <c r="P1002">
        <f>-639.706681607367 -269.243862173156 -221.307657805557</f>
        <v>-1130.2582015860801</v>
      </c>
      <c r="Q1002">
        <f>-479.747563504592 -91.3819670555649 -250.102209924976</f>
        <v>-821.23174048513295</v>
      </c>
      <c r="R1002" t="s">
        <v>10106</v>
      </c>
      <c r="S1002" t="s">
        <v>10107</v>
      </c>
      <c r="T1002" t="s">
        <v>10108</v>
      </c>
      <c r="U1002" t="s">
        <v>10109</v>
      </c>
      <c r="V1002">
        <f>-629.037539049162 -136.343811234418 -90.7871626254239</f>
        <v>-856.16851290900388</v>
      </c>
      <c r="W1002" t="s">
        <v>10110</v>
      </c>
      <c r="X1002" t="s">
        <v>10111</v>
      </c>
      <c r="Y1002" t="s">
        <v>10112</v>
      </c>
    </row>
    <row r="1003" spans="1:25" x14ac:dyDescent="0.3">
      <c r="A1003">
        <v>50100</v>
      </c>
      <c r="B1003" t="s">
        <v>10113</v>
      </c>
      <c r="C1003">
        <f>-655.40622718524 -43.5164027044834 -93.2698924721115</f>
        <v>-792.1925223618349</v>
      </c>
      <c r="D1003">
        <f>-673.80283987001 -53.2010610779239 -207.217231592444</f>
        <v>-934.22113254037788</v>
      </c>
      <c r="E1003">
        <f>-681.4391198613 -60.1027026523357 -305.302327706654</f>
        <v>-1046.8441502202897</v>
      </c>
      <c r="F1003">
        <f>-685.644970752464 -66.0536958218916 -394.100679278415</f>
        <v>-1145.7993458527706</v>
      </c>
      <c r="G1003">
        <f>-686.798842599959 -71.7267496688914 -483.009282967308</f>
        <v>-1241.5348752361585</v>
      </c>
      <c r="H1003">
        <f>-685.203613518689 -79.4424108869321 -607.342370165057</f>
        <v>-1371.9883945706781</v>
      </c>
      <c r="I1003">
        <f>-657.092651881878 -81.1790181034376 -685.520283889108</f>
        <v>-1423.7919538744236</v>
      </c>
      <c r="J1003">
        <f>-689.711272132266 -48.6565395325717 -554.378057063203</f>
        <v>-1292.7458687280407</v>
      </c>
      <c r="K1003" t="s">
        <v>10114</v>
      </c>
      <c r="L1003" t="s">
        <v>10115</v>
      </c>
      <c r="M1003" t="s">
        <v>10116</v>
      </c>
      <c r="N1003">
        <f>-682.099899770601 -103.437916233331 -550.880898269543</f>
        <v>-1336.418714273475</v>
      </c>
      <c r="O1003">
        <f>-664.509440556121 -234.226801489946 -512.369594938161</f>
        <v>-1411.1058369842281</v>
      </c>
      <c r="P1003">
        <f>-639.067181339132 -269.983903446047 -221.396609033248</f>
        <v>-1130.4476938184271</v>
      </c>
      <c r="Q1003">
        <f>-479.494815917702 -91.6696573001295 -249.531477487841</f>
        <v>-820.69595070567254</v>
      </c>
      <c r="R1003" t="s">
        <v>10117</v>
      </c>
      <c r="S1003" t="s">
        <v>10118</v>
      </c>
      <c r="T1003" t="s">
        <v>10119</v>
      </c>
      <c r="U1003" t="s">
        <v>10120</v>
      </c>
      <c r="V1003">
        <f>-629.13225151336 -136.742334532172 -90.7547585903101</f>
        <v>-856.62934463584202</v>
      </c>
      <c r="W1003" t="s">
        <v>10121</v>
      </c>
      <c r="X1003" t="s">
        <v>10122</v>
      </c>
      <c r="Y1003" t="s">
        <v>10123</v>
      </c>
    </row>
    <row r="1004" spans="1:25" x14ac:dyDescent="0.3">
      <c r="A1004">
        <v>50150</v>
      </c>
      <c r="B1004" t="s">
        <v>10124</v>
      </c>
      <c r="C1004">
        <f>-655.521103026098 -43.7643380199218 -93.2662402880975</f>
        <v>-792.55168133411723</v>
      </c>
      <c r="D1004">
        <f>-673.885855696277 -53.4491481035579 -207.218659860421</f>
        <v>-934.55366366025589</v>
      </c>
      <c r="E1004">
        <f>-681.503436297599 -60.3535677111247 -305.305196827875</f>
        <v>-1047.1622008365987</v>
      </c>
      <c r="F1004">
        <f>-685.696093460453 -66.3074928102894 -394.103937846345</f>
        <v>-1146.1075241170875</v>
      </c>
      <c r="G1004">
        <f>-686.840461321285 -71.9837075587247 -483.012429920041</f>
        <v>-1241.8365988000508</v>
      </c>
      <c r="H1004">
        <f>-685.235772783484 -79.7030123489783 -607.345269982383</f>
        <v>-1372.2840551148452</v>
      </c>
      <c r="I1004">
        <f>-657.096046273089 -81.3413911510322 -685.514857403529</f>
        <v>-1423.9522948276503</v>
      </c>
      <c r="J1004">
        <f>-689.770388929914 -48.9186430357695 -554.382299691371</f>
        <v>-1293.0713316570545</v>
      </c>
      <c r="K1004" t="s">
        <v>10125</v>
      </c>
      <c r="L1004" t="s">
        <v>10126</v>
      </c>
      <c r="M1004" t="s">
        <v>10127</v>
      </c>
      <c r="N1004">
        <f>-682.113476434411 -103.69360126364 -550.882612531426</f>
        <v>-1336.689690229477</v>
      </c>
      <c r="O1004">
        <f>-664.381791495213 -234.450393696598 -512.348925767117</f>
        <v>-1411.181110958928</v>
      </c>
      <c r="P1004">
        <f>-638.861346813096 -270.217169459884 -221.383933849387</f>
        <v>-1130.462450122367</v>
      </c>
      <c r="Q1004">
        <f>-479.554184080646 -91.6196122456149 -249.223094750174</f>
        <v>-820.39689107643494</v>
      </c>
      <c r="R1004" t="s">
        <v>10128</v>
      </c>
      <c r="S1004" t="s">
        <v>10129</v>
      </c>
      <c r="T1004" t="s">
        <v>10130</v>
      </c>
      <c r="U1004" t="s">
        <v>10131</v>
      </c>
      <c r="V1004">
        <f>-629.253454587569 -136.979864103361 -90.7440528370345</f>
        <v>-856.97737152796446</v>
      </c>
      <c r="W1004" t="s">
        <v>10132</v>
      </c>
      <c r="X1004" t="s">
        <v>10133</v>
      </c>
      <c r="Y1004" t="s">
        <v>10134</v>
      </c>
    </row>
    <row r="1005" spans="1:25" x14ac:dyDescent="0.3">
      <c r="A1005">
        <v>50200</v>
      </c>
      <c r="B1005" t="s">
        <v>10135</v>
      </c>
      <c r="C1005">
        <f>-655.810973983381 -43.9616893442976 -93.2674216097964</f>
        <v>-793.04008493747506</v>
      </c>
      <c r="D1005">
        <f>-674.137380940233 -53.6601884224722 -207.224878876103</f>
        <v>-935.02244823880824</v>
      </c>
      <c r="E1005">
        <f>-681.75938981491 -60.5797082130762 -305.309915030646</f>
        <v>-1047.6490130586321</v>
      </c>
      <c r="F1005">
        <f>-685.970839484265 -66.547648693595 -394.106801977846</f>
        <v>-1146.6252901557059</v>
      </c>
      <c r="G1005">
        <f>-687.149272265058 -72.2369745276724 -483.014028030562</f>
        <v>-1242.4002748232924</v>
      </c>
      <c r="H1005">
        <f>-685.608184515811 -79.9734451675436 -607.346548109407</f>
        <v>-1372.9281777927615</v>
      </c>
      <c r="I1005">
        <f>-657.435535766914 -81.4581607639354 -685.507475064478</f>
        <v>-1424.4011715953275</v>
      </c>
      <c r="J1005">
        <f>-690.147363148165 -49.1862183247922 -554.385565232128</f>
        <v>-1293.7191467050852</v>
      </c>
      <c r="K1005" t="s">
        <v>10136</v>
      </c>
      <c r="L1005" t="s">
        <v>10137</v>
      </c>
      <c r="M1005" t="s">
        <v>10138</v>
      </c>
      <c r="N1005">
        <f>-682.425301302712 -103.951788857763 -550.882274668407</f>
        <v>-1337.2593648288821</v>
      </c>
      <c r="O1005">
        <f>-664.485799536451 -234.657944791838 -512.257630224604</f>
        <v>-1411.401374552893</v>
      </c>
      <c r="P1005">
        <f>-638.77493497746 -270.260889108117 -221.289362884529</f>
        <v>-1130.325186970106</v>
      </c>
      <c r="Q1005">
        <f>-479.934366207449 -91.177393776316 -248.669690926971</f>
        <v>-819.78145091073588</v>
      </c>
      <c r="R1005" t="s">
        <v>10139</v>
      </c>
      <c r="S1005" t="s">
        <v>10140</v>
      </c>
      <c r="T1005" t="s">
        <v>10141</v>
      </c>
      <c r="U1005" t="s">
        <v>10142</v>
      </c>
      <c r="V1005">
        <f>-629.491923487093 -137.215483404533 -90.7440189886236</f>
        <v>-857.45142588024953</v>
      </c>
      <c r="W1005" t="s">
        <v>10143</v>
      </c>
      <c r="X1005" t="s">
        <v>10144</v>
      </c>
      <c r="Y1005" t="s">
        <v>10145</v>
      </c>
    </row>
    <row r="1006" spans="1:25" x14ac:dyDescent="0.3">
      <c r="A1006">
        <v>50250</v>
      </c>
      <c r="B1006" t="s">
        <v>10146</v>
      </c>
      <c r="C1006">
        <f>-655.978015635117 -44.0380136275257 -93.2964980449793</f>
        <v>-793.31252730762208</v>
      </c>
      <c r="D1006">
        <f>-674.308354334386 -53.7566713594458 -207.251615273012</f>
        <v>-935.31664096684381</v>
      </c>
      <c r="E1006">
        <f>-681.931264674063 -60.6840616942359 -305.336061247305</f>
        <v>-1047.9513876156038</v>
      </c>
      <c r="F1006">
        <f>-686.142323316415 -66.6554725652882 -394.132754956908</f>
        <v>-1146.930550838611</v>
      </c>
      <c r="G1006">
        <f>-687.318991462204 -72.3443606349342 -483.039931175983</f>
        <v>-1242.7032832731213</v>
      </c>
      <c r="H1006">
        <f>-685.774093882752 -80.0758243639559 -607.372828790643</f>
        <v>-1373.2227470373509</v>
      </c>
      <c r="I1006">
        <f>-657.588938592224 -81.5146833837391 -685.529936244518</f>
        <v>-1424.6335582204811</v>
      </c>
      <c r="J1006">
        <f>-690.326529619742 -49.2925172588739 -554.410920444335</f>
        <v>-1294.0299673229511</v>
      </c>
      <c r="K1006" t="s">
        <v>10147</v>
      </c>
      <c r="L1006" t="s">
        <v>10148</v>
      </c>
      <c r="M1006" t="s">
        <v>10149</v>
      </c>
      <c r="N1006">
        <f>-682.581354711417 -104.054809472214 -550.909250626309</f>
        <v>-1337.5454148099402</v>
      </c>
      <c r="O1006">
        <f>-664.580825199185 -234.741862115788 -512.264357120019</f>
        <v>-1411.5870444349921</v>
      </c>
      <c r="P1006">
        <f>-638.805645472561 -270.295412106786 -221.295633138757</f>
        <v>-1130.3966907181039</v>
      </c>
      <c r="Q1006">
        <f>-480.072125977408 -91.0990597447651 -248.557681790663</f>
        <v>-819.72886751283602</v>
      </c>
      <c r="R1006" t="s">
        <v>10150</v>
      </c>
      <c r="S1006" t="s">
        <v>10151</v>
      </c>
      <c r="T1006" t="s">
        <v>10152</v>
      </c>
      <c r="U1006" t="s">
        <v>10153</v>
      </c>
      <c r="V1006">
        <f>-629.640679715506 -137.199792404488 -90.7656563500116</f>
        <v>-857.60612847000561</v>
      </c>
      <c r="W1006" t="s">
        <v>10154</v>
      </c>
      <c r="X1006" t="s">
        <v>10155</v>
      </c>
      <c r="Y1006" t="s">
        <v>10156</v>
      </c>
    </row>
    <row r="1007" spans="1:25" x14ac:dyDescent="0.3">
      <c r="A1007">
        <v>50300</v>
      </c>
      <c r="B1007" t="s">
        <v>10157</v>
      </c>
      <c r="C1007">
        <f>-656.271854118342 -44.336585425199 -93.3722882088297</f>
        <v>-793.98072775237074</v>
      </c>
      <c r="D1007">
        <f>-674.629399339325 -54.0898587629727 -207.319989396902</f>
        <v>-936.03924749919963</v>
      </c>
      <c r="E1007">
        <f>-682.261192677993 -61.0216088457712 -305.40352982148</f>
        <v>-1048.6863313452441</v>
      </c>
      <c r="F1007">
        <f>-686.473903795234 -66.9874590714221 -394.200423718297</f>
        <v>-1147.661786584953</v>
      </c>
      <c r="G1007">
        <f>-687.645499564321 -72.6610567281452 -483.108761357305</f>
        <v>-1243.4153176497712</v>
      </c>
      <c r="H1007">
        <f>-686.086207003684 -80.3613688485646 -607.443411172441</f>
        <v>-1373.8909870246894</v>
      </c>
      <c r="I1007">
        <f>-657.877496700941 -81.7324367084814 -685.593344317091</f>
        <v>-1425.2032777265135</v>
      </c>
      <c r="J1007">
        <f>-690.667948409551 -49.5945544503115 -554.474333675562</f>
        <v>-1294.7368365354246</v>
      </c>
      <c r="K1007" t="s">
        <v>10158</v>
      </c>
      <c r="L1007" t="s">
        <v>10159</v>
      </c>
      <c r="M1007" t="s">
        <v>10160</v>
      </c>
      <c r="N1007">
        <f>-682.87683158091 -104.351263031289 -550.985401795236</f>
        <v>-1338.2134964074351</v>
      </c>
      <c r="O1007">
        <f>-664.759190223972 -235.026332729249 -512.351490779904</f>
        <v>-1412.1370137331251</v>
      </c>
      <c r="P1007">
        <f>-638.743012650719 -270.531133386761 -221.398242635382</f>
        <v>-1130.6723886728621</v>
      </c>
      <c r="Q1007">
        <f>-480.295871708712 -91.0869522966768 -248.696165614501</f>
        <v>-820.07898961988985</v>
      </c>
      <c r="R1007" t="s">
        <v>10161</v>
      </c>
      <c r="S1007" t="s">
        <v>10162</v>
      </c>
      <c r="T1007" t="s">
        <v>10163</v>
      </c>
      <c r="U1007" t="s">
        <v>10164</v>
      </c>
      <c r="V1007">
        <f>-629.903308944693 -137.540069816896 -90.8162274165954</f>
        <v>-858.25960617818441</v>
      </c>
      <c r="W1007" t="s">
        <v>10165</v>
      </c>
      <c r="X1007" t="s">
        <v>10166</v>
      </c>
      <c r="Y1007" t="s">
        <v>10167</v>
      </c>
    </row>
    <row r="1008" spans="1:25" x14ac:dyDescent="0.3">
      <c r="A1008">
        <v>50350</v>
      </c>
      <c r="B1008" t="s">
        <v>10168</v>
      </c>
      <c r="C1008">
        <f>-656.401422921365 -44.4168651279858 -93.3994007676077</f>
        <v>-794.21768881695857</v>
      </c>
      <c r="D1008">
        <f>-674.769051623336 -54.1758176153796 -207.345022618212</f>
        <v>-936.28989185692762</v>
      </c>
      <c r="E1008">
        <f>-682.417130642835 -61.1088364575276 -305.427107739395</f>
        <v>-1048.9530748397576</v>
      </c>
      <c r="F1008">
        <f>-686.647463249911 -67.0743686995525 -394.223271479187</f>
        <v>-1147.9451034286503</v>
      </c>
      <c r="G1008">
        <f>-687.839857220484 -72.746116898229 -483.131416251454</f>
        <v>-1243.7173903701671</v>
      </c>
      <c r="H1008">
        <f>-686.312640592922 -80.4417498980881 -607.466647836681</f>
        <v>-1374.2210383276911</v>
      </c>
      <c r="I1008">
        <f>-658.096152333256 -81.7974506341329 -685.614051197702</f>
        <v>-1425.507654165091</v>
      </c>
      <c r="J1008">
        <f>-690.886986225911 -49.6778213160112 -554.495192512966</f>
        <v>-1295.0600000548882</v>
      </c>
      <c r="K1008" t="s">
        <v>10169</v>
      </c>
      <c r="L1008" t="s">
        <v>10170</v>
      </c>
      <c r="M1008" t="s">
        <v>10171</v>
      </c>
      <c r="N1008">
        <f>-683.082570566072 -104.432791466454 -551.01043320047</f>
        <v>-1338.525795232996</v>
      </c>
      <c r="O1008">
        <f>-664.910299350026 -235.107103471426 -512.390178976085</f>
        <v>-1412.407581797537</v>
      </c>
      <c r="P1008">
        <f>-638.71357681527 -270.63634957195 -221.456204861612</f>
        <v>-1130.8061312488319</v>
      </c>
      <c r="Q1008">
        <f>-480.379138421224 -91.1048970895383 -248.834059416856</f>
        <v>-820.31809492761829</v>
      </c>
      <c r="R1008" t="s">
        <v>10172</v>
      </c>
      <c r="S1008" t="s">
        <v>10173</v>
      </c>
      <c r="T1008" t="s">
        <v>10174</v>
      </c>
      <c r="U1008" t="s">
        <v>10175</v>
      </c>
      <c r="V1008">
        <f>-630.036089508686 -137.590255866446 -90.8320497379651</f>
        <v>-858.45839511309714</v>
      </c>
      <c r="W1008" t="s">
        <v>10176</v>
      </c>
      <c r="X1008" t="s">
        <v>10177</v>
      </c>
      <c r="Y1008" t="s">
        <v>10178</v>
      </c>
    </row>
    <row r="1009" spans="1:25" x14ac:dyDescent="0.3">
      <c r="A1009">
        <v>50400</v>
      </c>
      <c r="B1009" t="s">
        <v>10179</v>
      </c>
      <c r="C1009">
        <f>-656.62127665676 -44.5239646544037 -93.4503778484143</f>
        <v>-794.59561915957795</v>
      </c>
      <c r="D1009">
        <f>-675.036755684466 -54.3113329412686 -207.385875494033</f>
        <v>-936.73396411976762</v>
      </c>
      <c r="E1009">
        <f>-682.742164088081 -61.2668956847965 -305.4618637844</f>
        <v>-1049.4709235572775</v>
      </c>
      <c r="F1009">
        <f>-687.0311673155 -67.2518241967744 -394.253915566429</f>
        <v>-1148.5369070787033</v>
      </c>
      <c r="G1009">
        <f>-688.288717600374 -72.9421272565526 -483.159941556213</f>
        <v>-1244.3907864131395</v>
      </c>
      <c r="H1009">
        <f>-686.859347842379 -80.6621623791539 -607.494823854314</f>
        <v>-1375.0163340758468</v>
      </c>
      <c r="I1009">
        <f>-658.674465903582 -81.9989364407775 -685.653925151057</f>
        <v>-1426.3273274954165</v>
      </c>
      <c r="J1009">
        <f>-691.397322118466 -49.8885828889502 -554.525974666385</f>
        <v>-1295.8118796738013</v>
      </c>
      <c r="K1009" t="s">
        <v>10180</v>
      </c>
      <c r="L1009" t="s">
        <v>10181</v>
      </c>
      <c r="M1009" t="s">
        <v>10182</v>
      </c>
      <c r="N1009">
        <f>-683.579389259984 -104.641339159248 -551.036365753031</f>
        <v>-1339.2570941722629</v>
      </c>
      <c r="O1009">
        <f>-665.346668729053 -235.295545116262 -512.375218118003</f>
        <v>-1413.0174319633179</v>
      </c>
      <c r="P1009">
        <f>-638.69780946266 -270.746768280443 -221.472753964999</f>
        <v>-1130.917331708102</v>
      </c>
      <c r="Q1009">
        <f>-480.467395812322 -91.1498886062097 -249.022312467916</f>
        <v>-820.63959688644775</v>
      </c>
      <c r="R1009" t="s">
        <v>10183</v>
      </c>
      <c r="S1009" t="s">
        <v>10184</v>
      </c>
      <c r="T1009" t="s">
        <v>10185</v>
      </c>
      <c r="U1009" t="s">
        <v>10186</v>
      </c>
      <c r="V1009">
        <f>-630.25840513141 -137.608359136919 -90.8737505415303</f>
        <v>-858.74051480985929</v>
      </c>
      <c r="W1009" t="s">
        <v>10187</v>
      </c>
      <c r="X1009" t="s">
        <v>10188</v>
      </c>
      <c r="Y1009" t="s">
        <v>10189</v>
      </c>
    </row>
    <row r="1010" spans="1:25" x14ac:dyDescent="0.3">
      <c r="A1010">
        <v>50450</v>
      </c>
      <c r="B1010" t="s">
        <v>10190</v>
      </c>
      <c r="C1010">
        <f>-656.811367470233 -44.4774535895158 -93.4839690126536</f>
        <v>-794.77279007240236</v>
      </c>
      <c r="D1010">
        <f>-675.266275884716 -54.2821178041993 -207.411557608023</f>
        <v>-936.95995129693836</v>
      </c>
      <c r="E1010">
        <f>-683.005155232209 -61.2529913349613 -305.483803309659</f>
        <v>-1049.7419498768293</v>
      </c>
      <c r="F1010">
        <f>-687.324102480635 -67.251905184856 -394.273489911118</f>
        <v>-1148.8494975766091</v>
      </c>
      <c r="G1010">
        <f>-688.611367975675 -72.9560021646557 -483.178263018914</f>
        <v>-1244.7456331592448</v>
      </c>
      <c r="H1010">
        <f>-687.223250289353 -80.6956833242502 -607.512446075822</f>
        <v>-1375.4313796894253</v>
      </c>
      <c r="I1010">
        <f>-659.058121231076 -82.0263804576987 -685.678825103342</f>
        <v>-1426.7633267921167</v>
      </c>
      <c r="J1010">
        <f>-691.743534102144 -49.9136628896945 -554.5468647218</f>
        <v>-1296.2040617136386</v>
      </c>
      <c r="K1010" t="s">
        <v>10191</v>
      </c>
      <c r="L1010" t="s">
        <v>10192</v>
      </c>
      <c r="M1010" t="s">
        <v>10193</v>
      </c>
      <c r="N1010">
        <f>-683.924506141069 -104.665995172614 -551.051317547725</f>
        <v>-1339.641818861408</v>
      </c>
      <c r="O1010">
        <f>-665.673979829586 -235.317389671007 -512.38365203635</f>
        <v>-1413.375021536943</v>
      </c>
      <c r="P1010">
        <f>-638.815875277999 -270.701456570799 -221.492338125892</f>
        <v>-1131.00966997469</v>
      </c>
      <c r="Q1010">
        <f>-480.560276337281 -91.1359161503824 -249.102246916321</f>
        <v>-820.7984394039845</v>
      </c>
      <c r="R1010" t="s">
        <v>10194</v>
      </c>
      <c r="S1010" t="s">
        <v>10195</v>
      </c>
      <c r="T1010" t="s">
        <v>10196</v>
      </c>
      <c r="U1010" t="s">
        <v>10197</v>
      </c>
      <c r="V1010">
        <f>-630.427609015042 -137.568329581297 -90.9016820798374</f>
        <v>-858.89762067617642</v>
      </c>
      <c r="W1010" t="s">
        <v>10198</v>
      </c>
      <c r="X1010" t="s">
        <v>10199</v>
      </c>
      <c r="Y1010" t="s">
        <v>10200</v>
      </c>
    </row>
    <row r="1011" spans="1:25" x14ac:dyDescent="0.3">
      <c r="A1011">
        <v>50500</v>
      </c>
      <c r="B1011" t="s">
        <v>10201</v>
      </c>
      <c r="C1011">
        <f>-657.207795390035 -44.4684247346299 -93.5057086979871</f>
        <v>-795.18192882265203</v>
      </c>
      <c r="D1011">
        <f>-675.767169265634 -54.2885937960193 -207.415034398588</f>
        <v>-937.47079746024133</v>
      </c>
      <c r="E1011">
        <f>-683.612069125045 -61.2853471406427 -305.47695682051</f>
        <v>-1050.3743730861977</v>
      </c>
      <c r="F1011">
        <f>-688.033685443566 -67.3122930935078 -394.259805780267</f>
        <v>-1149.6057843173407</v>
      </c>
      <c r="G1011">
        <f>-689.430806411632 -73.0489403641179 -483.16080090914</f>
        <v>-1245.64054768489</v>
      </c>
      <c r="H1011">
        <f>-688.203702031514 -80.8383078777072 -607.493398598195</f>
        <v>-1376.5354085074162</v>
      </c>
      <c r="I1011">
        <f>-660.105567916381 -82.1803728073771 -685.683794635948</f>
        <v>-1427.9697353597062</v>
      </c>
      <c r="J1011">
        <f>-692.646695744769 -50.0340465457862 -554.534481973722</f>
        <v>-1297.2152242642771</v>
      </c>
      <c r="K1011" t="s">
        <v>10202</v>
      </c>
      <c r="L1011" t="s">
        <v>10203</v>
      </c>
      <c r="M1011" t="s">
        <v>10204</v>
      </c>
      <c r="N1011">
        <f>-684.840515761818 -104.787334934316 -551.027099671006</f>
        <v>-1340.6549503671399</v>
      </c>
      <c r="O1011">
        <f>-666.5931886292 -235.42940361024 -512.335846891459</f>
        <v>-1414.3584391308991</v>
      </c>
      <c r="P1011">
        <f>-639.375696355119 -270.651007848923 -221.458124603353</f>
        <v>-1131.4848288073949</v>
      </c>
      <c r="Q1011">
        <f>-481.102068484863 -91.1160478155437 -249.162118508102</f>
        <v>-821.3802348085087</v>
      </c>
      <c r="R1011" t="s">
        <v>10205</v>
      </c>
      <c r="S1011" t="s">
        <v>10206</v>
      </c>
      <c r="T1011" t="s">
        <v>10207</v>
      </c>
      <c r="U1011" t="s">
        <v>10208</v>
      </c>
      <c r="V1011">
        <f>-630.880755083238 -137.666014704335 -90.9230500187408</f>
        <v>-859.46981980631381</v>
      </c>
      <c r="W1011" t="s">
        <v>10209</v>
      </c>
      <c r="X1011" t="s">
        <v>10210</v>
      </c>
      <c r="Y1011" t="s">
        <v>10211</v>
      </c>
    </row>
    <row r="1012" spans="1:25" x14ac:dyDescent="0.3">
      <c r="A1012">
        <v>50550</v>
      </c>
      <c r="B1012" t="s">
        <v>10212</v>
      </c>
      <c r="C1012">
        <f>-657.294172735282 -44.4647751682 -93.4967926765551</f>
        <v>-795.25574058003713</v>
      </c>
      <c r="D1012">
        <f>-675.912913759398 -54.2963555176891 -207.395457048256</f>
        <v>-937.60472632534311</v>
      </c>
      <c r="E1012">
        <f>-683.81432334731 -61.2999346456425 -305.452428081061</f>
        <v>-1050.5666860740134</v>
      </c>
      <c r="F1012">
        <f>-688.289323210993 -67.3313693474181 -394.232080295532</f>
        <v>-1149.852772853943</v>
      </c>
      <c r="G1012">
        <f>-689.742064363965 -73.0708682151042 -483.132039752729</f>
        <v>-1245.9449723317982</v>
      </c>
      <c r="H1012">
        <f>-688.594656201821 -80.8626806198329 -607.465336226746</f>
        <v>-1376.9226730483997</v>
      </c>
      <c r="I1012">
        <f>-660.530311713773 -82.2121169106822 -685.667689366281</f>
        <v>-1428.4101179907361</v>
      </c>
      <c r="J1012">
        <f>-692.996215425917 -50.0561328353044 -554.504013446327</f>
        <v>-1297.5563617075484</v>
      </c>
      <c r="K1012" t="s">
        <v>10213</v>
      </c>
      <c r="L1012" t="s">
        <v>10214</v>
      </c>
      <c r="M1012" t="s">
        <v>10215</v>
      </c>
      <c r="N1012">
        <f>-685.202907951478 -104.811557354208 -551.00077208263</f>
        <v>-1341.0152373883161</v>
      </c>
      <c r="O1012">
        <f>-666.976196831898 -235.457327777401 -512.305287488201</f>
        <v>-1414.7388120975002</v>
      </c>
      <c r="P1012">
        <f>-639.611595316026 -270.592673517301 -221.430901524966</f>
        <v>-1131.635170358293</v>
      </c>
      <c r="Q1012">
        <f>-481.300236402584 -91.0969505467015 -249.173620866541</f>
        <v>-821.57080781582647</v>
      </c>
      <c r="R1012" t="s">
        <v>10216</v>
      </c>
      <c r="S1012" t="s">
        <v>10217</v>
      </c>
      <c r="T1012" t="s">
        <v>10218</v>
      </c>
      <c r="U1012" t="s">
        <v>10219</v>
      </c>
      <c r="V1012">
        <f>-630.972967732307 -137.642132946738 -90.922610147405</f>
        <v>-859.53771082644994</v>
      </c>
      <c r="W1012" t="s">
        <v>10220</v>
      </c>
      <c r="X1012" t="s">
        <v>10221</v>
      </c>
      <c r="Y1012" t="s">
        <v>10222</v>
      </c>
    </row>
    <row r="1013" spans="1:25" x14ac:dyDescent="0.3">
      <c r="A1013">
        <v>50600</v>
      </c>
      <c r="B1013" t="s">
        <v>10223</v>
      </c>
      <c r="C1013">
        <f>-657.297885135294 -44.3683278423039 -93.5152675422804</f>
        <v>-795.18148051987828</v>
      </c>
      <c r="D1013">
        <f>-676.03485836794 -54.2325765056335 -207.391775538423</f>
        <v>-937.65921041199647</v>
      </c>
      <c r="E1013">
        <f>-684.021523847012 -61.2514224868576 -305.440751937384</f>
        <v>-1050.7136982712536</v>
      </c>
      <c r="F1013">
        <f>-688.567016928829 -67.2917370750765 -394.216257992497</f>
        <v>-1150.0750119964025</v>
      </c>
      <c r="G1013">
        <f>-690.083228597002 -73.0353733385048 -483.114753897673</f>
        <v>-1246.2333558331798</v>
      </c>
      <c r="H1013">
        <f>-689.017486868477 -80.8284531269067 -607.448831239145</f>
        <v>-1377.2947712345285</v>
      </c>
      <c r="I1013">
        <f>-661.018287425523 -82.1834042813975 -685.674309281508</f>
        <v>-1428.8760009884286</v>
      </c>
      <c r="J1013">
        <f>-693.355410549723 -50.0174268716253 -554.484954125372</f>
        <v>-1297.8577915467204</v>
      </c>
      <c r="K1013" t="s">
        <v>10224</v>
      </c>
      <c r="L1013" t="s">
        <v>10225</v>
      </c>
      <c r="M1013" t="s">
        <v>10226</v>
      </c>
      <c r="N1013">
        <f>-685.617569715433 -104.780903972811 -550.986175821021</f>
        <v>-1341.3846495092648</v>
      </c>
      <c r="O1013">
        <f>-667.502358668165 -235.433362615195 -512.263295262056</f>
        <v>-1415.1990165454158</v>
      </c>
      <c r="P1013">
        <f>-639.863323425893 -270.466810875197 -221.402574591072</f>
        <v>-1131.732708892162</v>
      </c>
      <c r="Q1013">
        <f>-481.508385711506 -91.0262161423429 -249.252990301946</f>
        <v>-821.78759215579498</v>
      </c>
      <c r="R1013" t="s">
        <v>10227</v>
      </c>
      <c r="S1013" t="s">
        <v>10228</v>
      </c>
      <c r="T1013" t="s">
        <v>10229</v>
      </c>
      <c r="U1013" t="s">
        <v>10230</v>
      </c>
      <c r="V1013">
        <f>-631.000006373993 -137.535624341712 -90.9196225762547</f>
        <v>-859.45525329195971</v>
      </c>
      <c r="W1013" t="s">
        <v>10231</v>
      </c>
      <c r="X1013" t="s">
        <v>10232</v>
      </c>
      <c r="Y1013" t="s">
        <v>10233</v>
      </c>
    </row>
    <row r="1014" spans="1:25" x14ac:dyDescent="0.3">
      <c r="A1014">
        <v>50650</v>
      </c>
      <c r="B1014" t="s">
        <v>10234</v>
      </c>
      <c r="C1014">
        <f>-657.38642649189 -44.4503284161697 -93.5135318546641</f>
        <v>-795.35028676272373</v>
      </c>
      <c r="D1014">
        <f>-676.184340362733 -54.3209212095367 -207.379386150206</f>
        <v>-937.88464772247562</v>
      </c>
      <c r="E1014">
        <f>-684.211932016879 -61.3413282831893 -305.424939478881</f>
        <v>-1050.9781997789494</v>
      </c>
      <c r="F1014">
        <f>-688.789515754655 -67.3814422970909 -394.198840378733</f>
        <v>-1150.3697984304788</v>
      </c>
      <c r="G1014">
        <f>-690.333073048766 -73.1236726117056 -483.097025988043</f>
        <v>-1246.5537716485146</v>
      </c>
      <c r="H1014">
        <f>-689.300192883417 -80.9138299564852 -607.431492582223</f>
        <v>-1377.6455154221253</v>
      </c>
      <c r="I1014">
        <f>-661.333923663112 -82.273779803211 -685.668771315856</f>
        <v>-1429.2764747821791</v>
      </c>
      <c r="J1014">
        <f>-693.610486865737 -50.1020920542373 -554.465788124855</f>
        <v>-1298.1783670448294</v>
      </c>
      <c r="K1014" t="s">
        <v>10235</v>
      </c>
      <c r="L1014" t="s">
        <v>10236</v>
      </c>
      <c r="M1014" t="s">
        <v>10237</v>
      </c>
      <c r="N1014">
        <f>-685.898932433537 -104.869524103488 -550.970271099991</f>
        <v>-1341.7387276370159</v>
      </c>
      <c r="O1014">
        <f>-667.83786908959 -235.524002251984 -512.237629591241</f>
        <v>-1415.5995009328149</v>
      </c>
      <c r="P1014">
        <f>-640.125673576739 -270.527339992556 -221.380322566892</f>
        <v>-1132.033336136187</v>
      </c>
      <c r="Q1014">
        <f>-481.729774176401 -91.1327698077328 -249.294335860194</f>
        <v>-822.15687984432782</v>
      </c>
      <c r="R1014" t="s">
        <v>10238</v>
      </c>
      <c r="S1014" t="s">
        <v>10239</v>
      </c>
      <c r="T1014" t="s">
        <v>10240</v>
      </c>
      <c r="U1014" t="s">
        <v>10241</v>
      </c>
      <c r="V1014">
        <f>-631.156707825682 -137.680309852164 -90.9158687362547</f>
        <v>-859.75288641410066</v>
      </c>
      <c r="W1014" t="s">
        <v>10242</v>
      </c>
      <c r="X1014" t="s">
        <v>10243</v>
      </c>
      <c r="Y1014" t="s">
        <v>10244</v>
      </c>
    </row>
    <row r="1015" spans="1:25" x14ac:dyDescent="0.3">
      <c r="A1015">
        <v>50700</v>
      </c>
      <c r="B1015" t="s">
        <v>10245</v>
      </c>
      <c r="C1015">
        <f>-657.574468737406 -44.3269719607995 -93.508445331148</f>
        <v>-795.40988602935352</v>
      </c>
      <c r="D1015">
        <f>-676.44726733873 -54.202934773343 -207.361349747743</f>
        <v>-938.011551859816</v>
      </c>
      <c r="E1015">
        <f>-684.540257368718 -61.2198192052856 -305.401771542654</f>
        <v>-1051.1618481166577</v>
      </c>
      <c r="F1015">
        <f>-689.177953351682 -67.2530864752785 -394.173128209944</f>
        <v>-1150.6041680369044</v>
      </c>
      <c r="G1015">
        <f>-690.781470918743 -72.9851058410443 -483.070811923189</f>
        <v>-1246.8373886829763</v>
      </c>
      <c r="H1015">
        <f>-689.833243198727 -80.7572343844063 -607.407037014424</f>
        <v>-1377.9975145975573</v>
      </c>
      <c r="I1015">
        <f>-661.942520019961 -82.1199208944915 -685.671299195683</f>
        <v>-1429.7337401101354</v>
      </c>
      <c r="J1015">
        <f>-694.083078559324 -49.9496492137685 -554.434057985782</f>
        <v>-1298.4667857588745</v>
      </c>
      <c r="K1015" t="s">
        <v>10246</v>
      </c>
      <c r="L1015" t="s">
        <v>10247</v>
      </c>
      <c r="M1015" t="s">
        <v>10248</v>
      </c>
      <c r="N1015">
        <f>-686.417884556673 -104.724571729698 -550.951644255132</f>
        <v>-1342.0941005415029</v>
      </c>
      <c r="O1015">
        <f>-668.480307850259 -235.403602468968 -512.232782151484</f>
        <v>-1416.1166924707109</v>
      </c>
      <c r="P1015">
        <f>-640.612304253259 -270.347326650384 -221.383107833394</f>
        <v>-1132.3427387370371</v>
      </c>
      <c r="Q1015">
        <f>-482.134189335515 -91.0465387936827 -249.432592506629</f>
        <v>-822.61332063582665</v>
      </c>
      <c r="R1015" t="s">
        <v>10249</v>
      </c>
      <c r="S1015" t="s">
        <v>10250</v>
      </c>
      <c r="T1015" t="s">
        <v>10251</v>
      </c>
      <c r="U1015" t="s">
        <v>10252</v>
      </c>
      <c r="V1015">
        <f>-631.364682004833 -137.469567798577 -90.9165564479778</f>
        <v>-859.75080625138776</v>
      </c>
      <c r="W1015" t="s">
        <v>10253</v>
      </c>
      <c r="X1015" t="s">
        <v>10254</v>
      </c>
      <c r="Y1015" t="s">
        <v>10255</v>
      </c>
    </row>
    <row r="1016" spans="1:25" x14ac:dyDescent="0.3">
      <c r="A1016">
        <v>50750</v>
      </c>
      <c r="B1016" t="s">
        <v>10256</v>
      </c>
      <c r="C1016">
        <f>-657.671573678203 -44.2552451731526 -93.5131566731719</f>
        <v>-795.43997552452754</v>
      </c>
      <c r="D1016">
        <f>-676.583001534447 -54.1291214057371 -207.359997160641</f>
        <v>-938.07212010082515</v>
      </c>
      <c r="E1016">
        <f>-684.702325991522 -61.1436700696595 -305.398333975037</f>
        <v>-1051.2443300362186</v>
      </c>
      <c r="F1016">
        <f>-689.360935530696 -67.1740711339053 -394.168663297749</f>
        <v>-1150.7036699623502</v>
      </c>
      <c r="G1016">
        <f>-690.98315057329 -72.9028595687598 -483.066261273627</f>
        <v>-1246.9522714156769</v>
      </c>
      <c r="H1016">
        <f>-690.057643057576 -80.6700241128879 -607.403157639513</f>
        <v>-1378.1308248099767</v>
      </c>
      <c r="I1016">
        <f>-662.193506635556 -82.0341005014627 -685.676597919761</f>
        <v>-1429.9042050567796</v>
      </c>
      <c r="J1016">
        <f>-694.286715775155 -49.8629901236286 -554.42795830573</f>
        <v>-1298.5776642045137</v>
      </c>
      <c r="K1016" t="s">
        <v>10257</v>
      </c>
      <c r="L1016" t="s">
        <v>10258</v>
      </c>
      <c r="M1016" t="s">
        <v>10259</v>
      </c>
      <c r="N1016">
        <f>-686.643337072328 -104.641223821688 -550.949222164032</f>
        <v>-1342.2337830580479</v>
      </c>
      <c r="O1016">
        <f>-668.758438375395 -235.321428142966 -512.215783869863</f>
        <v>-1416.2956503882242</v>
      </c>
      <c r="P1016">
        <f>-640.819102266367 -270.250122899153 -221.371168248905</f>
        <v>-1132.440393414425</v>
      </c>
      <c r="Q1016">
        <f>-482.30210667913 -90.9942594928712 -249.487503535795</f>
        <v>-822.78386970779616</v>
      </c>
      <c r="R1016" t="s">
        <v>10260</v>
      </c>
      <c r="S1016" t="s">
        <v>10261</v>
      </c>
      <c r="T1016" t="s">
        <v>10262</v>
      </c>
      <c r="U1016" t="s">
        <v>10263</v>
      </c>
      <c r="V1016">
        <f>-631.504931443551 -137.379829346621 -90.9149461289045</f>
        <v>-859.79970691907647</v>
      </c>
      <c r="W1016" t="s">
        <v>10264</v>
      </c>
      <c r="X1016" t="s">
        <v>10265</v>
      </c>
      <c r="Y1016" t="s">
        <v>10266</v>
      </c>
    </row>
    <row r="1017" spans="1:25" x14ac:dyDescent="0.3">
      <c r="A1017">
        <v>50800</v>
      </c>
      <c r="B1017" t="s">
        <v>10267</v>
      </c>
      <c r="C1017">
        <f>-657.766523648723 -44.2277502861721 -93.4986585242199</f>
        <v>-795.49293245911497</v>
      </c>
      <c r="D1017">
        <f>-676.745959005794 -54.112856881281 -207.333074010342</f>
        <v>-938.19188989741701</v>
      </c>
      <c r="E1017">
        <f>-684.917205477946 -61.1460890821675 -305.365841543135</f>
        <v>-1051.4291361032485</v>
      </c>
      <c r="F1017">
        <f>-689.62027938265 -67.1973231488978 -394.13239805488</f>
        <v>-1150.9500005864279</v>
      </c>
      <c r="G1017">
        <f>-691.284268660575 -72.9514282580635 -483.027673937196</f>
        <v>-1247.2633708558346</v>
      </c>
      <c r="H1017">
        <f>-690.414835925105 -80.7590411982526 -607.362234382417</f>
        <v>-1378.5361115057744</v>
      </c>
      <c r="I1017">
        <f>-662.593149386079 -82.1690869047495 -685.650174508265</f>
        <v>-1430.4124107990933</v>
      </c>
      <c r="J1017">
        <f>-694.594572135097 -49.931300255008 -554.395373548924</f>
        <v>-1298.9212459390289</v>
      </c>
      <c r="K1017" t="s">
        <v>10268</v>
      </c>
      <c r="L1017" t="s">
        <v>10269</v>
      </c>
      <c r="M1017" t="s">
        <v>10270</v>
      </c>
      <c r="N1017">
        <f>-687.000414063296 -104.71535072257 -550.902068675627</f>
        <v>-1342.6178334614929</v>
      </c>
      <c r="O1017">
        <f>-669.226455521402 -235.397029371339 -512.132706402137</f>
        <v>-1416.7561912948781</v>
      </c>
      <c r="P1017">
        <f>-641.106414908229 -270.22472954729 -221.293327291556</f>
        <v>-1132.6244717470749</v>
      </c>
      <c r="Q1017">
        <f>-482.489298341537 -91.0761728392201 -249.529912452717</f>
        <v>-823.09538363347406</v>
      </c>
      <c r="R1017" t="s">
        <v>10271</v>
      </c>
      <c r="S1017" t="s">
        <v>10272</v>
      </c>
      <c r="T1017" t="s">
        <v>10273</v>
      </c>
      <c r="U1017" t="s">
        <v>10274</v>
      </c>
      <c r="V1017">
        <f>-631.613526329005 -137.32905159122 -90.8980959558078</f>
        <v>-859.84067387603284</v>
      </c>
      <c r="W1017" t="s">
        <v>10275</v>
      </c>
      <c r="X1017" t="s">
        <v>10276</v>
      </c>
      <c r="Y1017" t="s">
        <v>10277</v>
      </c>
    </row>
    <row r="1018" spans="1:25" x14ac:dyDescent="0.3">
      <c r="A1018">
        <v>50850</v>
      </c>
      <c r="B1018" t="s">
        <v>10278</v>
      </c>
      <c r="C1018">
        <f>-657.766829301883 -44.2219442433477 -93.4808289518928</f>
        <v>-795.46960249712356</v>
      </c>
      <c r="D1018">
        <f>-676.791463890959 -54.1172478437536 -207.306818350795</f>
        <v>-938.21553008550757</v>
      </c>
      <c r="E1018">
        <f>-684.987010414055 -61.1597465980983 -305.336922207473</f>
        <v>-1051.4836792196263</v>
      </c>
      <c r="F1018">
        <f>-689.706038071517 -67.2198906936346 -394.101970655122</f>
        <v>-1151.0278994202736</v>
      </c>
      <c r="G1018">
        <f>-691.380103358425 -72.9840093215976 -482.996527823452</f>
        <v>-1247.3606405034745</v>
      </c>
      <c r="H1018">
        <f>-690.518458576841 -80.8070121507044 -607.330073893629</f>
        <v>-1378.6555446211744</v>
      </c>
      <c r="I1018">
        <f>-662.711063050116 -82.2366196178004 -685.622779624802</f>
        <v>-1430.5704622927183</v>
      </c>
      <c r="J1018">
        <f>-694.684357478654 -49.9711891828567 -554.366826217863</f>
        <v>-1299.0223728793737</v>
      </c>
      <c r="K1018" t="s">
        <v>10279</v>
      </c>
      <c r="L1018" t="s">
        <v>10280</v>
      </c>
      <c r="M1018" t="s">
        <v>10281</v>
      </c>
      <c r="N1018">
        <f>-687.110875960994 -104.757773464946 -550.867238846341</f>
        <v>-1342.735888272281</v>
      </c>
      <c r="O1018">
        <f>-669.397108085397 -235.446112280975 -512.078261047779</f>
        <v>-1416.921481414151</v>
      </c>
      <c r="P1018">
        <f>-641.232775194401 -270.172374820011 -221.231176544499</f>
        <v>-1132.6363265589109</v>
      </c>
      <c r="Q1018">
        <f>-482.526061628762 -91.1139729045335 -249.534669395363</f>
        <v>-823.17470392865857</v>
      </c>
      <c r="R1018" t="s">
        <v>10282</v>
      </c>
      <c r="S1018" t="s">
        <v>10283</v>
      </c>
      <c r="T1018" t="s">
        <v>10284</v>
      </c>
      <c r="U1018" t="s">
        <v>10285</v>
      </c>
      <c r="V1018">
        <f>-631.610062451134 -137.312120961712 -90.8858623752052</f>
        <v>-859.80804578805123</v>
      </c>
      <c r="W1018" t="s">
        <v>10286</v>
      </c>
      <c r="X1018" t="s">
        <v>10287</v>
      </c>
      <c r="Y1018" t="s">
        <v>10288</v>
      </c>
    </row>
    <row r="1019" spans="1:25" x14ac:dyDescent="0.3">
      <c r="A1019">
        <v>50900</v>
      </c>
      <c r="B1019" t="s">
        <v>10289</v>
      </c>
      <c r="C1019">
        <f>-657.873422817715 -44.1829096085135 -93.5169108402683</f>
        <v>-795.57324326649677</v>
      </c>
      <c r="D1019">
        <f>-676.963507202162 -54.0969391213582 -207.33038162748</f>
        <v>-938.39082795100012</v>
      </c>
      <c r="E1019">
        <f>-685.181148719882 -61.1486860762438 -305.358021487372</f>
        <v>-1051.6878562834979</v>
      </c>
      <c r="F1019">
        <f>-689.906151003219 -67.2147146475984 -394.122350970263</f>
        <v>-1151.2432166210804</v>
      </c>
      <c r="G1019">
        <f>-691.572509270675 -72.9827932001854 -483.016714226987</f>
        <v>-1247.5720166978474</v>
      </c>
      <c r="H1019">
        <f>-690.685445159188 -80.8094460363268 -607.349959776421</f>
        <v>-1378.8448509719358</v>
      </c>
      <c r="I1019">
        <f>-662.902441847953 -82.2810035931318 -685.650441400404</f>
        <v>-1430.8338868414889</v>
      </c>
      <c r="J1019">
        <f>-694.849722689361 -49.9703975941802 -554.388435851411</f>
        <v>-1299.2085561349522</v>
      </c>
      <c r="K1019" t="s">
        <v>10290</v>
      </c>
      <c r="L1019" t="s">
        <v>10291</v>
      </c>
      <c r="M1019" t="s">
        <v>10292</v>
      </c>
      <c r="N1019">
        <f>-687.301750921171 -104.760218210768 -550.885556657906</f>
        <v>-1342.947525789845</v>
      </c>
      <c r="O1019">
        <f>-669.68559426773 -235.451304144475 -512.058279387713</f>
        <v>-1417.1951777999179</v>
      </c>
      <c r="P1019">
        <f>-641.511696011344 -270.028076815708 -221.194285521378</f>
        <v>-1132.7340583484302</v>
      </c>
      <c r="Q1019">
        <f>-482.719801833413 -91.0706232421689 -249.659447370905</f>
        <v>-823.44987244648689</v>
      </c>
      <c r="R1019" t="s">
        <v>10293</v>
      </c>
      <c r="S1019" t="s">
        <v>10294</v>
      </c>
      <c r="T1019" t="s">
        <v>10295</v>
      </c>
      <c r="U1019" t="s">
        <v>10296</v>
      </c>
      <c r="V1019">
        <f>-631.741533524488 -137.276608094293 -90.9134137740692</f>
        <v>-859.93155539285021</v>
      </c>
      <c r="W1019" t="s">
        <v>10297</v>
      </c>
      <c r="X1019" t="s">
        <v>10298</v>
      </c>
      <c r="Y1019" t="s">
        <v>10299</v>
      </c>
    </row>
    <row r="1020" spans="1:25" x14ac:dyDescent="0.3">
      <c r="A1020">
        <v>50950</v>
      </c>
      <c r="B1020" t="s">
        <v>10300</v>
      </c>
      <c r="C1020">
        <f>-657.96497369515 -44.0889111494696 -93.5259642998698</f>
        <v>-795.57984914448934</v>
      </c>
      <c r="D1020">
        <f>-677.088027030527 -54.0054804055837 -207.333639275992</f>
        <v>-938.42714671210274</v>
      </c>
      <c r="E1020">
        <f>-685.318798734496 -61.0699633868651 -305.359165427365</f>
        <v>-1051.747927548726</v>
      </c>
      <c r="F1020">
        <f>-690.050010385685 -67.1516542950103 -394.122162500391</f>
        <v>-1151.3238271810865</v>
      </c>
      <c r="G1020">
        <f>-691.716773480598 -72.9399049575529 -483.015163897612</f>
        <v>-1247.6718423357629</v>
      </c>
      <c r="H1020">
        <f>-690.824284574845 -80.7996913334771 -607.346323966082</f>
        <v>-1378.9702998744042</v>
      </c>
      <c r="I1020">
        <f>-663.044839458001 -82.2939870255582 -685.647592343781</f>
        <v>-1430.98641882734</v>
      </c>
      <c r="J1020">
        <f>-694.980009977148 -49.9450444341585 -554.393177079397</f>
        <v>-1299.3182314907035</v>
      </c>
      <c r="K1020" t="s">
        <v>10301</v>
      </c>
      <c r="L1020" t="s">
        <v>10302</v>
      </c>
      <c r="M1020" t="s">
        <v>10303</v>
      </c>
      <c r="N1020">
        <f>-687.453860869989 -104.736921379558 -550.875434315204</f>
        <v>-1343.0662165647509</v>
      </c>
      <c r="O1020">
        <f>-669.876420170395 -235.419751720984 -512.014872106011</f>
        <v>-1417.31104399739</v>
      </c>
      <c r="P1020">
        <f>-641.658799613727 -269.91103465626 -221.144962867956</f>
        <v>-1132.7147971379429</v>
      </c>
      <c r="Q1020">
        <f>-482.821737193899 -91.0051152923622 -249.680088204673</f>
        <v>-823.50694069093424</v>
      </c>
      <c r="R1020" t="s">
        <v>10304</v>
      </c>
      <c r="S1020" t="s">
        <v>10305</v>
      </c>
      <c r="T1020" t="s">
        <v>10306</v>
      </c>
      <c r="U1020" t="s">
        <v>10307</v>
      </c>
      <c r="V1020">
        <f>-631.849673281734 -137.135128727949 -90.9124169299694</f>
        <v>-859.89721893965236</v>
      </c>
      <c r="W1020" t="s">
        <v>10308</v>
      </c>
      <c r="X1020" t="s">
        <v>10309</v>
      </c>
      <c r="Y1020" t="s">
        <v>10310</v>
      </c>
    </row>
    <row r="1021" spans="1:25" x14ac:dyDescent="0.3">
      <c r="A1021">
        <v>51000</v>
      </c>
      <c r="B1021" t="s">
        <v>10311</v>
      </c>
      <c r="C1021">
        <f>-658.167110988389 -43.9541824214098 -93.5027633429232</f>
        <v>-795.62405675272203</v>
      </c>
      <c r="D1021">
        <f>-677.361670066308 -53.8790449714425 -207.297718418466</f>
        <v>-938.53843345621635</v>
      </c>
      <c r="E1021">
        <f>-685.659477078562 -60.9665358454617 -305.315941994802</f>
        <v>-1051.9419549188258</v>
      </c>
      <c r="F1021">
        <f>-690.454192731161 -67.0744715037345 -394.07375794628</f>
        <v>-1151.6024221811754</v>
      </c>
      <c r="G1021">
        <f>-692.187189248425 -72.8947545536141 -482.963296458764</f>
        <v>-1248.0452402608032</v>
      </c>
      <c r="H1021">
        <f>-691.390562147538 -80.8048561644207 -607.291955651877</f>
        <v>-1379.4873739638356</v>
      </c>
      <c r="I1021">
        <f>-663.679426170999 -82.3333251194763 -685.616760567896</f>
        <v>-1431.6295118583712</v>
      </c>
      <c r="J1021">
        <f>-695.46780238762 -49.9237491721469 -554.348306238566</f>
        <v>-1299.7398577983331</v>
      </c>
      <c r="K1021" t="s">
        <v>10312</v>
      </c>
      <c r="L1021" t="s">
        <v>10313</v>
      </c>
      <c r="M1021" t="s">
        <v>10314</v>
      </c>
      <c r="N1021">
        <f>-688.014309685901 -104.724429557794 -550.813881115895</f>
        <v>-1343.55262035959</v>
      </c>
      <c r="O1021">
        <f>-670.641736368882 -235.409786392158 -511.857883858366</f>
        <v>-1417.9094066194061</v>
      </c>
      <c r="P1021">
        <f>-642.331742156983 -269.667922758396 -220.969281065155</f>
        <v>-1132.968945980534</v>
      </c>
      <c r="Q1021">
        <f>-483.390801564496 -90.8917904267885 -249.739333418955</f>
        <v>-824.02192541023942</v>
      </c>
      <c r="R1021" t="s">
        <v>10315</v>
      </c>
      <c r="S1021" t="s">
        <v>10316</v>
      </c>
      <c r="T1021" t="s">
        <v>10317</v>
      </c>
      <c r="U1021" t="s">
        <v>10318</v>
      </c>
      <c r="V1021">
        <f>-632.161263548277 -136.944979028877 -90.8981683013056</f>
        <v>-860.00441087845968</v>
      </c>
      <c r="W1021" t="s">
        <v>10319</v>
      </c>
      <c r="X1021" t="s">
        <v>10320</v>
      </c>
      <c r="Y1021" t="s">
        <v>10321</v>
      </c>
    </row>
    <row r="1022" spans="1:25" x14ac:dyDescent="0.3">
      <c r="A1022">
        <v>51050</v>
      </c>
      <c r="B1022" t="s">
        <v>10322</v>
      </c>
      <c r="C1022">
        <f>-658.32158746463 -43.9224006974996 -93.478592428402</f>
        <v>-795.72258059053161</v>
      </c>
      <c r="D1022">
        <f>-677.558730242427 -53.8519779630049 -207.26595755049</f>
        <v>-938.67666575592193</v>
      </c>
      <c r="E1022">
        <f>-685.904872074387 -60.9528810059755 -305.279110238766</f>
        <v>-1052.1368633191285</v>
      </c>
      <c r="F1022">
        <f>-690.748010873999 -67.0758552222987 -394.033278685971</f>
        <v>-1151.8571447822687</v>
      </c>
      <c r="G1022">
        <f>-692.534310772871 -72.9140413441469 -482.920639773805</f>
        <v>-1248.3689918908228</v>
      </c>
      <c r="H1022">
        <f>-691.817680997571 -80.8520273124625 -607.247900023015</f>
        <v>-1379.9176083330485</v>
      </c>
      <c r="I1022">
        <f>-664.161585876161 -82.4075312928753 -685.591747755592</f>
        <v>-1432.1608649246282</v>
      </c>
      <c r="J1022">
        <f>-695.843399993765 -49.9565808202278 -554.308600209409</f>
        <v>-1300.1085810234017</v>
      </c>
      <c r="K1022" t="s">
        <v>10323</v>
      </c>
      <c r="L1022" t="s">
        <v>10324</v>
      </c>
      <c r="M1022" t="s">
        <v>10325</v>
      </c>
      <c r="N1022">
        <f>-688.422600933219 -104.761254615443 -550.766703962806</f>
        <v>-1343.9505595114679</v>
      </c>
      <c r="O1022">
        <f>-671.147009394587 -235.44293563963 -511.773074750451</f>
        <v>-1418.363019784668</v>
      </c>
      <c r="P1022">
        <f>-642.905001480036 -269.517333769802 -220.856280875803</f>
        <v>-1133.2786161256411</v>
      </c>
      <c r="Q1022">
        <f>-483.832836653196 -90.8790631353766 -249.7575537746</f>
        <v>-824.46945356317269</v>
      </c>
      <c r="R1022" t="s">
        <v>10326</v>
      </c>
      <c r="S1022" t="s">
        <v>10327</v>
      </c>
      <c r="T1022" t="s">
        <v>10328</v>
      </c>
      <c r="U1022" t="s">
        <v>10329</v>
      </c>
      <c r="V1022">
        <f>-632.377299142747 -136.951106899918 -90.8707987205356</f>
        <v>-860.19920476320056</v>
      </c>
      <c r="W1022" t="s">
        <v>10330</v>
      </c>
      <c r="X1022" t="s">
        <v>10331</v>
      </c>
      <c r="Y1022" t="s">
        <v>10332</v>
      </c>
    </row>
    <row r="1023" spans="1:25" x14ac:dyDescent="0.3">
      <c r="A1023">
        <v>51100</v>
      </c>
      <c r="B1023" t="s">
        <v>10333</v>
      </c>
      <c r="C1023">
        <f>-658.669814516116 -43.9032906583955 -93.4537565554386</f>
        <v>-796.02686172995016</v>
      </c>
      <c r="D1023">
        <f>-678.006734658368 -53.8319463832586 -207.224278868953</f>
        <v>-939.06295991057959</v>
      </c>
      <c r="E1023">
        <f>-686.480153420107 -60.9584890432498 -305.224660853081</f>
        <v>-1052.6633033164376</v>
      </c>
      <c r="F1023">
        <f>-691.4558145889 -67.1142707986562 -393.969121395135</f>
        <v>-1152.5392067826913</v>
      </c>
      <c r="G1023">
        <f>-693.392457962996 -72.9951197953912 -482.85067633889</f>
        <v>-1249.2382540972771</v>
      </c>
      <c r="H1023">
        <f>-692.904261360842 -81.0029708797044 -607.174602425255</f>
        <v>-1381.0818346658016</v>
      </c>
      <c r="I1023">
        <f>-665.356204266236 -82.6414177589977 -685.554680540789</f>
        <v>-1433.5523025660227</v>
      </c>
      <c r="J1023">
        <f>-696.786834757624 -50.0715010655133 -554.245460223159</f>
        <v>-1301.1037960462963</v>
      </c>
      <c r="K1023" t="s">
        <v>10334</v>
      </c>
      <c r="L1023" t="s">
        <v>10335</v>
      </c>
      <c r="M1023" t="s">
        <v>10336</v>
      </c>
      <c r="N1023">
        <f>-689.45134903133 -104.886625148599 -550.685910425784</f>
        <v>-1345.023884605713</v>
      </c>
      <c r="O1023">
        <f>-672.384604569846 -235.577556916923 -511.619024284132</f>
        <v>-1419.5811857709009</v>
      </c>
      <c r="P1023">
        <f>-644.006354096983 -269.451931708494 -220.692202906761</f>
        <v>-1134.150488712238</v>
      </c>
      <c r="Q1023">
        <f>-484.716420708291 -91.0484691234144 -249.843625111421</f>
        <v>-825.60851494312647</v>
      </c>
      <c r="R1023" t="s">
        <v>10337</v>
      </c>
      <c r="S1023" t="s">
        <v>10338</v>
      </c>
      <c r="T1023" t="s">
        <v>10339</v>
      </c>
      <c r="U1023" t="s">
        <v>10340</v>
      </c>
      <c r="V1023">
        <f>-632.79690633291 -136.910392151952 -90.8433240707839</f>
        <v>-860.55062255564587</v>
      </c>
      <c r="W1023" t="s">
        <v>10341</v>
      </c>
      <c r="X1023" t="s">
        <v>10342</v>
      </c>
      <c r="Y1023" t="s">
        <v>10343</v>
      </c>
    </row>
    <row r="1024" spans="1:25" x14ac:dyDescent="0.3">
      <c r="A1024">
        <v>51150</v>
      </c>
      <c r="B1024" t="s">
        <v>10344</v>
      </c>
      <c r="C1024">
        <f>-658.801832226597 -43.868139063303 -93.4478634870202</f>
        <v>-796.11783477692018</v>
      </c>
      <c r="D1024">
        <f>-678.175045032885 -53.8058420487746 -207.211459719697</f>
        <v>-939.19234680135662</v>
      </c>
      <c r="E1024">
        <f>-686.700318774413 -60.9467789320884 -305.206257295055</f>
        <v>-1052.8533550015563</v>
      </c>
      <c r="F1024">
        <f>-691.73166603731 -67.1179599915986 -393.946563378531</f>
        <v>-1152.7961894074397</v>
      </c>
      <c r="G1024">
        <f>-693.732517276834 -73.0167036499881 -482.825315710929</f>
        <v>-1249.574536637751</v>
      </c>
      <c r="H1024">
        <f>-693.343462529558 -81.0523585228125 -607.147908949891</f>
        <v>-1381.5437300022613</v>
      </c>
      <c r="I1024">
        <f>-665.856294910442 -82.7387689887446 -685.548391684026</f>
        <v>-1434.1434555832125</v>
      </c>
      <c r="J1024">
        <f>-697.160075493489 -50.1059040730381 -554.222781369635</f>
        <v>-1301.4887609361622</v>
      </c>
      <c r="K1024" t="s">
        <v>10345</v>
      </c>
      <c r="L1024" t="s">
        <v>10346</v>
      </c>
      <c r="M1024" t="s">
        <v>10347</v>
      </c>
      <c r="N1024">
        <f>-689.869372942083 -104.926531774869 -550.656645135254</f>
        <v>-1345.4525498522062</v>
      </c>
      <c r="O1024">
        <f>-672.884262024785 -235.621755980726 -511.580081763546</f>
        <v>-1420.086099769057</v>
      </c>
      <c r="P1024">
        <f>-644.478559296711 -269.401203452709 -220.64480763012</f>
        <v>-1134.5245703795399</v>
      </c>
      <c r="Q1024">
        <f>-485.036980374228 -91.1427407781673 -249.854680995707</f>
        <v>-826.03440214810223</v>
      </c>
      <c r="R1024" t="s">
        <v>10348</v>
      </c>
      <c r="S1024" t="s">
        <v>10349</v>
      </c>
      <c r="T1024" t="s">
        <v>10350</v>
      </c>
      <c r="U1024" t="s">
        <v>10351</v>
      </c>
      <c r="V1024">
        <f>-632.929582176835 -136.848581260237 -90.8388529953414</f>
        <v>-860.61701643241338</v>
      </c>
      <c r="W1024" t="s">
        <v>10352</v>
      </c>
      <c r="X1024" t="s">
        <v>10353</v>
      </c>
      <c r="Y1024" t="s">
        <v>10354</v>
      </c>
    </row>
    <row r="1025" spans="1:25" x14ac:dyDescent="0.3">
      <c r="A1025">
        <v>51200</v>
      </c>
      <c r="B1025" t="s">
        <v>10355</v>
      </c>
      <c r="C1025">
        <f>-659.210615055761 -43.8410427843505 -93.4603878493758</f>
        <v>-796.51204568948731</v>
      </c>
      <c r="D1025">
        <f>-678.647900291765 -53.804707881523 -207.210726041548</f>
        <v>-939.66333421483603</v>
      </c>
      <c r="E1025">
        <f>-687.308868384466 -60.9971139152096 -305.189873332734</f>
        <v>-1053.4958556324095</v>
      </c>
      <c r="F1025">
        <f>-692.49604180309 -67.2261622606836 -393.917212737873</f>
        <v>-1153.6394168016466</v>
      </c>
      <c r="G1025">
        <f>-694.685816995241 -73.1944050334837 -482.786811704082</f>
        <v>-1250.6670337328067</v>
      </c>
      <c r="H1025">
        <f>-694.595787564483 -81.3397500503424 -607.102876261181</f>
        <v>-1383.0384138760064</v>
      </c>
      <c r="I1025">
        <f>-667.253240625563 -83.1173057017518 -685.551795143546</f>
        <v>-1435.9223414708608</v>
      </c>
      <c r="J1025">
        <f>-698.237248228001 -50.3403515873533 -554.1964020834</f>
        <v>-1302.7740018987542</v>
      </c>
      <c r="K1025" t="s">
        <v>10356</v>
      </c>
      <c r="L1025" t="s">
        <v>10357</v>
      </c>
      <c r="M1025" t="s">
        <v>10358</v>
      </c>
      <c r="N1025">
        <f>-691.033509322243 -105.17038302271 -550.598651528855</f>
        <v>-1346.8025438738082</v>
      </c>
      <c r="O1025">
        <f>-674.155634451573 -235.878976400226 -511.516426337741</f>
        <v>-1421.55103718954</v>
      </c>
      <c r="P1025">
        <f>-645.595317700474 -269.608804407623 -220.590576288919</f>
        <v>-1135.794698397016</v>
      </c>
      <c r="Q1025">
        <f>-486.038454829687 -91.4482906661549 -249.768364812044</f>
        <v>-827.25511030788584</v>
      </c>
      <c r="R1025" t="s">
        <v>10359</v>
      </c>
      <c r="S1025" t="s">
        <v>10360</v>
      </c>
      <c r="T1025" t="s">
        <v>10361</v>
      </c>
      <c r="U1025" t="s">
        <v>10362</v>
      </c>
      <c r="V1025">
        <f>-633.398805302292 -136.858565580402 -90.8276504981964</f>
        <v>-861.08502138089034</v>
      </c>
      <c r="W1025" t="s">
        <v>10363</v>
      </c>
      <c r="X1025" t="s">
        <v>10364</v>
      </c>
      <c r="Y1025" t="s">
        <v>10365</v>
      </c>
    </row>
    <row r="1026" spans="1:25" x14ac:dyDescent="0.3">
      <c r="A1026">
        <v>51250</v>
      </c>
      <c r="B1026" t="s">
        <v>10366</v>
      </c>
      <c r="C1026">
        <f>-659.463793787676 -43.8318087700864 -93.460441441681</f>
        <v>-796.75604399944336</v>
      </c>
      <c r="D1026">
        <f>-678.913824358929 -53.8121361592468 -207.207239531426</f>
        <v>-939.93320004960185</v>
      </c>
      <c r="E1026">
        <f>-687.640989084457 -61.0266436888778 -305.178769136644</f>
        <v>-1053.8464019099788</v>
      </c>
      <c r="F1026">
        <f>-692.91017984549 -67.2784485390205 -393.899754768171</f>
        <v>-1154.0883831526814</v>
      </c>
      <c r="G1026">
        <f>-695.204436190963 -73.2724036383779 -482.765075209196</f>
        <v>-1251.2419150385369</v>
      </c>
      <c r="H1026">
        <f>-695.283995258304 -81.4567231401386 -607.078416629907</f>
        <v>-1383.8191350283496</v>
      </c>
      <c r="I1026">
        <f>-668.017301986459 -83.2719288842388 -685.553089353371</f>
        <v>-1436.8423202240688</v>
      </c>
      <c r="J1026">
        <f>-698.834697733523 -50.4383569190431 -554.177042986994</f>
        <v>-1303.4500976395602</v>
      </c>
      <c r="K1026" t="s">
        <v>10367</v>
      </c>
      <c r="L1026" t="s">
        <v>10368</v>
      </c>
      <c r="M1026" t="s">
        <v>10369</v>
      </c>
      <c r="N1026">
        <f>-691.663251134705 -105.272166923658 -550.571474033381</f>
        <v>-1347.506892091744</v>
      </c>
      <c r="O1026">
        <f>-674.806936178321 -235.992461774252 -511.51557840623</f>
        <v>-1422.3149763588031</v>
      </c>
      <c r="P1026">
        <f>-646.162180434692 -269.648661416221 -220.589589049682</f>
        <v>-1136.400430900595</v>
      </c>
      <c r="Q1026">
        <f>-486.55232653502 -91.5359730277848 -249.768672594142</f>
        <v>-827.85697215694677</v>
      </c>
      <c r="R1026" t="s">
        <v>10370</v>
      </c>
      <c r="S1026" t="s">
        <v>10371</v>
      </c>
      <c r="T1026" t="s">
        <v>10372</v>
      </c>
      <c r="U1026" t="s">
        <v>10373</v>
      </c>
      <c r="V1026">
        <f>-633.620278898296 -136.872917231033 -90.8286638024942</f>
        <v>-861.32185993182316</v>
      </c>
      <c r="W1026" t="s">
        <v>10374</v>
      </c>
      <c r="X1026" t="s">
        <v>10375</v>
      </c>
      <c r="Y1026" t="s">
        <v>10376</v>
      </c>
    </row>
    <row r="1027" spans="1:25" x14ac:dyDescent="0.3">
      <c r="A1027">
        <v>51300</v>
      </c>
      <c r="B1027" t="s">
        <v>10377</v>
      </c>
      <c r="C1027">
        <f>-659.919487165586 -43.587870599363 -93.4888383381083</f>
        <v>-796.99619610305729</v>
      </c>
      <c r="D1027">
        <f>-679.415478549186 -53.614914707056 -207.223604216847</f>
        <v>-940.25399747308893</v>
      </c>
      <c r="E1027">
        <f>-688.261104075053 -60.8775110426229 -305.18102351067</f>
        <v>-1054.319638628346</v>
      </c>
      <c r="F1027">
        <f>-693.66930357305 -67.1758975036773 -393.890272157878</f>
        <v>-1154.7354732346053</v>
      </c>
      <c r="G1027">
        <f>-696.134707085762 -73.2198163756359 -482.74765947963</f>
        <v>-1252.1021829410279</v>
      </c>
      <c r="H1027">
        <f>-696.487044264959 -81.4773448595729 -607.055669040755</f>
        <v>-1385.0200581652869</v>
      </c>
      <c r="I1027">
        <f>-669.355262694428 -83.3616288258602 -685.575501712107</f>
        <v>-1438.2923932323952</v>
      </c>
      <c r="J1027">
        <f>-699.884069333759 -50.4229327658027 -554.165310291953</f>
        <v>-1304.4723123915146</v>
      </c>
      <c r="K1027" t="s">
        <v>10378</v>
      </c>
      <c r="L1027" t="s">
        <v>10379</v>
      </c>
      <c r="M1027" t="s">
        <v>10380</v>
      </c>
      <c r="N1027">
        <f>-692.780089573649 -105.264208702952 -550.542417699593</f>
        <v>-1348.586715976194</v>
      </c>
      <c r="O1027">
        <f>-675.962253155211 -236.001286906169 -511.522766158679</f>
        <v>-1423.4863062200589</v>
      </c>
      <c r="P1027">
        <f>-646.999611742535 -269.625025232949 -220.624438337435</f>
        <v>-1137.2490753129191</v>
      </c>
      <c r="Q1027">
        <f>-487.358177125633 -91.545707047336 -249.834478221067</f>
        <v>-828.73836239403602</v>
      </c>
      <c r="R1027" t="s">
        <v>10381</v>
      </c>
      <c r="S1027" t="s">
        <v>10382</v>
      </c>
      <c r="T1027" t="s">
        <v>10383</v>
      </c>
      <c r="U1027" t="s">
        <v>10384</v>
      </c>
      <c r="V1027">
        <f>-634.012466674496 -136.535623110509 -90.8410934227179</f>
        <v>-861.38918320772291</v>
      </c>
      <c r="W1027" t="s">
        <v>10385</v>
      </c>
      <c r="X1027" t="s">
        <v>10386</v>
      </c>
      <c r="Y1027" t="s">
        <v>10387</v>
      </c>
    </row>
    <row r="1028" spans="1:25" x14ac:dyDescent="0.3">
      <c r="A1028">
        <v>51350</v>
      </c>
      <c r="B1028" t="s">
        <v>10388</v>
      </c>
      <c r="C1028">
        <f>-660.148475849013 -43.5573154552239 -93.4909907734678</f>
        <v>-797.19678207770482</v>
      </c>
      <c r="D1028">
        <f>-679.672483367143 -53.5999064321049 -207.219633100418</f>
        <v>-940.49202289966593</v>
      </c>
      <c r="E1028">
        <f>-688.575988586375 -60.8784768706571 -305.170607992896</f>
        <v>-1054.6250734499281</v>
      </c>
      <c r="F1028">
        <f>-694.050300473637 -67.1925343611811 -393.874598140552</f>
        <v>-1155.1174329753701</v>
      </c>
      <c r="G1028">
        <f>-696.59546127308 -73.2528942396457 -482.728675002543</f>
        <v>-1252.5770305152687</v>
      </c>
      <c r="H1028">
        <f>-697.073422267088 -81.5344449170341 -607.034763050321</f>
        <v>-1385.642630234443</v>
      </c>
      <c r="I1028">
        <f>-669.991217624501 -83.4447676106158 -685.571043616573</f>
        <v>-1439.0070288516899</v>
      </c>
      <c r="J1028">
        <f>-700.402284950547 -50.4679355833457 -554.147203565749</f>
        <v>-1305.0174240996416</v>
      </c>
      <c r="K1028" t="s">
        <v>10389</v>
      </c>
      <c r="L1028" t="s">
        <v>10390</v>
      </c>
      <c r="M1028" t="s">
        <v>10391</v>
      </c>
      <c r="N1028">
        <f>-693.323797893629 -105.312435945785 -550.520531313139</f>
        <v>-1349.1567651525529</v>
      </c>
      <c r="O1028">
        <f>-676.512584282342 -236.051527661405 -511.513306041171</f>
        <v>-1424.0774179849179</v>
      </c>
      <c r="P1028">
        <f>-647.412392092513 -269.60504924714 -220.620643462613</f>
        <v>-1137.6380848022661</v>
      </c>
      <c r="Q1028">
        <f>-487.813068326558 -91.485624617326 -249.816140142224</f>
        <v>-829.11483308610798</v>
      </c>
      <c r="R1028" t="s">
        <v>10392</v>
      </c>
      <c r="S1028" t="s">
        <v>10393</v>
      </c>
      <c r="T1028" t="s">
        <v>10394</v>
      </c>
      <c r="U1028" t="s">
        <v>10395</v>
      </c>
      <c r="V1028">
        <f>-634.268343740968 -136.555593655624 -90.8330700018286</f>
        <v>-861.65700739842055</v>
      </c>
      <c r="W1028" t="s">
        <v>10396</v>
      </c>
      <c r="X1028" t="s">
        <v>10397</v>
      </c>
      <c r="Y1028" t="s">
        <v>10398</v>
      </c>
    </row>
    <row r="1029" spans="1:25" x14ac:dyDescent="0.3">
      <c r="A1029">
        <v>51400</v>
      </c>
      <c r="B1029" t="s">
        <v>10399</v>
      </c>
      <c r="C1029">
        <f>-660.512428236171 -43.4788188400291 -93.4969284690128</f>
        <v>-797.48817554521293</v>
      </c>
      <c r="D1029">
        <f>-680.10006026322 -53.5727578596288 -207.209998144103</f>
        <v>-940.88281626695186</v>
      </c>
      <c r="E1029">
        <f>-689.138229608222 -60.8379731492255 -305.149629240726</f>
        <v>-1055.1258319981735</v>
      </c>
      <c r="F1029">
        <f>-694.765475487657 -67.1152407529746 -393.846729994637</f>
        <v>-1155.7274462352686</v>
      </c>
      <c r="G1029">
        <f>-697.494070000926 -73.1133220011945 -482.699583021404</f>
        <v>-1253.3069750235245</v>
      </c>
      <c r="H1029">
        <f>-698.260090748744 -81.2797014017904 -607.011857059636</f>
        <v>-1386.5516492101704</v>
      </c>
      <c r="I1029">
        <f>-671.232884846972 -83.1754582502931 -685.567220033796</f>
        <v>-1439.9755631310611</v>
      </c>
      <c r="J1029">
        <f>-701.485064394241 -50.2645785238524 -554.087575288004</f>
        <v>-1305.8372182060975</v>
      </c>
      <c r="K1029" t="s">
        <v>10400</v>
      </c>
      <c r="L1029" t="s">
        <v>10401</v>
      </c>
      <c r="M1029" t="s">
        <v>10402</v>
      </c>
      <c r="N1029">
        <f>-694.360997034559 -105.107575225101 -550.528754620022</f>
        <v>-1349.9973268796821</v>
      </c>
      <c r="O1029">
        <f>-677.536470991543 -235.856840437464 -511.525900319327</f>
        <v>-1424.919211748334</v>
      </c>
      <c r="P1029">
        <f>-648.109249133519 -269.425901028938 -220.667988771654</f>
        <v>-1138.2031389341109</v>
      </c>
      <c r="Q1029">
        <f>-488.777738352467 -91.0491000983886 -249.754357279004</f>
        <v>-829.58119572985959</v>
      </c>
      <c r="R1029" t="s">
        <v>10403</v>
      </c>
      <c r="S1029" t="s">
        <v>10404</v>
      </c>
      <c r="T1029" t="s">
        <v>10405</v>
      </c>
      <c r="U1029" t="s">
        <v>10406</v>
      </c>
      <c r="V1029">
        <f>-634.641115978922 -136.405171849866 -90.8134533264041</f>
        <v>-861.85974115519218</v>
      </c>
      <c r="W1029" t="s">
        <v>10407</v>
      </c>
      <c r="X1029" t="s">
        <v>10408</v>
      </c>
      <c r="Y1029" t="s">
        <v>10409</v>
      </c>
    </row>
    <row r="1030" spans="1:25" x14ac:dyDescent="0.3">
      <c r="A1030">
        <v>51450</v>
      </c>
      <c r="B1030" t="s">
        <v>10410</v>
      </c>
      <c r="C1030">
        <f>-660.692088976794 -43.458163206974 -93.4915214703294</f>
        <v>-797.64177365409739</v>
      </c>
      <c r="D1030">
        <f>-680.249488118985 -53.5475629239766 -207.210156893493</f>
        <v>-941.00720793645462</v>
      </c>
      <c r="E1030">
        <f>-689.287983000308 -60.7664488302378 -305.153229059568</f>
        <v>-1055.2076608901139</v>
      </c>
      <c r="F1030">
        <f>-694.925178109802 -66.9832914727031 -393.853900892531</f>
        <v>-1155.7623704750361</v>
      </c>
      <c r="G1030">
        <f>-697.673194886453 -72.9013755435685 -482.711571418489</f>
        <v>-1253.2861418485104</v>
      </c>
      <c r="H1030">
        <f>-698.47547846495 -80.9347426474469 -607.032301068598</f>
        <v>-1386.442522180995</v>
      </c>
      <c r="I1030">
        <f>-671.415606820181 -82.7925019829731 -685.577392770896</f>
        <v>-1439.7855015740502</v>
      </c>
      <c r="J1030">
        <f>-701.71007463895 -49.9795488898867 -554.073597690454</f>
        <v>-1305.7632212192907</v>
      </c>
      <c r="K1030" t="s">
        <v>10411</v>
      </c>
      <c r="L1030" t="s">
        <v>10412</v>
      </c>
      <c r="M1030" t="s">
        <v>10413</v>
      </c>
      <c r="N1030">
        <f>-694.534814481164 -104.819828946193 -550.576134369473</f>
        <v>-1349.9307777968299</v>
      </c>
      <c r="O1030">
        <f>-677.700591093678 -235.544289551098 -511.533538127312</f>
        <v>-1424.7784187720881</v>
      </c>
      <c r="P1030">
        <f>-648.068915163763 -269.324771954327 -220.720739388007</f>
        <v>-1138.1144265060968</v>
      </c>
      <c r="Q1030">
        <f>-488.908931612395 -90.7907594463215 -249.782837400394</f>
        <v>-829.48252845911054</v>
      </c>
      <c r="R1030" t="s">
        <v>10414</v>
      </c>
      <c r="S1030" t="s">
        <v>10415</v>
      </c>
      <c r="T1030" t="s">
        <v>10416</v>
      </c>
      <c r="U1030" t="s">
        <v>10417</v>
      </c>
      <c r="V1030">
        <f>-634.842484801961 -136.436470000542 -90.804003497871</f>
        <v>-862.082958300374</v>
      </c>
      <c r="W1030" t="s">
        <v>10418</v>
      </c>
      <c r="X1030" t="s">
        <v>10419</v>
      </c>
      <c r="Y1030" t="s">
        <v>10420</v>
      </c>
    </row>
    <row r="1031" spans="1:25" x14ac:dyDescent="0.3">
      <c r="A1031">
        <v>51500</v>
      </c>
      <c r="B1031" t="s">
        <v>10421</v>
      </c>
      <c r="C1031">
        <f>-661.079022157172 -43.4363247492965 -93.4423074769292</f>
        <v>-797.95765438339765</v>
      </c>
      <c r="D1031">
        <f>-680.721415888162 -53.5235317341976 -207.146480388327</f>
        <v>-941.3914280106867</v>
      </c>
      <c r="E1031">
        <f>-689.641699147044 -60.6583028531788 -305.106610712305</f>
        <v>-1055.4066127125279</v>
      </c>
      <c r="F1031">
        <f>-695.09357326495 -66.7677610744024 -393.826398465925</f>
        <v>-1155.6877328052774</v>
      </c>
      <c r="G1031">
        <f>-697.577214427897 -72.5477960830924 -482.700708991813</f>
        <v>-1252.8257195028025</v>
      </c>
      <c r="H1031">
        <f>-697.925643013399 -80.3565957169174 -607.037892401819</f>
        <v>-1385.3201311321354</v>
      </c>
      <c r="I1031">
        <f>-670.832493708006 -82.3338935170736 -685.568644051023</f>
        <v>-1438.7350312761027</v>
      </c>
      <c r="J1031">
        <f>-701.402651509444 -49.5035775323609 -554.034990929656</f>
        <v>-1304.9412199714609</v>
      </c>
      <c r="K1031" t="s">
        <v>10422</v>
      </c>
      <c r="L1031" t="s">
        <v>10423</v>
      </c>
      <c r="M1031" t="s">
        <v>10424</v>
      </c>
      <c r="N1031">
        <f>-694.141960118649 -104.337202029778 -550.611540336847</f>
        <v>-1349.0907024852741</v>
      </c>
      <c r="O1031">
        <f>-677.294436119126 -235.046432001352 -511.520663838521</f>
        <v>-1423.861531958999</v>
      </c>
      <c r="P1031">
        <f>-648.060317252907 -269.131722097154 -220.703271260084</f>
        <v>-1137.8953106101451</v>
      </c>
      <c r="Q1031">
        <f>-489.05970400831 -90.4584318468712 -249.781405548502</f>
        <v>-829.29954140368318</v>
      </c>
      <c r="R1031" t="s">
        <v>10425</v>
      </c>
      <c r="S1031" t="s">
        <v>10426</v>
      </c>
      <c r="T1031" t="s">
        <v>10427</v>
      </c>
      <c r="U1031" t="s">
        <v>10428</v>
      </c>
      <c r="V1031">
        <f>-635.166884804753 -136.581708840945 -90.7685350315689</f>
        <v>-862.5171286772669</v>
      </c>
      <c r="W1031" t="s">
        <v>10429</v>
      </c>
      <c r="X1031" t="s">
        <v>10430</v>
      </c>
      <c r="Y1031" t="s">
        <v>10431</v>
      </c>
    </row>
    <row r="1032" spans="1:25" x14ac:dyDescent="0.3">
      <c r="A1032">
        <v>51550</v>
      </c>
      <c r="B1032" t="s">
        <v>10432</v>
      </c>
      <c r="C1032">
        <f>-661.323364487998 -43.5306366356185 -93.4442962104831</f>
        <v>-798.29829733409963</v>
      </c>
      <c r="D1032">
        <f>-680.988909317808 -53.6161473645461 -207.144647045463</f>
        <v>-941.74970372781706</v>
      </c>
      <c r="E1032">
        <f>-689.741468106487 -60.6724942022961 -305.125503790904</f>
        <v>-1055.5394660996872</v>
      </c>
      <c r="F1032">
        <f>-694.964486816046 -66.6830320630779 -393.865844220403</f>
        <v>-1155.5133630995269</v>
      </c>
      <c r="G1032">
        <f>-697.140924971768 -72.3374100691883 -482.756400368955</f>
        <v>-1252.2347354099113</v>
      </c>
      <c r="H1032">
        <f>-696.977779425855 -79.9443984006393 -607.106367251725</f>
        <v>-1384.0285450782194</v>
      </c>
      <c r="I1032">
        <f>-670.383379456108 -82.4628168916045 -685.791952411676</f>
        <v>-1438.6381487593885</v>
      </c>
      <c r="J1032">
        <f>-700.703003703652 -49.1814318596355 -554.067913551267</f>
        <v>-1303.9523491145546</v>
      </c>
      <c r="K1032" t="s">
        <v>10433</v>
      </c>
      <c r="L1032" t="s">
        <v>10434</v>
      </c>
      <c r="M1032" t="s">
        <v>10435</v>
      </c>
      <c r="N1032">
        <f>-693.3960091437 -104.012661660134 -550.704175416331</f>
        <v>-1348.112846220165</v>
      </c>
      <c r="O1032">
        <f>-676.466569289453 -234.717225947657 -511.630570356317</f>
        <v>-1422.8143655934268</v>
      </c>
      <c r="P1032">
        <f>-648.163569109932 -269.19370425533 -220.767182617741</f>
        <v>-1138.1244559830029</v>
      </c>
      <c r="Q1032">
        <f>-489.094195225523 -90.5593317522951 -249.708216071075</f>
        <v>-829.361743048893</v>
      </c>
      <c r="R1032" t="s">
        <v>10436</v>
      </c>
      <c r="S1032" t="s">
        <v>10437</v>
      </c>
      <c r="T1032" t="s">
        <v>10438</v>
      </c>
      <c r="U1032" t="s">
        <v>10439</v>
      </c>
      <c r="V1032">
        <f>-635.326440486628 -136.725299138208 -90.7578049587797</f>
        <v>-862.80954458361578</v>
      </c>
      <c r="W1032" t="s">
        <v>10440</v>
      </c>
      <c r="X1032" t="s">
        <v>10441</v>
      </c>
      <c r="Y1032" t="s">
        <v>10442</v>
      </c>
    </row>
    <row r="1033" spans="1:25" x14ac:dyDescent="0.3">
      <c r="A1033">
        <v>51600</v>
      </c>
      <c r="B1033" t="s">
        <v>10443</v>
      </c>
      <c r="C1033">
        <f>-661.833243088201 -43.1460196215753 -93.5655644381925</f>
        <v>-798.54482714796882</v>
      </c>
      <c r="D1033">
        <f>-680.923270332058 -52.9996931660535 -207.384237169756</f>
        <v>-941.30720066786751</v>
      </c>
      <c r="E1033">
        <f>-688.96362177966 -59.6574366605157 -305.454081608498</f>
        <v>-1054.0751400486738</v>
      </c>
      <c r="F1033">
        <f>-693.450835269531 -65.2332478904464 -394.263001359078</f>
        <v>-1152.9470845190554</v>
      </c>
      <c r="G1033">
        <f>-694.796835577129 -70.379949525696 -483.200833261182</f>
        <v>-1248.377618364007</v>
      </c>
      <c r="H1033">
        <f>-693.372907340551 -77.2032371177024 -607.588084475923</f>
        <v>-1378.1642289341764</v>
      </c>
      <c r="I1033">
        <f>-668.484120099277 -81.932345366941 -686.728612415547</f>
        <v>-1437.145077881765</v>
      </c>
      <c r="J1033">
        <f>-697.714502926692 -46.785505604013 -554.397850669389</f>
        <v>-1298.897859200094</v>
      </c>
      <c r="K1033" t="s">
        <v>10444</v>
      </c>
      <c r="L1033" t="s">
        <v>10445</v>
      </c>
      <c r="M1033" t="s">
        <v>10446</v>
      </c>
      <c r="N1033">
        <f>-690.284512229907 -101.616038151155 -551.30502663475</f>
        <v>-1343.205577015812</v>
      </c>
      <c r="O1033">
        <f>-673.257340866036 -232.576812516298 -513.117327652814</f>
        <v>-1418.9514810351479</v>
      </c>
      <c r="P1033">
        <f>-648.393539549507 -268.90390010596 -222.164829365581</f>
        <v>-1139.4622690210481</v>
      </c>
      <c r="Q1033">
        <f>-489.048904681877 -90.2688305941454 -249.545470243262</f>
        <v>-828.86320551928441</v>
      </c>
      <c r="R1033" t="s">
        <v>10447</v>
      </c>
      <c r="S1033" t="s">
        <v>10448</v>
      </c>
      <c r="T1033" t="s">
        <v>10449</v>
      </c>
      <c r="U1033" t="s">
        <v>10450</v>
      </c>
      <c r="V1033">
        <f>-635.599303905 -136.083301367279 -90.9313312043652</f>
        <v>-862.6139364766442</v>
      </c>
      <c r="W1033" t="s">
        <v>10451</v>
      </c>
      <c r="X1033" t="s">
        <v>10452</v>
      </c>
      <c r="Y1033" t="s">
        <v>10453</v>
      </c>
    </row>
    <row r="1034" spans="1:25" x14ac:dyDescent="0.3">
      <c r="A1034">
        <v>51650</v>
      </c>
      <c r="B1034" t="s">
        <v>10454</v>
      </c>
      <c r="C1034">
        <f>-662.123185655559 -42.3787320198198 -93.6430133925132</f>
        <v>-798.14493106789212</v>
      </c>
      <c r="D1034">
        <f>-680.780042029522 -52.0262097098621 -207.55119369181</f>
        <v>-940.35744543119404</v>
      </c>
      <c r="E1034">
        <f>-688.396272108263 -58.4874397218853 -305.667901708959</f>
        <v>-1052.5516135391072</v>
      </c>
      <c r="F1034">
        <f>-692.478333972983 -63.8797295696104 -394.507798920839</f>
        <v>-1150.8658624634324</v>
      </c>
      <c r="G1034">
        <f>-693.39764201422 -68.8374174119413 -483.461733680018</f>
        <v>-1245.6967931061793</v>
      </c>
      <c r="H1034">
        <f>-691.354327544294 -75.3917263071987 -607.855079359257</f>
        <v>-1374.6011332107498</v>
      </c>
      <c r="I1034">
        <f>-667.251188912624 -81.2886669601407 -687.160060233271</f>
        <v>-1435.6999161060357</v>
      </c>
      <c r="J1034">
        <f>-695.980801932774 -45.0915641546906 -554.621475763747</f>
        <v>-1295.6938418512116</v>
      </c>
      <c r="K1034" t="s">
        <v>10455</v>
      </c>
      <c r="L1034" t="s">
        <v>10456</v>
      </c>
      <c r="M1034" t="s">
        <v>10457</v>
      </c>
      <c r="N1034">
        <f>-688.526330696682 -99.9233909645004 -551.609992927786</f>
        <v>-1340.0597145889683</v>
      </c>
      <c r="O1034">
        <f>-671.704663829086 -231.039714412873 -513.908470948592</f>
        <v>-1416.652849190551</v>
      </c>
      <c r="P1034">
        <f>-647.86066234169 -268.350021170293 -222.995058153718</f>
        <v>-1139.205741665701</v>
      </c>
      <c r="Q1034">
        <f>-488.719108787319 -89.3844187337988 -249.378451836254</f>
        <v>-827.48197935737176</v>
      </c>
      <c r="R1034" t="s">
        <v>10458</v>
      </c>
      <c r="S1034" t="s">
        <v>10459</v>
      </c>
      <c r="T1034" t="s">
        <v>10460</v>
      </c>
      <c r="U1034" t="s">
        <v>10461</v>
      </c>
      <c r="V1034">
        <f>-635.960896061996 -135.19825112229 -91.1105006616925</f>
        <v>-862.26964784597851</v>
      </c>
      <c r="W1034" t="s">
        <v>10462</v>
      </c>
      <c r="X1034" t="s">
        <v>10463</v>
      </c>
      <c r="Y1034" t="s">
        <v>10464</v>
      </c>
    </row>
    <row r="1035" spans="1:25" x14ac:dyDescent="0.3">
      <c r="A1035">
        <v>51700</v>
      </c>
      <c r="B1035" t="s">
        <v>10465</v>
      </c>
      <c r="C1035">
        <f>-662.763657776591 -39.5684349849389 -93.9000628501839</f>
        <v>-796.23215561171378</v>
      </c>
      <c r="D1035">
        <f>-680.703797621263 -48.9921890074829 -207.942052760378</f>
        <v>-937.63803938912395</v>
      </c>
      <c r="E1035">
        <f>-687.810687314138 -55.4210321276839 -306.099097275294</f>
        <v>-1049.330816717116</v>
      </c>
      <c r="F1035">
        <f>-691.478320333227 -60.8433794139069 -394.955063332229</f>
        <v>-1147.2767630793628</v>
      </c>
      <c r="G1035">
        <f>-692.031354011659 -65.8904663618885 -483.907151718163</f>
        <v>-1241.8289720917105</v>
      </c>
      <c r="H1035">
        <f>-689.528067384791 -72.6300171093665 -608.281991237585</f>
        <v>-1370.4400757317426</v>
      </c>
      <c r="I1035">
        <f>-666.491334024322 -79.0164672488463 -687.865571310019</f>
        <v>-1433.3733725831873</v>
      </c>
      <c r="J1035">
        <f>-694.279383970108 -42.2409812204546 -555.110217877476</f>
        <v>-1291.6305830680385</v>
      </c>
      <c r="K1035" t="s">
        <v>10466</v>
      </c>
      <c r="L1035" t="s">
        <v>10467</v>
      </c>
      <c r="M1035" t="s">
        <v>10468</v>
      </c>
      <c r="N1035">
        <f>-686.97994005457 -97.0876195951739 -551.991423876483</f>
        <v>-1336.0589835262269</v>
      </c>
      <c r="O1035">
        <f>-670.577401879053 -228.180564354192 -513.962921278907</f>
        <v>-1412.7208875121519</v>
      </c>
      <c r="P1035">
        <f>-646.189445740971 -265.790988757133 -223.133153776899</f>
        <v>-1135.1135882750029</v>
      </c>
      <c r="Q1035">
        <f>-487.255751247082 -86.5925624625827 -249.187522586636</f>
        <v>-823.03583629630066</v>
      </c>
      <c r="R1035" t="s">
        <v>10469</v>
      </c>
      <c r="S1035" t="s">
        <v>10470</v>
      </c>
      <c r="T1035" t="s">
        <v>10471</v>
      </c>
      <c r="U1035" t="s">
        <v>10472</v>
      </c>
      <c r="V1035">
        <f>-636.839755096519 -132.46397335334 -91.5457067480171</f>
        <v>-860.84943519787601</v>
      </c>
      <c r="W1035" t="s">
        <v>10473</v>
      </c>
      <c r="X1035" t="s">
        <v>10474</v>
      </c>
      <c r="Y1035" t="s">
        <v>10475</v>
      </c>
    </row>
    <row r="1036" spans="1:25" x14ac:dyDescent="0.3">
      <c r="A1036">
        <v>51750</v>
      </c>
      <c r="B1036" t="s">
        <v>10476</v>
      </c>
      <c r="C1036">
        <f>-663.263251731958 -37.4793566465432 -94.205641161067</f>
        <v>-794.94824953956822</v>
      </c>
      <c r="D1036">
        <f>-681.040977540797 -46.9830376100983 -208.266444400507</f>
        <v>-936.29045955140236</v>
      </c>
      <c r="E1036">
        <f>-688.156270096712 -53.4880793899772 -306.41791404868</f>
        <v>-1048.0622635353693</v>
      </c>
      <c r="F1036">
        <f>-691.891278731661 -58.9790662504577 -395.266917843257</f>
        <v>-1146.1372628253757</v>
      </c>
      <c r="G1036">
        <f>-692.571592499545 -64.0928833488401 -484.214151528647</f>
        <v>-1240.878627377032</v>
      </c>
      <c r="H1036">
        <f>-690.309202681056 -70.9224924942512 -608.588882571739</f>
        <v>-1369.8205777470462</v>
      </c>
      <c r="I1036">
        <f>-667.474281325741 -77.0488304418186 -688.250934135892</f>
        <v>-1432.7740459034517</v>
      </c>
      <c r="J1036">
        <f>-694.922246055981 -40.4902584564684 -555.429593165165</f>
        <v>-1290.8420976776142</v>
      </c>
      <c r="K1036" t="s">
        <v>10477</v>
      </c>
      <c r="L1036" t="s">
        <v>10478</v>
      </c>
      <c r="M1036" t="s">
        <v>10479</v>
      </c>
      <c r="N1036">
        <f>-687.687410569207 -95.344066389782 -552.285763046325</f>
        <v>-1335.317240005314</v>
      </c>
      <c r="O1036">
        <f>-671.253542614675 -226.353463039983 -514.018231725577</f>
        <v>-1411.6252373802349</v>
      </c>
      <c r="P1036">
        <f>-646.786818735206 -263.479566498443 -223.132907921484</f>
        <v>-1133.3992931551329</v>
      </c>
      <c r="Q1036">
        <f>-487.573335598514 -84.5765633490689 -249.508245409481</f>
        <v>-821.65814435706386</v>
      </c>
      <c r="R1036" t="s">
        <v>10480</v>
      </c>
      <c r="S1036" t="s">
        <v>10481</v>
      </c>
      <c r="T1036" t="s">
        <v>10482</v>
      </c>
      <c r="U1036" t="s">
        <v>10483</v>
      </c>
      <c r="V1036">
        <f>-637.200072027018 -130.328564171592 -91.8842237271507</f>
        <v>-859.4128599257607</v>
      </c>
      <c r="W1036" t="s">
        <v>10484</v>
      </c>
      <c r="X1036" t="s">
        <v>10485</v>
      </c>
      <c r="Y1036" t="s">
        <v>10486</v>
      </c>
    </row>
    <row r="1037" spans="1:25" x14ac:dyDescent="0.3">
      <c r="A1037">
        <v>51800</v>
      </c>
      <c r="B1037" t="s">
        <v>10487</v>
      </c>
      <c r="C1037">
        <f>-664.545486032926 -32.5500214975591 -95.2705345979891</f>
        <v>-792.36604212847419</v>
      </c>
      <c r="D1037">
        <f>-682.139479051352 -42.3621212374965 -209.333710896825</f>
        <v>-933.8353111856735</v>
      </c>
      <c r="E1037">
        <f>-689.270515875681 -49.0968342603796 -307.468516039716</f>
        <v>-1045.8358661757766</v>
      </c>
      <c r="F1037">
        <f>-693.088707572513 -54.7800618817837 -396.301856234195</f>
        <v>-1144.1706256884918</v>
      </c>
      <c r="G1037">
        <f>-693.920380139113 -60.0694478493122 -485.237682326975</f>
        <v>-1239.2275103154002</v>
      </c>
      <c r="H1037">
        <f>-691.941029816294 -67.125190608627 -609.604455898489</f>
        <v>-1368.6706763234101</v>
      </c>
      <c r="I1037">
        <f>-668.957255382703 -73.2487277578409 -689.224004298796</f>
        <v>-1431.42998743934</v>
      </c>
      <c r="J1037">
        <f>-696.449728717972 -36.5985411511797 -556.490459768442</f>
        <v>-1289.5387296375936</v>
      </c>
      <c r="K1037" t="s">
        <v>10488</v>
      </c>
      <c r="L1037" t="s">
        <v>10489</v>
      </c>
      <c r="M1037" t="s">
        <v>10490</v>
      </c>
      <c r="N1037">
        <f>-689.174433537724 -91.4420547853999 -553.263134450384</f>
        <v>-1333.8796227735079</v>
      </c>
      <c r="O1037">
        <f>-672.722297388698 -222.417031820414 -514.914731623275</f>
        <v>-1410.054060832387</v>
      </c>
      <c r="P1037">
        <f>-648.376167806235 -258.622469814795 -223.903251301093</f>
        <v>-1130.9018889221229</v>
      </c>
      <c r="Q1037">
        <f>-488.810553425443 -80.1310806071779 -250.931337213488</f>
        <v>-819.87297124610882</v>
      </c>
      <c r="R1037" t="s">
        <v>10491</v>
      </c>
      <c r="S1037" t="s">
        <v>10492</v>
      </c>
      <c r="T1037" t="s">
        <v>10493</v>
      </c>
      <c r="U1037" t="s">
        <v>10494</v>
      </c>
      <c r="V1037">
        <f>-637.810601237491 -124.697511206784 -92.7894637662059</f>
        <v>-855.297576210481</v>
      </c>
      <c r="W1037" t="s">
        <v>10495</v>
      </c>
      <c r="X1037" t="s">
        <v>10496</v>
      </c>
      <c r="Y1037" t="s">
        <v>10497</v>
      </c>
    </row>
    <row r="1038" spans="1:25" x14ac:dyDescent="0.3">
      <c r="A1038">
        <v>51850</v>
      </c>
      <c r="B1038" t="s">
        <v>10498</v>
      </c>
      <c r="C1038">
        <f>-665.415237922867 -30.4642609403782 -95.914735053921</f>
        <v>-791.79423391716625</v>
      </c>
      <c r="D1038">
        <f>-683.01735534624 -40.4464288928352 -209.961807424882</f>
        <v>-933.42559166395722</v>
      </c>
      <c r="E1038">
        <f>-690.140207667624 -47.3621694601131 -308.084659678611</f>
        <v>-1045.5870368063481</v>
      </c>
      <c r="F1038">
        <f>-693.945602232494 -53.2242144129236 -396.906995203752</f>
        <v>-1144.0768118491696</v>
      </c>
      <c r="G1038">
        <f>-694.759490990349 -58.7076274213091 -485.83113084684</f>
        <v>-1239.2982492584981</v>
      </c>
      <c r="H1038">
        <f>-692.750079024811 -66.051142672226 -610.180811199701</f>
        <v>-1368.982032896738</v>
      </c>
      <c r="I1038">
        <f>-669.586755759087 -72.1972308106585 -689.746580737576</f>
        <v>-1431.5305673073217</v>
      </c>
      <c r="J1038">
        <f>-697.277214843278 -35.4024061184643 -557.138672332927</f>
        <v>-1289.8182932946693</v>
      </c>
      <c r="K1038" t="s">
        <v>10499</v>
      </c>
      <c r="L1038" t="s">
        <v>10500</v>
      </c>
      <c r="M1038" t="s">
        <v>10501</v>
      </c>
      <c r="N1038">
        <f>-689.991423511753 -90.2368763592974 -553.782666879444</f>
        <v>-1334.0109667504944</v>
      </c>
      <c r="O1038">
        <f>-673.602244002046 -221.13533422765 -515.135687983982</f>
        <v>-1409.8732662136781</v>
      </c>
      <c r="P1038">
        <f>-649.110555241972 -257.035584937948 -224.098867996137</f>
        <v>-1130.2450081760569</v>
      </c>
      <c r="Q1038">
        <f>-489.512948252134 -78.6533052923921 -251.653597354561</f>
        <v>-819.81985089908699</v>
      </c>
      <c r="R1038" t="s">
        <v>10502</v>
      </c>
      <c r="S1038" t="s">
        <v>10503</v>
      </c>
      <c r="T1038" t="s">
        <v>10504</v>
      </c>
      <c r="U1038" t="s">
        <v>10505</v>
      </c>
      <c r="V1038">
        <f>-638.494300141135 -122.367630588191 -93.1728056316123</f>
        <v>-854.03473636093827</v>
      </c>
      <c r="W1038" t="s">
        <v>10506</v>
      </c>
      <c r="X1038" t="s">
        <v>10507</v>
      </c>
      <c r="Y1038" t="s">
        <v>10508</v>
      </c>
    </row>
    <row r="1039" spans="1:25" x14ac:dyDescent="0.3">
      <c r="A1039">
        <v>51900</v>
      </c>
      <c r="B1039" t="s">
        <v>10509</v>
      </c>
      <c r="C1039">
        <f>-666.794713138461 -27.8222779082405 -97.025955861036</f>
        <v>-791.6429469077375</v>
      </c>
      <c r="D1039">
        <f>-684.3411407907 -37.854345403613 -211.07736035692</f>
        <v>-933.27284655123299</v>
      </c>
      <c r="E1039">
        <f>-691.374138714838 -45.0146935695263 -309.189072616034</f>
        <v>-1045.5779049003984</v>
      </c>
      <c r="F1039">
        <f>-695.085462927596 -51.1783246402538 -397.994992512848</f>
        <v>-1144.2587800806978</v>
      </c>
      <c r="G1039">
        <f>-695.794579959389 -57.0440994052867 -486.895616396415</f>
        <v>-1239.7342957610908</v>
      </c>
      <c r="H1039">
        <f>-693.629953187384 -65.0068955559882 -611.204568311817</f>
        <v>-1369.8414170551891</v>
      </c>
      <c r="I1039">
        <f>-669.838939290197 -71.0348799939704 -690.594043901014</f>
        <v>-1431.4678631851814</v>
      </c>
      <c r="J1039">
        <f>-698.187809397558 -34.0896192430098 -558.321249000947</f>
        <v>-1290.5986776415148</v>
      </c>
      <c r="K1039" t="s">
        <v>10510</v>
      </c>
      <c r="L1039" t="s">
        <v>10511</v>
      </c>
      <c r="M1039" t="s">
        <v>10512</v>
      </c>
      <c r="N1039">
        <f>-690.977265335827 -88.9161526643761 -554.683624028372</f>
        <v>-1334.5770420285753</v>
      </c>
      <c r="O1039">
        <f>-674.762460571907 -219.614516473434 -515.286832823601</f>
        <v>-1409.6638098689421</v>
      </c>
      <c r="P1039">
        <f>-650.779489770974 -254.373896290108 -224.068996812294</f>
        <v>-1129.2223828733761</v>
      </c>
      <c r="Q1039">
        <f>-491.019679619204 -76.2539815090306 -252.370615557674</f>
        <v>-819.64427668590861</v>
      </c>
      <c r="R1039" t="s">
        <v>10513</v>
      </c>
      <c r="S1039" t="s">
        <v>10514</v>
      </c>
      <c r="T1039" t="s">
        <v>10515</v>
      </c>
      <c r="U1039" t="s">
        <v>10516</v>
      </c>
      <c r="V1039">
        <f>-639.697204148594 -119.814001060372 -93.8064623325629</f>
        <v>-853.31766754152886</v>
      </c>
      <c r="W1039" t="s">
        <v>10517</v>
      </c>
      <c r="X1039" t="s">
        <v>10518</v>
      </c>
      <c r="Y1039" t="s">
        <v>10519</v>
      </c>
    </row>
    <row r="1040" spans="1:25" x14ac:dyDescent="0.3">
      <c r="A1040">
        <v>51950</v>
      </c>
      <c r="B1040" t="s">
        <v>10520</v>
      </c>
      <c r="C1040">
        <f>-666.90854987295 -27.6136640186448 -97.3003901012106</f>
        <v>-791.8226039928054</v>
      </c>
      <c r="D1040">
        <f>-684.400530116862 -37.6062392022391 -211.363458262461</f>
        <v>-933.37022758156206</v>
      </c>
      <c r="E1040">
        <f>-691.375043018256 -44.8502242700224 -309.47333965457</f>
        <v>-1045.6986069428483</v>
      </c>
      <c r="F1040">
        <f>-695.030719539843 -51.1366019903201 -398.272953713285</f>
        <v>-1144.440275243448</v>
      </c>
      <c r="G1040">
        <f>-695.683347982841 -57.1728200735195 -487.162593507264</f>
        <v>-1240.0187615636246</v>
      </c>
      <c r="H1040">
        <f>-693.439512616454 -65.4239452652394 -611.451390868565</f>
        <v>-1370.3148487502583</v>
      </c>
      <c r="I1040">
        <f>-669.299438304635 -71.4872890726192 -690.732584939299</f>
        <v>-1431.5193123165532</v>
      </c>
      <c r="J1040">
        <f>-698.000948590815 -34.3801293415411 -558.642389379803</f>
        <v>-1291.023467312159</v>
      </c>
      <c r="K1040" t="s">
        <v>10521</v>
      </c>
      <c r="L1040" t="s">
        <v>10522</v>
      </c>
      <c r="M1040" t="s">
        <v>10523</v>
      </c>
      <c r="N1040">
        <f>-690.852730970734 -89.2059429031003 -554.873580836342</f>
        <v>-1334.9322547101763</v>
      </c>
      <c r="O1040">
        <f>-674.83307711101 -219.807353678124 -515.124243290772</f>
        <v>-1409.7646740799059</v>
      </c>
      <c r="P1040">
        <f>-651.290937406109 -253.735305975018 -223.772502731774</f>
        <v>-1128.798746112901</v>
      </c>
      <c r="Q1040">
        <f>-491.370457223942 -75.8094811857661 -252.385704208608</f>
        <v>-819.56564261831613</v>
      </c>
      <c r="R1040" t="s">
        <v>10524</v>
      </c>
      <c r="S1040" t="s">
        <v>10525</v>
      </c>
      <c r="T1040" t="s">
        <v>10526</v>
      </c>
      <c r="U1040" t="s">
        <v>10527</v>
      </c>
      <c r="V1040">
        <f>-639.877007283906 -119.716903021854 -94.0176498728966</f>
        <v>-853.61156017865665</v>
      </c>
      <c r="W1040" t="s">
        <v>10528</v>
      </c>
      <c r="X1040" t="s">
        <v>10529</v>
      </c>
      <c r="Y1040" t="s">
        <v>10530</v>
      </c>
    </row>
    <row r="1041" spans="1:25" x14ac:dyDescent="0.3">
      <c r="A1041">
        <v>52000</v>
      </c>
      <c r="B1041" t="s">
        <v>10531</v>
      </c>
      <c r="C1041">
        <f>-666.724024671833 -28.1445003363663 -97.2569191828173</f>
        <v>-792.12544419101664</v>
      </c>
      <c r="D1041">
        <f>-684.182824767473 -38.156214843744 -211.323428583667</f>
        <v>-933.66246819488401</v>
      </c>
      <c r="E1041">
        <f>-691.032585359943 -45.596788609877 -309.427371814696</f>
        <v>-1046.0567457845159</v>
      </c>
      <c r="F1041">
        <f>-694.54006194262 -52.1363016730043 -398.214621906664</f>
        <v>-1144.8909855222882</v>
      </c>
      <c r="G1041">
        <f>-695.010911729686 -58.503138663546 -487.082382469295</f>
        <v>-1240.5964328625269</v>
      </c>
      <c r="H1041">
        <f>-692.479960297302 -67.2998388364026 -611.328184812021</f>
        <v>-1371.1079839457257</v>
      </c>
      <c r="I1041">
        <f>-667.773681488166 -73.6574350289729 -690.411706347216</f>
        <v>-1431.8428228643547</v>
      </c>
      <c r="J1041">
        <f>-697.129680502935 -36.0201591666228 -558.666396718852</f>
        <v>-1291.8162363884098</v>
      </c>
      <c r="K1041" t="s">
        <v>10532</v>
      </c>
      <c r="L1041" t="s">
        <v>10533</v>
      </c>
      <c r="M1041" t="s">
        <v>10534</v>
      </c>
      <c r="N1041">
        <f>-690.057721023785 -90.8375319143508 -554.641114956313</f>
        <v>-1335.5363678944489</v>
      </c>
      <c r="O1041">
        <f>-674.3517607031 -221.32665747268 -514.355123798169</f>
        <v>-1410.033541973949</v>
      </c>
      <c r="P1041">
        <f>-651.597622268395 -253.963241185364 -222.79331228718</f>
        <v>-1128.3541757409389</v>
      </c>
      <c r="Q1041">
        <f>-491.436393796183 -76.3795888987377 -252.175214591284</f>
        <v>-819.99119728620462</v>
      </c>
      <c r="R1041" t="s">
        <v>10535</v>
      </c>
      <c r="S1041" t="s">
        <v>10536</v>
      </c>
      <c r="T1041" t="s">
        <v>10537</v>
      </c>
      <c r="U1041" t="s">
        <v>10538</v>
      </c>
      <c r="V1041">
        <f>-639.741690282027 -120.214489886274 -94.1076704653739</f>
        <v>-854.06385063367486</v>
      </c>
      <c r="W1041" t="s">
        <v>10539</v>
      </c>
      <c r="X1041" t="s">
        <v>10540</v>
      </c>
      <c r="Y1041" t="s">
        <v>10541</v>
      </c>
    </row>
    <row r="1042" spans="1:25" x14ac:dyDescent="0.3">
      <c r="A1042">
        <v>52050</v>
      </c>
      <c r="B1042" t="s">
        <v>10542</v>
      </c>
      <c r="C1042">
        <f>-666.531068915671 -28.2341646311756 -97.162933527388</f>
        <v>-791.92816707423458</v>
      </c>
      <c r="D1042">
        <f>-684.011956546622 -38.2481047383067 -211.22598990827</f>
        <v>-933.48605119319859</v>
      </c>
      <c r="E1042">
        <f>-690.869213787473 -45.7485341221545 -309.32478890766</f>
        <v>-1045.9425368172874</v>
      </c>
      <c r="F1042">
        <f>-694.380306190085 -52.3655760283818 -398.106110206691</f>
        <v>-1144.8519924251577</v>
      </c>
      <c r="G1042">
        <f>-694.851581402035 -58.8346450753634 -486.96647294748</f>
        <v>-1240.6526994248784</v>
      </c>
      <c r="H1042">
        <f>-692.319269387175 -67.7997807053569 -611.20026917582</f>
        <v>-1371.319319268352</v>
      </c>
      <c r="I1042">
        <f>-667.450244432667 -74.2627634062794 -690.224225813105</f>
        <v>-1431.9372336520514</v>
      </c>
      <c r="J1042">
        <f>-696.958811641834 -36.4473162009351 -558.580811165208</f>
        <v>-1291.9869390079771</v>
      </c>
      <c r="K1042" t="s">
        <v>10543</v>
      </c>
      <c r="L1042" t="s">
        <v>10544</v>
      </c>
      <c r="M1042" t="s">
        <v>10545</v>
      </c>
      <c r="N1042">
        <f>-689.908483674764 -91.2620415143126 -554.481407297191</f>
        <v>-1335.6519324862677</v>
      </c>
      <c r="O1042">
        <f>-674.187600381629 -221.72510537968 -514.074270468035</f>
        <v>-1409.986976229344</v>
      </c>
      <c r="P1042">
        <f>-651.50826891205 -253.946478524758 -222.460478997961</f>
        <v>-1127.915226434769</v>
      </c>
      <c r="Q1042">
        <f>-491.425032106292 -76.3492746295228 -252.182705055368</f>
        <v>-819.95701179118282</v>
      </c>
      <c r="R1042" t="s">
        <v>10546</v>
      </c>
      <c r="S1042" t="s">
        <v>10547</v>
      </c>
      <c r="T1042" t="s">
        <v>10548</v>
      </c>
      <c r="U1042" t="s">
        <v>10549</v>
      </c>
      <c r="V1042">
        <f>-639.583360850703 -120.257619410626 -94.076045468951</f>
        <v>-853.91702573027999</v>
      </c>
      <c r="W1042" t="s">
        <v>10550</v>
      </c>
      <c r="X1042" t="s">
        <v>10551</v>
      </c>
      <c r="Y1042" t="s">
        <v>10552</v>
      </c>
    </row>
    <row r="1043" spans="1:25" x14ac:dyDescent="0.3">
      <c r="A1043">
        <v>52100</v>
      </c>
      <c r="B1043" t="s">
        <v>10553</v>
      </c>
      <c r="C1043">
        <f>-666.493328514524 -27.8278267432493 -97.1028791688109</f>
        <v>-791.42403442658417</v>
      </c>
      <c r="D1043">
        <f>-683.986027610368 -37.7467451128157 -211.172302130415</f>
        <v>-932.90507485359865</v>
      </c>
      <c r="E1043">
        <f>-690.966797524146 -45.2712912918669 -309.260576213267</f>
        <v>-1045.4986650292799</v>
      </c>
      <c r="F1043">
        <f>-694.63712015489 -51.9488603336715 -398.030946215294</f>
        <v>-1144.6169267038556</v>
      </c>
      <c r="G1043">
        <f>-695.316973348499 -58.5151750039779 -486.88286855558</f>
        <v>-1240.7150169080569</v>
      </c>
      <c r="H1043">
        <f>-693.128318483786 -67.6535224578754 -611.110569104364</f>
        <v>-1371.8924100460254</v>
      </c>
      <c r="I1043">
        <f>-668.078149851975 -74.2253952736753 -690.068309479976</f>
        <v>-1432.3718546056264</v>
      </c>
      <c r="J1043">
        <f>-697.60280599765 -36.2251057946967 -558.522069276795</f>
        <v>-1292.3499810691417</v>
      </c>
      <c r="K1043" t="s">
        <v>10554</v>
      </c>
      <c r="L1043" t="s">
        <v>10555</v>
      </c>
      <c r="M1043" t="s">
        <v>10556</v>
      </c>
      <c r="N1043">
        <f>-690.580296476595 -91.0392653241597 -554.366236929172</f>
        <v>-1335.9857987299267</v>
      </c>
      <c r="O1043">
        <f>-674.802147821322 -221.438388472289 -513.801505079111</f>
        <v>-1410.042041372722</v>
      </c>
      <c r="P1043">
        <f>-651.201444294198 -253.265789598441 -222.217430424838</f>
        <v>-1126.684664317477</v>
      </c>
      <c r="Q1043">
        <f>-491.542998445104 -75.3232396448789 -252.159034674017</f>
        <v>-819.02527276399985</v>
      </c>
      <c r="R1043" t="s">
        <v>10557</v>
      </c>
      <c r="S1043" t="s">
        <v>10558</v>
      </c>
      <c r="T1043" t="s">
        <v>10559</v>
      </c>
      <c r="U1043" t="s">
        <v>10560</v>
      </c>
      <c r="V1043">
        <f>-639.705904588441 -120.039120162735 -94.0937141733106</f>
        <v>-853.83873892448651</v>
      </c>
      <c r="W1043" t="s">
        <v>10561</v>
      </c>
      <c r="X1043" t="s">
        <v>10562</v>
      </c>
      <c r="Y1043" t="s">
        <v>10563</v>
      </c>
    </row>
    <row r="1044" spans="1:25" x14ac:dyDescent="0.3">
      <c r="A1044">
        <v>52150</v>
      </c>
      <c r="B1044" t="s">
        <v>10564</v>
      </c>
      <c r="C1044">
        <f>-666.594110732665 -27.7177312556412 -97.0873224323597</f>
        <v>-791.39916442066578</v>
      </c>
      <c r="D1044">
        <f>-684.090197273752 -37.5703026319131 -211.161973230085</f>
        <v>-932.8224731357501</v>
      </c>
      <c r="E1044">
        <f>-691.115364715162 -45.0942284986309 -309.247122741365</f>
        <v>-1045.4567159551577</v>
      </c>
      <c r="F1044">
        <f>-694.843966336636 -51.7920988699821 -398.013616737955</f>
        <v>-1144.6496819445729</v>
      </c>
      <c r="G1044">
        <f>-695.600752335948 -58.3991834041569 -486.861855572916</f>
        <v>-1240.8617913130208</v>
      </c>
      <c r="H1044">
        <f>-693.539640227131 -67.6149457183126 -611.085897579502</f>
        <v>-1372.2404835249456</v>
      </c>
      <c r="I1044">
        <f>-668.352011775802 -74.2363579036403 -689.995793508798</f>
        <v>-1432.5841631882404</v>
      </c>
      <c r="J1044">
        <f>-697.948912837513 -36.1523835693311 -558.512361661432</f>
        <v>-1292.613658068276</v>
      </c>
      <c r="K1044" t="s">
        <v>10565</v>
      </c>
      <c r="L1044" t="s">
        <v>10566</v>
      </c>
      <c r="M1044" t="s">
        <v>10567</v>
      </c>
      <c r="N1044">
        <f>-690.944452916788 -90.9666820178909 -554.329748456684</f>
        <v>-1336.2408833913628</v>
      </c>
      <c r="O1044">
        <f>-675.152230470083 -221.34114760528 -513.714794238502</f>
        <v>-1410.2081723138651</v>
      </c>
      <c r="P1044">
        <f>-650.996100927421 -253.184309353217 -222.177966642538</f>
        <v>-1126.3583769231761</v>
      </c>
      <c r="Q1044">
        <f>-491.613173573617 -74.9943051528273 -252.116595402346</f>
        <v>-818.72407412879033</v>
      </c>
      <c r="R1044" t="s">
        <v>10568</v>
      </c>
      <c r="S1044" t="s">
        <v>10569</v>
      </c>
      <c r="T1044" t="s">
        <v>10570</v>
      </c>
      <c r="U1044" t="s">
        <v>10571</v>
      </c>
      <c r="V1044">
        <f>-639.807375589545 -120.085164230335 -94.1298529947328</f>
        <v>-854.02239281461277</v>
      </c>
      <c r="W1044" t="s">
        <v>10572</v>
      </c>
      <c r="X1044" t="s">
        <v>10573</v>
      </c>
      <c r="Y1044" t="s">
        <v>10574</v>
      </c>
    </row>
    <row r="1045" spans="1:25" x14ac:dyDescent="0.3">
      <c r="A1045">
        <v>52200</v>
      </c>
      <c r="B1045" t="s">
        <v>10575</v>
      </c>
      <c r="C1045">
        <f>-666.476293584748 -27.5696673569978 -97.0704343185911</f>
        <v>-791.11639526033684</v>
      </c>
      <c r="D1045">
        <f>-683.957447499482 -37.2861801952006 -211.15913051522</f>
        <v>-932.40275820990257</v>
      </c>
      <c r="E1045">
        <f>-691.017905133475 -44.7904513708575 -309.243160170573</f>
        <v>-1045.0515166749055</v>
      </c>
      <c r="F1045">
        <f>-694.799561353435 -51.5079227931676 -398.005855629131</f>
        <v>-1144.3133397757338</v>
      </c>
      <c r="G1045">
        <f>-695.631838037603 -58.1722117790716 -486.849204877378</f>
        <v>-1240.6532546940525</v>
      </c>
      <c r="H1045">
        <f>-693.700648410403 -67.506793676446 -611.066539509056</f>
        <v>-1372.2739815959051</v>
      </c>
      <c r="I1045">
        <f>-668.316979875459 -74.1763482518991 -689.909534694562</f>
        <v>-1432.4028628219201</v>
      </c>
      <c r="J1045">
        <f>-698.029450331171 -35.9906768930143 -558.518382344863</f>
        <v>-1292.5385095690483</v>
      </c>
      <c r="K1045" t="s">
        <v>10576</v>
      </c>
      <c r="L1045" t="s">
        <v>10577</v>
      </c>
      <c r="M1045" t="s">
        <v>10578</v>
      </c>
      <c r="N1045">
        <f>-691.071546326134 -90.8075150557372 -554.290950411853</f>
        <v>-1336.1700117937244</v>
      </c>
      <c r="O1045">
        <f>-675.343460553664 -221.174363413013 -513.603198161614</f>
        <v>-1410.1210221282911</v>
      </c>
      <c r="P1045">
        <f>-650.379071635695 -253.13326246741 -222.147135814248</f>
        <v>-1125.6594699173529</v>
      </c>
      <c r="Q1045">
        <f>-491.327425372874 -74.6406446730502 -252.044188822275</f>
        <v>-818.0122588681993</v>
      </c>
      <c r="R1045" t="s">
        <v>10579</v>
      </c>
      <c r="S1045" t="s">
        <v>10580</v>
      </c>
      <c r="T1045" t="s">
        <v>10581</v>
      </c>
      <c r="U1045" t="s">
        <v>10582</v>
      </c>
      <c r="V1045">
        <f>-639.648119690654 -120.004330510165 -94.1958548047443</f>
        <v>-853.84830500556325</v>
      </c>
      <c r="W1045" t="s">
        <v>10583</v>
      </c>
      <c r="X1045" t="s">
        <v>10584</v>
      </c>
      <c r="Y1045" t="s">
        <v>10585</v>
      </c>
    </row>
    <row r="1046" spans="1:25" x14ac:dyDescent="0.3">
      <c r="A1046">
        <v>52250</v>
      </c>
      <c r="B1046" t="s">
        <v>10586</v>
      </c>
      <c r="C1046">
        <f>-666.225168536988 -27.5254024212354 -97.0738142537521</f>
        <v>-790.82438521197548</v>
      </c>
      <c r="D1046">
        <f>-683.698264147378 -37.1572939241125 -211.170966878984</f>
        <v>-932.0265249504746</v>
      </c>
      <c r="E1046">
        <f>-690.770326782156 -44.632700763907 -309.256395299396</f>
        <v>-1044.6594228454589</v>
      </c>
      <c r="F1046">
        <f>-694.570912344838 -51.3420049886249 -398.018873061418</f>
        <v>-1143.9317903948809</v>
      </c>
      <c r="G1046">
        <f>-695.430709001994 -58.0152852520009 -486.861285558968</f>
        <v>-1240.3072798129629</v>
      </c>
      <c r="H1046">
        <f>-693.547731725513 -67.3803263341606 -611.077047223771</f>
        <v>-1372.0051052834447</v>
      </c>
      <c r="I1046">
        <f>-668.065806627252 -74.0224807723027 -689.890666997487</f>
        <v>-1431.9789543970417</v>
      </c>
      <c r="J1046">
        <f>-697.850181491176 -35.8505790233353 -558.534908685667</f>
        <v>-1292.2356692001783</v>
      </c>
      <c r="K1046" t="s">
        <v>10587</v>
      </c>
      <c r="L1046" t="s">
        <v>10588</v>
      </c>
      <c r="M1046" t="s">
        <v>10589</v>
      </c>
      <c r="N1046">
        <f>-690.902403711073 -90.6678179406158 -554.296727735437</f>
        <v>-1335.8669493871257</v>
      </c>
      <c r="O1046">
        <f>-675.199025598479 -221.036021566131 -513.605757611191</f>
        <v>-1409.8408047758012</v>
      </c>
      <c r="P1046">
        <f>-650.212066100423 -252.924249659703 -222.144023032304</f>
        <v>-1125.28033879243</v>
      </c>
      <c r="Q1046">
        <f>-491.07598505222 -74.5099855410763 -252.059952064172</f>
        <v>-817.6459226574683</v>
      </c>
      <c r="R1046" t="s">
        <v>10590</v>
      </c>
      <c r="S1046" t="s">
        <v>10591</v>
      </c>
      <c r="T1046" t="s">
        <v>10592</v>
      </c>
      <c r="U1046" t="s">
        <v>10593</v>
      </c>
      <c r="V1046">
        <f>-639.424591886612 -119.960016508084 -94.2440284656246</f>
        <v>-853.62863686032063</v>
      </c>
      <c r="W1046" t="s">
        <v>10594</v>
      </c>
      <c r="X1046" t="s">
        <v>10595</v>
      </c>
      <c r="Y1046" t="s">
        <v>10596</v>
      </c>
    </row>
    <row r="1047" spans="1:25" x14ac:dyDescent="0.3">
      <c r="A1047">
        <v>52300</v>
      </c>
      <c r="B1047" t="s">
        <v>10597</v>
      </c>
      <c r="C1047">
        <f>-665.731551476181 -27.5163006783284 -97.121157944759</f>
        <v>-790.36901009926851</v>
      </c>
      <c r="D1047">
        <f>-683.106076918095 -37.0126573604496 -211.244673636138</f>
        <v>-931.36340791468263</v>
      </c>
      <c r="E1047">
        <f>-690.158316698535 -44.4137898035701 -309.33712862103</f>
        <v>-1043.9092351231352</v>
      </c>
      <c r="F1047">
        <f>-693.967905298755 -51.0714798532174 -398.103239795999</f>
        <v>-1143.1426249479714</v>
      </c>
      <c r="G1047">
        <f>-694.863952251813 -57.7080451778395 -486.947969896497</f>
        <v>-1239.5199673261495</v>
      </c>
      <c r="H1047">
        <f>-693.060952100801 -67.0373010976136 -611.167675252641</f>
        <v>-1371.2659284510555</v>
      </c>
      <c r="I1047">
        <f>-667.385845337096 -73.5724168240429 -689.92736848355</f>
        <v>-1430.8856306446889</v>
      </c>
      <c r="J1047">
        <f>-697.333533413876 -35.5231086054753 -558.61361600551</f>
        <v>-1291.4702580248613</v>
      </c>
      <c r="K1047" t="s">
        <v>10598</v>
      </c>
      <c r="L1047" t="s">
        <v>10599</v>
      </c>
      <c r="M1047" t="s">
        <v>10600</v>
      </c>
      <c r="N1047">
        <f>-690.375043788081 -90.3407660648456 -554.395836846258</f>
        <v>-1335.1116466991848</v>
      </c>
      <c r="O1047">
        <f>-674.687221725984 -220.720898735198 -513.757302926031</f>
        <v>-1409.1654233872132</v>
      </c>
      <c r="P1047">
        <f>-649.701645451112 -252.732337321317 -222.308884449194</f>
        <v>-1124.7428672216229</v>
      </c>
      <c r="Q1047">
        <f>-490.441546253943 -74.410000171443 -252.112663458919</f>
        <v>-816.96420988430498</v>
      </c>
      <c r="R1047" t="s">
        <v>10601</v>
      </c>
      <c r="S1047" t="s">
        <v>10602</v>
      </c>
      <c r="T1047" t="s">
        <v>10603</v>
      </c>
      <c r="U1047" t="s">
        <v>10604</v>
      </c>
      <c r="V1047">
        <f>-638.987950599877 -119.939922407727 -94.3488464010251</f>
        <v>-853.27671940862899</v>
      </c>
      <c r="W1047" t="s">
        <v>10605</v>
      </c>
      <c r="X1047" t="s">
        <v>10606</v>
      </c>
      <c r="Y1047" t="s">
        <v>10607</v>
      </c>
    </row>
    <row r="1048" spans="1:25" x14ac:dyDescent="0.3">
      <c r="A1048">
        <v>52350</v>
      </c>
      <c r="B1048" t="s">
        <v>10608</v>
      </c>
      <c r="C1048">
        <f>-665.553531229473 -27.4921391969303 -97.1317558645793</f>
        <v>-790.17742629098268</v>
      </c>
      <c r="D1048">
        <f>-682.871155293273 -36.9539095718278 -211.266779021558</f>
        <v>-931.09184388665881</v>
      </c>
      <c r="E1048">
        <f>-689.877988950881 -44.3218420582223 -309.365052165619</f>
        <v>-1043.5648831747221</v>
      </c>
      <c r="F1048">
        <f>-693.647842425747 -50.9484077988034 -398.135022133679</f>
        <v>-1142.7312723582293</v>
      </c>
      <c r="G1048">
        <f>-694.505479192182 -57.5527060372349 -486.982615179063</f>
        <v>-1239.0408004084798</v>
      </c>
      <c r="H1048">
        <f>-692.650080004731 -66.8352640334624 -611.205047124503</f>
        <v>-1370.6903911626964</v>
      </c>
      <c r="I1048">
        <f>-666.848099169594 -73.292555660882 -689.92977627631</f>
        <v>-1430.0704311067861</v>
      </c>
      <c r="J1048">
        <f>-696.958779252708 -35.3426926080363 -558.641011871576</f>
        <v>-1290.9424837323204</v>
      </c>
      <c r="K1048" t="s">
        <v>10609</v>
      </c>
      <c r="L1048" t="s">
        <v>10610</v>
      </c>
      <c r="M1048" t="s">
        <v>10611</v>
      </c>
      <c r="N1048">
        <f>-689.974238486561 -90.1581739296648 -554.440568403384</f>
        <v>-1334.5729808196097</v>
      </c>
      <c r="O1048">
        <f>-674.256636661609 -220.556511345614 -513.867753201615</f>
        <v>-1408.6809012088379</v>
      </c>
      <c r="P1048">
        <f>-649.330548977004 -252.725795230983 -222.431607686558</f>
        <v>-1124.4879518945449</v>
      </c>
      <c r="Q1048">
        <f>-490.05044996204 -74.3882290126815 -252.035591489367</f>
        <v>-816.47427046408848</v>
      </c>
      <c r="R1048" t="s">
        <v>10612</v>
      </c>
      <c r="S1048" t="s">
        <v>10613</v>
      </c>
      <c r="T1048" t="s">
        <v>10614</v>
      </c>
      <c r="U1048" t="s">
        <v>10615</v>
      </c>
      <c r="V1048">
        <f>-638.792052729014 -119.922452437393 -94.3853193358702</f>
        <v>-853.09982450227722</v>
      </c>
      <c r="W1048" t="s">
        <v>10616</v>
      </c>
      <c r="X1048" t="s">
        <v>10617</v>
      </c>
      <c r="Y1048" t="s">
        <v>10618</v>
      </c>
    </row>
    <row r="1049" spans="1:25" x14ac:dyDescent="0.3">
      <c r="A1049">
        <v>52400</v>
      </c>
      <c r="B1049" t="s">
        <v>10619</v>
      </c>
      <c r="C1049">
        <f>-664.928843600832 -27.6750116646292 -97.0950545159246</f>
        <v>-789.69890978138585</v>
      </c>
      <c r="D1049">
        <f>-682.1640798849 -37.108896679081 -211.24481682543</f>
        <v>-930.51779338941105</v>
      </c>
      <c r="E1049">
        <f>-689.078885485616 -44.426714840137 -309.353393754873</f>
        <v>-1042.858994080626</v>
      </c>
      <c r="F1049">
        <f>-692.756174348956 -50.9986144645948 -398.131353752945</f>
        <v>-1141.8861425664959</v>
      </c>
      <c r="G1049">
        <f>-693.511893513264 -57.5378326523278 -486.984707705488</f>
        <v>-1238.0344338710797</v>
      </c>
      <c r="H1049">
        <f>-691.503885070714 -66.7192700802693 -611.212252787401</f>
        <v>-1369.4354079383843</v>
      </c>
      <c r="I1049">
        <f>-665.461440050678 -72.9927341889559 -689.872653496969</f>
        <v>-1428.3268277366028</v>
      </c>
      <c r="J1049">
        <f>-695.926041909437 -35.275740841565 -558.62827189671</f>
        <v>-1289.8300546477121</v>
      </c>
      <c r="K1049" t="s">
        <v>10620</v>
      </c>
      <c r="L1049" t="s">
        <v>10621</v>
      </c>
      <c r="M1049" t="s">
        <v>10622</v>
      </c>
      <c r="N1049">
        <f>-688.849178643789 -90.0822186592425 -554.463285664605</f>
        <v>-1333.3946829676365</v>
      </c>
      <c r="O1049">
        <f>-672.965727031684 -220.494798680026 -513.997206152972</f>
        <v>-1407.457731864682</v>
      </c>
      <c r="P1049">
        <f>-647.993124214893 -252.963492677464 -222.598262317239</f>
        <v>-1123.554879209596</v>
      </c>
      <c r="Q1049">
        <f>-488.880488332319 -74.416152974876 -251.836926998332</f>
        <v>-815.13356830552698</v>
      </c>
      <c r="R1049" t="s">
        <v>10623</v>
      </c>
      <c r="S1049" t="s">
        <v>10624</v>
      </c>
      <c r="T1049" t="s">
        <v>10625</v>
      </c>
      <c r="U1049" t="s">
        <v>10626</v>
      </c>
      <c r="V1049">
        <f>-638.069472610752 -120.172702053186 -94.4050698372923</f>
        <v>-852.64724450123026</v>
      </c>
      <c r="W1049" t="s">
        <v>10627</v>
      </c>
      <c r="X1049" t="s">
        <v>10628</v>
      </c>
      <c r="Y1049" t="s">
        <v>10629</v>
      </c>
    </row>
    <row r="1050" spans="1:25" x14ac:dyDescent="0.3">
      <c r="A1050">
        <v>52450</v>
      </c>
      <c r="B1050" t="s">
        <v>10630</v>
      </c>
      <c r="C1050">
        <f>-664.454688857045 -27.7149060573984 -97.0595159331511</f>
        <v>-789.22911084759448</v>
      </c>
      <c r="D1050">
        <f>-681.671878196672 -37.1329234537991 -211.213411830766</f>
        <v>-930.01821348123713</v>
      </c>
      <c r="E1050">
        <f>-688.567413763967 -44.4242951719002 -309.325262617529</f>
        <v>-1042.3169715533963</v>
      </c>
      <c r="F1050">
        <f>-692.22549121264 -50.9667886173775 -398.106200134846</f>
        <v>-1141.2984799648634</v>
      </c>
      <c r="G1050">
        <f>-692.96019476793 -57.4710054041011 -486.96224251674</f>
        <v>-1237.3934426887711</v>
      </c>
      <c r="H1050">
        <f>-690.920405577897 -66.596946585571 -611.193352513035</f>
        <v>-1368.7107046765032</v>
      </c>
      <c r="I1050">
        <f>-664.794629163554 -72.766675263184 -689.834272482491</f>
        <v>-1427.395576909229</v>
      </c>
      <c r="J1050">
        <f>-695.379362400037 -35.180174973975 -558.59680276613</f>
        <v>-1289.1563401401422</v>
      </c>
      <c r="K1050" t="s">
        <v>10631</v>
      </c>
      <c r="L1050" t="s">
        <v>10632</v>
      </c>
      <c r="M1050" t="s">
        <v>10633</v>
      </c>
      <c r="N1050">
        <f>-688.256485202182 -89.9821975165437 -554.453937391546</f>
        <v>-1332.6926201102717</v>
      </c>
      <c r="O1050">
        <f>-672.268570335156 -220.395487908216 -514.019836772209</f>
        <v>-1406.6838950155811</v>
      </c>
      <c r="P1050">
        <f>-647.198542888644 -252.901811052671 -222.633397439122</f>
        <v>-1122.7337513804371</v>
      </c>
      <c r="Q1050">
        <f>-488.224974755917 -74.2147965287786 -251.774455946727</f>
        <v>-814.21422723142257</v>
      </c>
      <c r="R1050" t="s">
        <v>10634</v>
      </c>
      <c r="S1050" t="s">
        <v>10635</v>
      </c>
      <c r="T1050" t="s">
        <v>10636</v>
      </c>
      <c r="U1050" t="s">
        <v>10637</v>
      </c>
      <c r="V1050">
        <f>-637.604026985521 -120.123773273909 -94.3933268239809</f>
        <v>-852.12112708341101</v>
      </c>
      <c r="W1050" t="s">
        <v>10638</v>
      </c>
      <c r="X1050" t="s">
        <v>10639</v>
      </c>
      <c r="Y1050" t="s">
        <v>10640</v>
      </c>
    </row>
    <row r="1051" spans="1:25" x14ac:dyDescent="0.3">
      <c r="A1051">
        <v>52500</v>
      </c>
      <c r="B1051" t="s">
        <v>10641</v>
      </c>
      <c r="C1051">
        <f>-663.38620210275 -27.7084347533421 -96.9743396048661</f>
        <v>-788.0689764609582</v>
      </c>
      <c r="D1051">
        <f>-680.554088019515 -37.0834743511186 -211.139071425712</f>
        <v>-928.77663379634566</v>
      </c>
      <c r="E1051">
        <f>-687.446643760219 -44.3185697390436 -309.255454693379</f>
        <v>-1041.0206681926416</v>
      </c>
      <c r="F1051">
        <f>-691.117099311584 -50.8015060642915 -398.040223776476</f>
        <v>-1139.9588291523514</v>
      </c>
      <c r="G1051">
        <f>-691.87956266835 -57.236545717253 -486.901016906804</f>
        <v>-1236.0171252924069</v>
      </c>
      <c r="H1051">
        <f>-689.894081905182 -66.2547949066245 -611.14092218766</f>
        <v>-1367.2897989994665</v>
      </c>
      <c r="I1051">
        <f>-663.66208114682 -72.259426929128 -689.759283345314</f>
        <v>-1425.680791421262</v>
      </c>
      <c r="J1051">
        <f>-694.362531725435 -34.8876836091167 -558.515337653252</f>
        <v>-1287.7655529878039</v>
      </c>
      <c r="K1051" t="s">
        <v>10642</v>
      </c>
      <c r="L1051" t="s">
        <v>10643</v>
      </c>
      <c r="M1051" t="s">
        <v>10644</v>
      </c>
      <c r="N1051">
        <f>-687.173161389457 -89.6849051639683 -554.422807930793</f>
        <v>-1331.2808744842184</v>
      </c>
      <c r="O1051">
        <f>-670.993882976545 -220.094418933303 -514.061586230904</f>
        <v>-1405.149888140752</v>
      </c>
      <c r="P1051">
        <f>-645.639090302191 -252.661280846377 -222.706589473901</f>
        <v>-1121.006960622469</v>
      </c>
      <c r="Q1051">
        <f>-487.012783067219 -73.6441794001332 -251.714793033335</f>
        <v>-812.37175550068719</v>
      </c>
      <c r="R1051" t="s">
        <v>10645</v>
      </c>
      <c r="S1051" t="s">
        <v>10646</v>
      </c>
      <c r="T1051" t="s">
        <v>10647</v>
      </c>
      <c r="U1051" t="s">
        <v>10648</v>
      </c>
      <c r="V1051">
        <f>-636.501169247084 -120.069186285763 -94.3601316636566</f>
        <v>-850.93048719650358</v>
      </c>
      <c r="W1051" t="s">
        <v>10649</v>
      </c>
      <c r="X1051" t="s">
        <v>10650</v>
      </c>
      <c r="Y1051" t="s">
        <v>10651</v>
      </c>
    </row>
    <row r="1052" spans="1:25" x14ac:dyDescent="0.3">
      <c r="A1052">
        <v>52550</v>
      </c>
      <c r="B1052" t="s">
        <v>10652</v>
      </c>
      <c r="C1052">
        <f>-662.924262077443 -27.8269080985376 -96.9486740398153</f>
        <v>-787.69984421579591</v>
      </c>
      <c r="D1052">
        <f>-680.092732651932 -37.2016448348638 -211.113453915367</f>
        <v>-928.40783140216286</v>
      </c>
      <c r="E1052">
        <f>-686.995874631781 -44.4212013430117 -309.23009097425</f>
        <v>-1040.6471669490427</v>
      </c>
      <c r="F1052">
        <f>-690.679630207474 -50.8836800827123 -398.015750004439</f>
        <v>-1139.5790602946254</v>
      </c>
      <c r="G1052">
        <f>-691.458762485629 -57.2912022354353 -486.878465161608</f>
        <v>-1235.6284298826722</v>
      </c>
      <c r="H1052">
        <f>-689.500186084989 -66.2636506011675 -611.122091690108</f>
        <v>-1366.8859283762645</v>
      </c>
      <c r="I1052">
        <f>-663.222426259763 -72.212799468922 -689.729355415975</f>
        <v>-1425.1645811446599</v>
      </c>
      <c r="J1052">
        <f>-693.973995626574 -34.918239420494 -558.484182915913</f>
        <v>-1287.3764179629811</v>
      </c>
      <c r="K1052" t="s">
        <v>10653</v>
      </c>
      <c r="L1052" t="s">
        <v>10654</v>
      </c>
      <c r="M1052" t="s">
        <v>10655</v>
      </c>
      <c r="N1052">
        <f>-686.750030632556 -89.7124202958289 -554.413218318663</f>
        <v>-1330.8756692470479</v>
      </c>
      <c r="O1052">
        <f>-670.477806377424 -220.119562225585 -514.085358843897</f>
        <v>-1404.682727446906</v>
      </c>
      <c r="P1052">
        <f>-645.051562894488 -252.67163495617 -222.734808146951</f>
        <v>-1120.458005997609</v>
      </c>
      <c r="Q1052">
        <f>-486.534023685078 -73.5538506583496 -251.715277842127</f>
        <v>-811.80315218555461</v>
      </c>
      <c r="R1052" t="s">
        <v>10656</v>
      </c>
      <c r="S1052" t="s">
        <v>10657</v>
      </c>
      <c r="T1052" t="s">
        <v>10658</v>
      </c>
      <c r="U1052" t="s">
        <v>10659</v>
      </c>
      <c r="V1052">
        <f>-636.02580165944 -120.26723346586 -94.3492428121682</f>
        <v>-850.64227793746829</v>
      </c>
      <c r="W1052" t="s">
        <v>10660</v>
      </c>
      <c r="X1052" t="s">
        <v>10661</v>
      </c>
      <c r="Y1052" t="s">
        <v>10662</v>
      </c>
    </row>
    <row r="1053" spans="1:25" x14ac:dyDescent="0.3">
      <c r="A1053">
        <v>52600</v>
      </c>
      <c r="B1053" t="s">
        <v>10663</v>
      </c>
      <c r="C1053">
        <f>-661.928228918269 -28.0425468607057 -96.9383215416273</f>
        <v>-786.90909732060197</v>
      </c>
      <c r="D1053">
        <f>-679.11172588814 -37.4259997220065 -211.100103226382</f>
        <v>-927.63782883652846</v>
      </c>
      <c r="E1053">
        <f>-686.004359952917 -44.6346291719485 -309.218351660747</f>
        <v>-1039.8573407856125</v>
      </c>
      <c r="F1053">
        <f>-689.669188250232 -51.0805305726615 -398.005932014508</f>
        <v>-1138.7556508374014</v>
      </c>
      <c r="G1053">
        <f>-690.4194715604 -57.4643761520845 -486.870721948185</f>
        <v>-1234.7545696606694</v>
      </c>
      <c r="H1053">
        <f>-688.410266225114 -66.3956979978823 -611.116388479342</f>
        <v>-1365.9223527023382</v>
      </c>
      <c r="I1053">
        <f>-662.057935492285 -72.2804725376807 -689.703637547542</f>
        <v>-1424.0420455775077</v>
      </c>
      <c r="J1053">
        <f>-692.947649557394 -35.0733696361301 -558.470196624573</f>
        <v>-1286.4912158180971</v>
      </c>
      <c r="K1053" t="s">
        <v>10664</v>
      </c>
      <c r="L1053" t="s">
        <v>10665</v>
      </c>
      <c r="M1053" t="s">
        <v>10666</v>
      </c>
      <c r="N1053">
        <f>-685.641158379682 -89.8577170446213 -554.413840782369</f>
        <v>-1329.9127162066723</v>
      </c>
      <c r="O1053">
        <f>-669.191367265881 -220.249257647253 -514.110283064785</f>
        <v>-1403.550907977919</v>
      </c>
      <c r="P1053">
        <f>-643.578226333115 -252.865813939519 -222.783504740591</f>
        <v>-1119.2275450132252</v>
      </c>
      <c r="Q1053">
        <f>-485.20917727696 -73.6016045557903 -251.669502700287</f>
        <v>-810.48028453303732</v>
      </c>
      <c r="R1053" t="s">
        <v>10667</v>
      </c>
      <c r="S1053" t="s">
        <v>10668</v>
      </c>
      <c r="T1053" t="s">
        <v>10669</v>
      </c>
      <c r="U1053" t="s">
        <v>10670</v>
      </c>
      <c r="V1053">
        <f>-634.894062273521 -120.462270809393 -94.3523212897605</f>
        <v>-849.70865437267446</v>
      </c>
      <c r="W1053" t="s">
        <v>10671</v>
      </c>
      <c r="X1053" t="s">
        <v>10672</v>
      </c>
      <c r="Y1053" t="s">
        <v>10673</v>
      </c>
    </row>
    <row r="1054" spans="1:25" x14ac:dyDescent="0.3">
      <c r="A1054">
        <v>52650</v>
      </c>
      <c r="B1054" t="s">
        <v>10674</v>
      </c>
      <c r="C1054">
        <f>-661.39726327373 -28.1625039562207 -96.9372075615888</f>
        <v>-786.49697479153951</v>
      </c>
      <c r="D1054">
        <f>-678.604053951959 -37.555522954488 -211.094642884614</f>
        <v>-927.25421979106102</v>
      </c>
      <c r="E1054">
        <f>-685.469936985314 -44.7686017936442 -309.21445053389</f>
        <v>-1039.4529893128481</v>
      </c>
      <c r="F1054">
        <f>-689.091171759028 -51.2174574707076 -398.003726395369</f>
        <v>-1138.3123556251046</v>
      </c>
      <c r="G1054">
        <f>-689.778908051887 -57.6030511320155 -486.868704303834</f>
        <v>-1234.2506634877366</v>
      </c>
      <c r="H1054">
        <f>-687.662299822844 -66.5362766997062 -611.112579132198</f>
        <v>-1365.3111556547483</v>
      </c>
      <c r="I1054">
        <f>-661.26074585443 -72.3905000276325 -689.685677367177</f>
        <v>-1423.3369232492396</v>
      </c>
      <c r="J1054">
        <f>-692.274664035806 -35.2170961686681 -558.470899102428</f>
        <v>-1285.9626593069022</v>
      </c>
      <c r="K1054" t="s">
        <v>10675</v>
      </c>
      <c r="L1054" t="s">
        <v>10676</v>
      </c>
      <c r="M1054" t="s">
        <v>10677</v>
      </c>
      <c r="N1054">
        <f>-684.912745459112 -89.9935470811513 -554.407020490311</f>
        <v>-1329.3133130305741</v>
      </c>
      <c r="O1054">
        <f>-668.354372206189 -220.373636740836 -514.107047720045</f>
        <v>-1402.8350566670701</v>
      </c>
      <c r="P1054">
        <f>-642.715542004101 -252.94359804177 -222.777295101655</f>
        <v>-1118.436435147526</v>
      </c>
      <c r="Q1054">
        <f>-484.366927221288 -73.6427211883163 -251.548868243931</f>
        <v>-809.55851665353532</v>
      </c>
      <c r="R1054" t="s">
        <v>10678</v>
      </c>
      <c r="S1054" t="s">
        <v>10679</v>
      </c>
      <c r="T1054" t="s">
        <v>10680</v>
      </c>
      <c r="U1054" t="s">
        <v>10681</v>
      </c>
      <c r="V1054">
        <f>-634.303683313306 -120.645555187816 -94.3615118922868</f>
        <v>-849.31075039340874</v>
      </c>
      <c r="W1054" t="s">
        <v>10682</v>
      </c>
      <c r="X1054" t="s">
        <v>10683</v>
      </c>
      <c r="Y1054" t="s">
        <v>10684</v>
      </c>
    </row>
    <row r="1055" spans="1:25" x14ac:dyDescent="0.3">
      <c r="A1055">
        <v>52700</v>
      </c>
      <c r="B1055" t="s">
        <v>10685</v>
      </c>
      <c r="C1055">
        <f>-660.345066932229 -28.2375221698992 -96.9632233259225</f>
        <v>-785.54581242805068</v>
      </c>
      <c r="D1055">
        <f>-677.671165756003 -37.7296303974135 -211.094399573193</f>
        <v>-926.4951957266095</v>
      </c>
      <c r="E1055">
        <f>-684.526214561707 -44.9967269485162 -309.210945663681</f>
        <v>-1038.7338871739041</v>
      </c>
      <c r="F1055">
        <f>-688.091427314899 -51.4840872856098 -397.99965073468</f>
        <v>-1137.5751653351888</v>
      </c>
      <c r="G1055">
        <f>-688.676554672339 -57.8981188749415 -486.863365661787</f>
        <v>-1233.4380392090675</v>
      </c>
      <c r="H1055">
        <f>-686.367443388709 -66.8608378013105 -611.10163981612</f>
        <v>-1364.3299210061396</v>
      </c>
      <c r="I1055">
        <f>-659.871402243644 -72.5832832022611 -689.652544084958</f>
        <v>-1422.1072295308632</v>
      </c>
      <c r="J1055">
        <f>-691.116663280296 -35.5365568642026 -558.475217750683</f>
        <v>-1285.1284378951816</v>
      </c>
      <c r="K1055" t="s">
        <v>10686</v>
      </c>
      <c r="L1055" t="s">
        <v>10687</v>
      </c>
      <c r="M1055" t="s">
        <v>10688</v>
      </c>
      <c r="N1055">
        <f>-683.650528302695 -90.2969947436145 -554.385925972182</f>
        <v>-1328.3334490184916</v>
      </c>
      <c r="O1055">
        <f>-666.872112485425 -220.638123497281 -514.039489453708</f>
        <v>-1401.5497254364141</v>
      </c>
      <c r="P1055">
        <f>-641.166998188143 -253.153738830638 -222.709469873857</f>
        <v>-1117.030206892638</v>
      </c>
      <c r="Q1055">
        <f>-482.955567372292 -73.7059498075444 -251.319656419047</f>
        <v>-807.9811735988834</v>
      </c>
      <c r="R1055" t="s">
        <v>10689</v>
      </c>
      <c r="S1055" t="s">
        <v>10690</v>
      </c>
      <c r="T1055" t="s">
        <v>10691</v>
      </c>
      <c r="U1055" t="s">
        <v>10692</v>
      </c>
      <c r="V1055">
        <f>-633.195355966073 -120.582406722599 -94.3756344232372</f>
        <v>-848.15339711190916</v>
      </c>
      <c r="W1055" t="s">
        <v>10693</v>
      </c>
      <c r="X1055" t="s">
        <v>10694</v>
      </c>
      <c r="Y1055" t="s">
        <v>10695</v>
      </c>
    </row>
    <row r="1056" spans="1:25" x14ac:dyDescent="0.3">
      <c r="A1056">
        <v>52750</v>
      </c>
      <c r="B1056" t="s">
        <v>10696</v>
      </c>
      <c r="C1056">
        <f>-659.91432277829 -28.3446916628293 -96.9922138979143</f>
        <v>-785.25122833903367</v>
      </c>
      <c r="D1056">
        <f>-677.307011667993 -37.9290248343457 -211.10555525304</f>
        <v>-926.34159175537866</v>
      </c>
      <c r="E1056">
        <f>-684.183690378814 -45.235308891808 -309.217700902013</f>
        <v>-1038.6367001726351</v>
      </c>
      <c r="F1056">
        <f>-687.753281325571 -51.7434129136216 -398.004646958526</f>
        <v>-1137.5013411977186</v>
      </c>
      <c r="G1056">
        <f>-688.327222374647 -58.1634673976214 -486.86799482504</f>
        <v>-1233.3586845973084</v>
      </c>
      <c r="H1056">
        <f>-685.985783361771 -67.1197367688428 -611.106212045512</f>
        <v>-1364.2117321761259</v>
      </c>
      <c r="I1056">
        <f>-659.450521945754 -72.7170123688836 -689.65286757662</f>
        <v>-1421.8204018912575</v>
      </c>
      <c r="J1056">
        <f>-690.774808628173 -35.8018832410553 -558.479586167087</f>
        <v>-1285.0562780363152</v>
      </c>
      <c r="K1056" t="s">
        <v>10697</v>
      </c>
      <c r="L1056" t="s">
        <v>10698</v>
      </c>
      <c r="M1056" t="s">
        <v>10699</v>
      </c>
      <c r="N1056">
        <f>-683.257509404433 -90.5551986557687 -554.39066771422</f>
        <v>-1328.2033757744216</v>
      </c>
      <c r="O1056">
        <f>-666.392366986401 -220.878405256709 -514.026561817011</f>
        <v>-1401.2973340601211</v>
      </c>
      <c r="P1056">
        <f>-640.756336407076 -253.257619227762 -222.675343349233</f>
        <v>-1116.689298984071</v>
      </c>
      <c r="Q1056">
        <f>-482.606655683278 -73.7489330115716 -251.243195052759</f>
        <v>-807.59878374760865</v>
      </c>
      <c r="R1056" t="s">
        <v>10700</v>
      </c>
      <c r="S1056" t="s">
        <v>10701</v>
      </c>
      <c r="T1056" t="s">
        <v>10702</v>
      </c>
      <c r="U1056" t="s">
        <v>10703</v>
      </c>
      <c r="V1056">
        <f>-632.741727863624 -120.655093964674 -94.3708338688687</f>
        <v>-847.76765569716667</v>
      </c>
      <c r="W1056" t="s">
        <v>10704</v>
      </c>
      <c r="X1056" t="s">
        <v>10705</v>
      </c>
      <c r="Y1056" t="s">
        <v>10706</v>
      </c>
    </row>
    <row r="1057" spans="1:25" x14ac:dyDescent="0.3">
      <c r="A1057">
        <v>52800</v>
      </c>
      <c r="B1057" t="s">
        <v>10707</v>
      </c>
      <c r="C1057">
        <f>-659.124392725112 -28.6920094250402 -97.0241051507242</f>
        <v>-784.84050730087631</v>
      </c>
      <c r="D1057">
        <f>-676.624418285643 -38.4228344953553 -211.108676912537</f>
        <v>-926.15592969353531</v>
      </c>
      <c r="E1057">
        <f>-683.565049470065 -45.7491581366141 -309.214799801763</f>
        <v>-1038.5290074084421</v>
      </c>
      <c r="F1057">
        <f>-687.179274711212 -52.234980642854 -398.001707615593</f>
        <v>-1137.4159629696589</v>
      </c>
      <c r="G1057">
        <f>-687.783268382347 -58.5916319318012 -486.869462977961</f>
        <v>-1233.2443632921093</v>
      </c>
      <c r="H1057">
        <f>-685.467756146734 -67.4166965677944 -611.117308119192</f>
        <v>-1364.0017608337203</v>
      </c>
      <c r="I1057">
        <f>-658.855153998074 -72.6336670091418 -689.664098642955</f>
        <v>-1421.1529196501708</v>
      </c>
      <c r="J1057">
        <f>-690.29455093213 -36.1612472309007 -558.457171585229</f>
        <v>-1284.9129697482599</v>
      </c>
      <c r="K1057" t="s">
        <v>10708</v>
      </c>
      <c r="L1057" t="s">
        <v>10709</v>
      </c>
      <c r="M1057" t="s">
        <v>10710</v>
      </c>
      <c r="N1057">
        <f>-682.678665089094 -90.905363327322 -554.426904090467</f>
        <v>-1328.0109325068829</v>
      </c>
      <c r="O1057">
        <f>-665.61298873406 -221.227814614076 -514.127371110985</f>
        <v>-1400.968174459121</v>
      </c>
      <c r="P1057">
        <f>-640.105702238162 -253.356494804828 -222.736961581034</f>
        <v>-1116.199158624024</v>
      </c>
      <c r="Q1057">
        <f>-482.169693265676 -73.6523846670968 -251.259232206135</f>
        <v>-807.08131013890784</v>
      </c>
      <c r="R1057" t="s">
        <v>10711</v>
      </c>
      <c r="S1057" t="s">
        <v>10712</v>
      </c>
      <c r="T1057" t="s">
        <v>10713</v>
      </c>
      <c r="U1057" t="s">
        <v>10714</v>
      </c>
      <c r="V1057">
        <f>-631.86648040899 -120.936911971941 -94.3652749981018</f>
        <v>-847.16866737903274</v>
      </c>
      <c r="W1057" t="s">
        <v>10715</v>
      </c>
      <c r="X1057" t="s">
        <v>10716</v>
      </c>
      <c r="Y1057" t="s">
        <v>10717</v>
      </c>
    </row>
    <row r="1058" spans="1:25" x14ac:dyDescent="0.3">
      <c r="A1058">
        <v>52850</v>
      </c>
      <c r="B1058" t="s">
        <v>10718</v>
      </c>
      <c r="C1058">
        <f>-658.733563799861 -28.9488349100056 -97.040105777327</f>
        <v>-784.72250448719365</v>
      </c>
      <c r="D1058">
        <f>-676.274059154232 -38.7559959413018 -211.11193085513</f>
        <v>-926.14198595066375</v>
      </c>
      <c r="E1058">
        <f>-683.241052316637 -46.066516953415 -309.217274006211</f>
        <v>-1038.524843276263</v>
      </c>
      <c r="F1058">
        <f>-686.874154805056 -52.5052264376332 -398.006749414745</f>
        <v>-1137.3861306574343</v>
      </c>
      <c r="G1058">
        <f>-687.491389237056 -58.7824015895417 -486.88013645938</f>
        <v>-1233.1539272859777</v>
      </c>
      <c r="H1058">
        <f>-685.186857810704 -67.4617130663269 -611.138609110842</f>
        <v>-1363.7871799878731</v>
      </c>
      <c r="I1058">
        <f>-658.551657061208 -72.4609531068511 -689.691871108759</f>
        <v>-1420.7044812768181</v>
      </c>
      <c r="J1058">
        <f>-690.033790503768 -36.2714466333139 -558.441478200796</f>
        <v>-1284.746715337878</v>
      </c>
      <c r="K1058" t="s">
        <v>10719</v>
      </c>
      <c r="L1058" t="s">
        <v>10720</v>
      </c>
      <c r="M1058" t="s">
        <v>10721</v>
      </c>
      <c r="N1058">
        <f>-682.3682188832 -91.013395197414 -554.475678699081</f>
        <v>-1327.8572927796949</v>
      </c>
      <c r="O1058">
        <f>-665.195175259237 -221.341397275739 -514.26993158642</f>
        <v>-1400.8065041213958</v>
      </c>
      <c r="P1058">
        <f>-639.68873114494 -253.611447130881 -222.895101736907</f>
        <v>-1116.1952800127281</v>
      </c>
      <c r="Q1058">
        <f>-481.946614660439 -73.7225333002364 -251.324939048359</f>
        <v>-806.9940870090345</v>
      </c>
      <c r="R1058" t="s">
        <v>10722</v>
      </c>
      <c r="S1058" t="s">
        <v>10723</v>
      </c>
      <c r="T1058" t="s">
        <v>10724</v>
      </c>
      <c r="U1058" t="s">
        <v>10725</v>
      </c>
      <c r="V1058">
        <f>-631.507363411086 -121.116144127238 -94.3449797739903</f>
        <v>-846.96848731231432</v>
      </c>
      <c r="W1058" t="s">
        <v>10726</v>
      </c>
      <c r="X1058" t="s">
        <v>10727</v>
      </c>
      <c r="Y1058" t="s">
        <v>10728</v>
      </c>
    </row>
    <row r="1059" spans="1:25" x14ac:dyDescent="0.3">
      <c r="A1059">
        <v>52900</v>
      </c>
      <c r="B1059" t="s">
        <v>10729</v>
      </c>
      <c r="C1059">
        <f>-658.157859750515 -29.3661331872881 -97.0920043605895</f>
        <v>-784.61599729839259</v>
      </c>
      <c r="D1059">
        <f>-675.742239720613 -39.229680690828 -211.152183530032</f>
        <v>-926.12410394147309</v>
      </c>
      <c r="E1059">
        <f>-682.805113135878 -46.4990464222813 -309.253837085812</f>
        <v>-1038.5579966439711</v>
      </c>
      <c r="F1059">
        <f>-686.546647388642 -52.8639268750876 -398.04425829703</f>
        <v>-1137.4548325607595</v>
      </c>
      <c r="G1059">
        <f>-687.292661747143 -59.0288143705984 -486.924317141161</f>
        <v>-1233.2457932589025</v>
      </c>
      <c r="H1059">
        <f>-685.189362416792 -67.510308602974 -611.200136385112</f>
        <v>-1363.8998074048782</v>
      </c>
      <c r="I1059">
        <f>-658.593588790012 -72.1299410849483 -689.789878150945</f>
        <v>-1420.5134080259054</v>
      </c>
      <c r="J1059">
        <f>-689.9904712137 -36.4094535928925 -558.445854068895</f>
        <v>-1284.8457788754874</v>
      </c>
      <c r="K1059" t="s">
        <v>10730</v>
      </c>
      <c r="L1059" t="s">
        <v>10731</v>
      </c>
      <c r="M1059" t="s">
        <v>10732</v>
      </c>
      <c r="N1059">
        <f>-682.239347104286 -91.146438988113 -554.579077354941</f>
        <v>-1327.9648634473401</v>
      </c>
      <c r="O1059">
        <f>-664.784485645951 -221.514145373231 -514.636223015878</f>
        <v>-1400.9348540350602</v>
      </c>
      <c r="P1059">
        <f>-639.151062095772 -254.091305897176 -223.306838813699</f>
        <v>-1116.5492068066469</v>
      </c>
      <c r="Q1059">
        <f>-481.847075123676 -73.7975275166787 -251.599905684831</f>
        <v>-807.24450832518573</v>
      </c>
      <c r="R1059" t="s">
        <v>10733</v>
      </c>
      <c r="S1059" t="s">
        <v>10734</v>
      </c>
      <c r="T1059" t="s">
        <v>10735</v>
      </c>
      <c r="U1059" t="s">
        <v>10736</v>
      </c>
      <c r="V1059">
        <f>-631.01610595063 -121.45827246541 -94.3514108874414</f>
        <v>-846.82578930348143</v>
      </c>
      <c r="W1059" t="s">
        <v>10737</v>
      </c>
      <c r="X1059" t="s">
        <v>10738</v>
      </c>
      <c r="Y1059" t="s">
        <v>10739</v>
      </c>
    </row>
    <row r="1060" spans="1:25" x14ac:dyDescent="0.3">
      <c r="A1060">
        <v>52950</v>
      </c>
      <c r="B1060" t="s">
        <v>10740</v>
      </c>
      <c r="C1060">
        <f>-657.928584085576 -29.6037199245086 -97.118957488975</f>
        <v>-784.6512614990595</v>
      </c>
      <c r="D1060">
        <f>-675.526778992179 -39.4823512123241 -211.175658806907</f>
        <v>-926.18478901141009</v>
      </c>
      <c r="E1060">
        <f>-682.676897022266 -46.7385083312706 -309.272020466564</f>
        <v>-1038.6874258201005</v>
      </c>
      <c r="F1060">
        <f>-686.527254809779 -53.07948564906 -398.05946700424</f>
        <v>-1137.666207463079</v>
      </c>
      <c r="G1060">
        <f>-687.412022020717 -59.2080057453736 -486.940696896812</f>
        <v>-1233.5607246629027</v>
      </c>
      <c r="H1060">
        <f>-685.533082395626 -67.6247182693307 -611.224553116413</f>
        <v>-1364.3823537813696</v>
      </c>
      <c r="I1060">
        <f>-658.998673822948 -72.0894020694336 -689.843912759737</f>
        <v>-1420.9319886521187</v>
      </c>
      <c r="J1060">
        <f>-690.244571319282 -36.5523058630197 -558.445583776773</f>
        <v>-1285.2424609590748</v>
      </c>
      <c r="K1060" t="s">
        <v>10741</v>
      </c>
      <c r="L1060" t="s">
        <v>10742</v>
      </c>
      <c r="M1060" t="s">
        <v>10743</v>
      </c>
      <c r="N1060">
        <f>-682.475214783108 -91.2896072650904 -554.621222390951</f>
        <v>-1328.3860444391494</v>
      </c>
      <c r="O1060">
        <f>-664.925121220401 -221.679312868277 -514.780736292823</f>
        <v>-1401.3851703815012</v>
      </c>
      <c r="P1060">
        <f>-639.061972402539 -254.364403183348 -223.483624311703</f>
        <v>-1116.9099998975901</v>
      </c>
      <c r="Q1060">
        <f>-481.923456871916 -73.9099167921745 -251.671344995923</f>
        <v>-807.5047186600134</v>
      </c>
      <c r="R1060" t="s">
        <v>10744</v>
      </c>
      <c r="S1060" t="s">
        <v>10745</v>
      </c>
      <c r="T1060" t="s">
        <v>10746</v>
      </c>
      <c r="U1060" t="s">
        <v>10747</v>
      </c>
      <c r="V1060">
        <f>-630.833997367246 -121.688616028844 -94.3677902065614</f>
        <v>-846.8904036026513</v>
      </c>
      <c r="W1060" t="s">
        <v>10748</v>
      </c>
      <c r="X1060" t="s">
        <v>10749</v>
      </c>
      <c r="Y1060" t="s">
        <v>10750</v>
      </c>
    </row>
    <row r="1061" spans="1:25" x14ac:dyDescent="0.3">
      <c r="A1061">
        <v>53000</v>
      </c>
      <c r="B1061" t="s">
        <v>10751</v>
      </c>
      <c r="C1061">
        <f>-657.589761316559 -30.1283668154003 -97.1821341167745</f>
        <v>-784.90026224873384</v>
      </c>
      <c r="D1061">
        <f>-675.221928228153 -40.0121395456063 -211.233124332943</f>
        <v>-926.46719210670233</v>
      </c>
      <c r="E1061">
        <f>-682.56944129263 -47.2358506597673 -309.317271541287</f>
        <v>-1039.1225634936843</v>
      </c>
      <c r="F1061">
        <f>-686.665134637232 -53.5302417676151 -398.09703835616</f>
        <v>-1138.292414761007</v>
      </c>
      <c r="G1061">
        <f>-687.861886119682 -59.5935702139707 -486.979221434107</f>
        <v>-1234.4346777677597</v>
      </c>
      <c r="H1061">
        <f>-686.488425369173 -67.8987694498012 -611.277094188606</f>
        <v>-1365.6642890075802</v>
      </c>
      <c r="I1061">
        <f>-660.134570544745 -72.1411662792493 -689.969613134063</f>
        <v>-1422.2453499580574</v>
      </c>
      <c r="J1061">
        <f>-690.959143781523 -36.8699855536602 -558.451468827158</f>
        <v>-1286.2805981623412</v>
      </c>
      <c r="K1061" t="s">
        <v>10752</v>
      </c>
      <c r="L1061" t="s">
        <v>10753</v>
      </c>
      <c r="M1061" t="s">
        <v>10754</v>
      </c>
      <c r="N1061">
        <f>-683.226414658855 -91.6181400397973 -554.708034923248</f>
        <v>-1329.5525896219001</v>
      </c>
      <c r="O1061">
        <f>-665.616047732044 -222.068493890346 -515.060120969065</f>
        <v>-1402.7446625914549</v>
      </c>
      <c r="P1061">
        <f>-639.238717113545 -254.831073930854 -223.817815507158</f>
        <v>-1117.8876065515569</v>
      </c>
      <c r="Q1061">
        <f>-482.179972996555 -74.2675423693597 -251.749807829111</f>
        <v>-808.19732319502566</v>
      </c>
      <c r="R1061" t="s">
        <v>10755</v>
      </c>
      <c r="S1061" t="s">
        <v>10756</v>
      </c>
      <c r="T1061" t="s">
        <v>10757</v>
      </c>
      <c r="U1061" t="s">
        <v>10758</v>
      </c>
      <c r="V1061">
        <f>-630.541881574356 -122.181243647057 -94.4193034053396</f>
        <v>-847.14242862675269</v>
      </c>
      <c r="W1061" t="s">
        <v>10759</v>
      </c>
      <c r="X1061" t="s">
        <v>10760</v>
      </c>
      <c r="Y1061" t="s">
        <v>10761</v>
      </c>
    </row>
    <row r="1062" spans="1:25" x14ac:dyDescent="0.3">
      <c r="A1062">
        <v>53050</v>
      </c>
      <c r="B1062" t="s">
        <v>10762</v>
      </c>
      <c r="C1062">
        <f>-657.415204611177 -30.3138632736429 -97.2195042625759</f>
        <v>-784.94857214739591</v>
      </c>
      <c r="D1062">
        <f>-675.056783680988 -40.1715525381424 -211.271291074189</f>
        <v>-926.49962729331935</v>
      </c>
      <c r="E1062">
        <f>-682.49215452612 -47.3685117660993 -309.350822125548</f>
        <v>-1039.2114884177672</v>
      </c>
      <c r="F1062">
        <f>-686.699489536846 -53.6353957242652 -398.127359414015</f>
        <v>-1138.4622446751264</v>
      </c>
      <c r="G1062">
        <f>-688.039822396532 -59.6679758488833 -487.009552377581</f>
        <v>-1234.7173506229963</v>
      </c>
      <c r="H1062">
        <f>-686.900502758926 -67.9257513530672 -611.312986038354</f>
        <v>-1366.1392401503472</v>
      </c>
      <c r="I1062">
        <f>-660.646535260838 -72.0928761599466 -690.042705837672</f>
        <v>-1422.7821172584568</v>
      </c>
      <c r="J1062">
        <f>-691.247907002182 -36.9137025892205 -558.46719134991</f>
        <v>-1286.6288009413124</v>
      </c>
      <c r="K1062" t="s">
        <v>10763</v>
      </c>
      <c r="L1062" t="s">
        <v>10764</v>
      </c>
      <c r="M1062" t="s">
        <v>10765</v>
      </c>
      <c r="N1062">
        <f>-683.555706095356 -91.6700652671045 -554.759161800737</f>
        <v>-1329.9849331631976</v>
      </c>
      <c r="O1062">
        <f>-665.962685884564 -222.147069521187 -515.218243620952</f>
        <v>-1403.3279990267029</v>
      </c>
      <c r="P1062">
        <f>-639.372066530743 -254.97909118708 -224.00319965697</f>
        <v>-1118.3543573747932</v>
      </c>
      <c r="Q1062">
        <f>-482.252394569867 -74.4472817418168 -251.797137839646</f>
        <v>-808.49681415132977</v>
      </c>
      <c r="R1062" t="s">
        <v>10766</v>
      </c>
      <c r="S1062" t="s">
        <v>10767</v>
      </c>
      <c r="T1062" t="s">
        <v>10768</v>
      </c>
      <c r="U1062" t="s">
        <v>10769</v>
      </c>
      <c r="V1062">
        <f>-630.431024389265 -122.339870136744 -94.4532098792212</f>
        <v>-847.22410440523015</v>
      </c>
      <c r="W1062" t="s">
        <v>10770</v>
      </c>
      <c r="X1062" t="s">
        <v>10771</v>
      </c>
      <c r="Y1062" t="s">
        <v>10772</v>
      </c>
    </row>
    <row r="1063" spans="1:25" x14ac:dyDescent="0.3">
      <c r="A1063">
        <v>53100</v>
      </c>
      <c r="B1063" t="s">
        <v>10773</v>
      </c>
      <c r="C1063">
        <f>-657.152135931028 -30.9823626903546 -97.2611272710709</f>
        <v>-785.39562589245361</v>
      </c>
      <c r="D1063">
        <f>-674.810629224213 -40.8182058839404 -211.312245462783</f>
        <v>-926.94108057093649</v>
      </c>
      <c r="E1063">
        <f>-682.401098771788 -47.9377941727885 -309.385435609611</f>
        <v>-1039.7243285541877</v>
      </c>
      <c r="F1063">
        <f>-686.804051625793 -54.109340411419 -398.159053284776</f>
        <v>-1139.072445321988</v>
      </c>
      <c r="G1063">
        <f>-688.394880660741 -60.0201558714734 -487.045362508903</f>
        <v>-1235.4603990411174</v>
      </c>
      <c r="H1063">
        <f>-687.662317268293 -68.079557382516 -611.364839525896</f>
        <v>-1367.1067141767048</v>
      </c>
      <c r="I1063">
        <f>-661.606475251747 -72.1401589660084 -690.165989115124</f>
        <v>-1423.9126233328793</v>
      </c>
      <c r="J1063">
        <f>-691.782091015622 -37.1443337539624 -558.455846623186</f>
        <v>-1287.3822713927702</v>
      </c>
      <c r="K1063" t="s">
        <v>10774</v>
      </c>
      <c r="L1063" t="s">
        <v>10775</v>
      </c>
      <c r="M1063" t="s">
        <v>10776</v>
      </c>
      <c r="N1063">
        <f>-684.187236013184 -91.9216628850522 -554.859975830357</f>
        <v>-1330.9688747285932</v>
      </c>
      <c r="O1063">
        <f>-666.762370995178 -222.511715728368 -515.60805542887</f>
        <v>-1404.882142152416</v>
      </c>
      <c r="P1063">
        <f>-639.864132754546 -255.837611897556 -224.477352857531</f>
        <v>-1120.179097509633</v>
      </c>
      <c r="Q1063">
        <f>-482.427630044889 -75.5264857202826 -251.909697962824</f>
        <v>-809.86381372799553</v>
      </c>
      <c r="R1063" t="s">
        <v>10777</v>
      </c>
      <c r="S1063" t="s">
        <v>10778</v>
      </c>
      <c r="T1063" t="s">
        <v>10779</v>
      </c>
      <c r="U1063" t="s">
        <v>10780</v>
      </c>
      <c r="V1063">
        <f>-630.380969713857 -123.035238748878 -94.4873446196718</f>
        <v>-847.9035530824068</v>
      </c>
      <c r="W1063" t="s">
        <v>10781</v>
      </c>
      <c r="X1063" t="s">
        <v>10782</v>
      </c>
      <c r="Y1063" t="s">
        <v>10783</v>
      </c>
    </row>
    <row r="1064" spans="1:25" x14ac:dyDescent="0.3">
      <c r="A1064">
        <v>53150</v>
      </c>
      <c r="B1064" t="s">
        <v>10784</v>
      </c>
      <c r="C1064">
        <f>-657.040164374585 -31.3459727301477 -97.2785835541325</f>
        <v>-785.66472065886512</v>
      </c>
      <c r="D1064">
        <f>-674.71092880419 -41.1898403991236 -211.327183258798</f>
        <v>-927.22795246211149</v>
      </c>
      <c r="E1064">
        <f>-682.367593035972 -48.2730032351089 -309.397727813322</f>
        <v>-1040.038324084403</v>
      </c>
      <c r="F1064">
        <f>-686.852024665827 -54.3935159946036 -398.170843888303</f>
        <v>-1139.4163845487337</v>
      </c>
      <c r="G1064">
        <f>-688.545423463711 -60.2350691611555 -487.059902800052</f>
        <v>-1235.8403954249184</v>
      </c>
      <c r="H1064">
        <f>-687.977789227486 -68.1785968457104 -611.387686185804</f>
        <v>-1367.5440722590006</v>
      </c>
      <c r="I1064">
        <f>-662.010233594406 -72.1818881589393 -690.220994081077</f>
        <v>-1424.4131158344223</v>
      </c>
      <c r="J1064">
        <f>-691.995314059731 -37.2882872773876 -558.444637495869</f>
        <v>-1287.7282388329875</v>
      </c>
      <c r="K1064" t="s">
        <v>10785</v>
      </c>
      <c r="L1064" t="s">
        <v>10786</v>
      </c>
      <c r="M1064" t="s">
        <v>10787</v>
      </c>
      <c r="N1064">
        <f>-684.45989519978 -92.0777920744627 -554.90968246231</f>
        <v>-1331.4473697365527</v>
      </c>
      <c r="O1064">
        <f>-667.154268377501 -222.723459013559 -515.810462520652</f>
        <v>-1405.688189911712</v>
      </c>
      <c r="P1064">
        <f>-640.19286373428 -256.380941824804 -224.723722291273</f>
        <v>-1121.2975278503568</v>
      </c>
      <c r="Q1064">
        <f>-482.518316268904 -76.2464939391245 -251.948087852831</f>
        <v>-810.71289806085952</v>
      </c>
      <c r="R1064" t="s">
        <v>10788</v>
      </c>
      <c r="S1064" t="s">
        <v>10789</v>
      </c>
      <c r="T1064" t="s">
        <v>10790</v>
      </c>
      <c r="U1064" t="s">
        <v>10791</v>
      </c>
      <c r="V1064">
        <f>-630.322365753268 -123.442430041824 -94.5038270905972</f>
        <v>-848.26862288568907</v>
      </c>
      <c r="W1064" t="s">
        <v>10792</v>
      </c>
      <c r="X1064" t="s">
        <v>10793</v>
      </c>
      <c r="Y1064" t="s">
        <v>10794</v>
      </c>
    </row>
    <row r="1065" spans="1:25" x14ac:dyDescent="0.3">
      <c r="A1065">
        <v>53200</v>
      </c>
      <c r="B1065" t="s">
        <v>10795</v>
      </c>
      <c r="C1065">
        <f>-656.962917528707 -32.0882326495309 -97.3118517397866</f>
        <v>-786.36300191802445</v>
      </c>
      <c r="D1065">
        <f>-674.612820978333 -41.9423593157062 -211.362701560862</f>
        <v>-927.91788185490122</v>
      </c>
      <c r="E1065">
        <f>-682.355841713068 -48.9489432067949 -309.43209806608</f>
        <v>-1040.7368829859429</v>
      </c>
      <c r="F1065">
        <f>-686.958748698643 -54.9638205776148 -398.206463277963</f>
        <v>-1140.1290325542209</v>
      </c>
      <c r="G1065">
        <f>-688.809726423214 -60.6637835442723 -487.101414295847</f>
        <v>-1236.5749242633333</v>
      </c>
      <c r="H1065">
        <f>-688.502725677711 -68.3710827896898 -611.445039800617</f>
        <v>-1368.318848268018</v>
      </c>
      <c r="I1065">
        <f>-662.681003722349 -72.2356960065931 -690.333085039371</f>
        <v>-1425.249784768313</v>
      </c>
      <c r="J1065">
        <f>-692.34785040089 -37.5730677227277 -558.435507919125</f>
        <v>-1288.3564260427429</v>
      </c>
      <c r="K1065" t="s">
        <v>10796</v>
      </c>
      <c r="L1065" t="s">
        <v>10797</v>
      </c>
      <c r="M1065" t="s">
        <v>10798</v>
      </c>
      <c r="N1065">
        <f>-684.928037018688 -92.3858274719084 -555.019715152847</f>
        <v>-1332.3335796434435</v>
      </c>
      <c r="O1065">
        <f>-667.902165836846 -223.156352261655 -516.203228023303</f>
        <v>-1407.2617461218042</v>
      </c>
      <c r="P1065">
        <f>-640.971448513627 -257.47534155821 -225.191024720247</f>
        <v>-1123.6378147920841</v>
      </c>
      <c r="Q1065">
        <f>-482.804019140104 -77.6951839080537 -251.89333101804</f>
        <v>-812.39253406619764</v>
      </c>
      <c r="R1065" t="s">
        <v>10799</v>
      </c>
      <c r="S1065" t="s">
        <v>10800</v>
      </c>
      <c r="T1065" t="s">
        <v>10801</v>
      </c>
      <c r="U1065" t="s">
        <v>10802</v>
      </c>
      <c r="V1065">
        <f>-630.495056616488 -124.087488683452 -94.5002505314995</f>
        <v>-849.08279583143951</v>
      </c>
      <c r="W1065" t="s">
        <v>10803</v>
      </c>
      <c r="X1065" t="s">
        <v>10804</v>
      </c>
      <c r="Y1065" t="s">
        <v>10805</v>
      </c>
    </row>
    <row r="1066" spans="1:25" x14ac:dyDescent="0.3">
      <c r="A1066">
        <v>53250</v>
      </c>
      <c r="B1066" t="s">
        <v>10806</v>
      </c>
      <c r="C1066">
        <f>-656.894186002518 -32.4313304330951 -97.2997074672226</f>
        <v>-786.62522390283573</v>
      </c>
      <c r="D1066">
        <f>-674.513342635462 -42.2883032402333 -211.355044340757</f>
        <v>-928.15669021645226</v>
      </c>
      <c r="E1066">
        <f>-682.271786929626 -49.2552105652637 -309.425970131525</f>
        <v>-1040.9529676264146</v>
      </c>
      <c r="F1066">
        <f>-686.904946013115 -55.216663743814 -398.202415179902</f>
        <v>-1140.3240249368309</v>
      </c>
      <c r="G1066">
        <f>-688.802076090299 -60.8452000618756 -487.100918274705</f>
        <v>-1236.7481944268798</v>
      </c>
      <c r="H1066">
        <f>-688.575293740926 -68.4332069220086 -611.451983809708</f>
        <v>-1368.4604844726427</v>
      </c>
      <c r="I1066">
        <f>-662.788973317827 -72.2194603050921 -690.355488887833</f>
        <v>-1425.363922510752</v>
      </c>
      <c r="J1066">
        <f>-692.363735969408 -37.6832033933829 -558.410760299252</f>
        <v>-1288.4576996620431</v>
      </c>
      <c r="K1066" t="s">
        <v>10807</v>
      </c>
      <c r="L1066" t="s">
        <v>10808</v>
      </c>
      <c r="M1066" t="s">
        <v>10809</v>
      </c>
      <c r="N1066">
        <f>-684.986358551522 -92.5051946299791 -555.051906310476</f>
        <v>-1332.543459491977</v>
      </c>
      <c r="O1066">
        <f>-668.078252066437 -223.333598512469 -516.384816943603</f>
        <v>-1407.7966675225091</v>
      </c>
      <c r="P1066">
        <f>-641.243504232824 -257.993369042709 -225.404193137007</f>
        <v>-1124.6410664125399</v>
      </c>
      <c r="Q1066">
        <f>-482.860124677029 -78.3603010041154 -251.815020445297</f>
        <v>-813.03544612644146</v>
      </c>
      <c r="R1066" t="s">
        <v>10810</v>
      </c>
      <c r="S1066" t="s">
        <v>10811</v>
      </c>
      <c r="T1066" t="s">
        <v>10812</v>
      </c>
      <c r="U1066" t="s">
        <v>10813</v>
      </c>
      <c r="V1066">
        <f>-630.540893186495 -124.319763209429 -94.4872971304831</f>
        <v>-849.34795352640708</v>
      </c>
      <c r="W1066" t="s">
        <v>10814</v>
      </c>
      <c r="X1066" t="s">
        <v>10815</v>
      </c>
      <c r="Y1066" t="s">
        <v>10816</v>
      </c>
    </row>
    <row r="1067" spans="1:25" x14ac:dyDescent="0.3">
      <c r="A1067">
        <v>53300</v>
      </c>
      <c r="B1067" t="s">
        <v>10817</v>
      </c>
      <c r="C1067">
        <f>-656.758416845953 -33.1609218004346 -97.2752777952057</f>
        <v>-787.19461644159333</v>
      </c>
      <c r="D1067">
        <f>-674.353965771609 -42.9901231673923 -211.336760426744</f>
        <v>-928.6808493657453</v>
      </c>
      <c r="E1067">
        <f>-682.156471055135 -49.8763241829622 -309.409827372621</f>
        <v>-1041.4426226107182</v>
      </c>
      <c r="F1067">
        <f>-686.854580355387 -55.7400243995698 -398.189321612701</f>
        <v>-1140.7839263676578</v>
      </c>
      <c r="G1067">
        <f>-688.840875417232 -61.2459935575109 -487.093688073482</f>
        <v>-1237.180557048225</v>
      </c>
      <c r="H1067">
        <f>-688.763584165743 -68.6360793740132 -611.456824186488</f>
        <v>-1368.8564877262443</v>
      </c>
      <c r="I1067">
        <f>-662.983842612577 -72.2661918532285 -690.369898003379</f>
        <v>-1425.6199324691845</v>
      </c>
      <c r="J1067">
        <f>-692.442967362846 -37.964399819688 -558.362395705269</f>
        <v>-1288.7697628878032</v>
      </c>
      <c r="K1067" t="s">
        <v>10818</v>
      </c>
      <c r="L1067" t="s">
        <v>10819</v>
      </c>
      <c r="M1067" t="s">
        <v>10820</v>
      </c>
      <c r="N1067">
        <f>-685.152201537598 -92.8036756834686 -555.099060075551</f>
        <v>-1333.0549372966175</v>
      </c>
      <c r="O1067">
        <f>-668.450771429192 -223.724507951069 -516.674918817172</f>
        <v>-1408.850198197433</v>
      </c>
      <c r="P1067">
        <f>-641.655342336541 -258.944337879268 -225.757811315739</f>
        <v>-1126.357491531548</v>
      </c>
      <c r="Q1067">
        <f>-482.809872209046 -79.6289399504271 -251.544742688457</f>
        <v>-813.98355484793001</v>
      </c>
      <c r="R1067" t="s">
        <v>10821</v>
      </c>
      <c r="S1067" t="s">
        <v>10822</v>
      </c>
      <c r="T1067" t="s">
        <v>10823</v>
      </c>
      <c r="U1067" t="s">
        <v>10824</v>
      </c>
      <c r="V1067">
        <f>-630.626636066815 -124.960328250532 -94.4626765787269</f>
        <v>-850.04964089607392</v>
      </c>
      <c r="W1067" t="s">
        <v>10825</v>
      </c>
      <c r="X1067" t="s">
        <v>10826</v>
      </c>
      <c r="Y1067" t="s">
        <v>10827</v>
      </c>
    </row>
    <row r="1068" spans="1:25" x14ac:dyDescent="0.3">
      <c r="A1068">
        <v>53350</v>
      </c>
      <c r="B1068" t="s">
        <v>10828</v>
      </c>
      <c r="C1068">
        <f>-656.753667963588 -33.5478757619076 -97.2706402169132</f>
        <v>-787.57218394240874</v>
      </c>
      <c r="D1068">
        <f>-674.354676823465 -43.3729565981887 -211.331666112581</f>
        <v>-929.0592995342347</v>
      </c>
      <c r="E1068">
        <f>-682.187368185363 -50.2250776764299 -309.404876791983</f>
        <v>-1041.8173226537758</v>
      </c>
      <c r="F1068">
        <f>-686.922466046262 -56.0453173604228 -398.185116976815</f>
        <v>-1141.1529003834999</v>
      </c>
      <c r="G1068">
        <f>-688.954976151569 -61.495406017749 -487.091798540053</f>
        <v>-1237.542180709371</v>
      </c>
      <c r="H1068">
        <f>-688.951840542947 -68.7942430118164 -611.460313570606</f>
        <v>-1369.2063971253694</v>
      </c>
      <c r="I1068">
        <f>-663.158473469011 -72.3410206062433 -690.37272117527</f>
        <v>-1425.8722152505243</v>
      </c>
      <c r="J1068">
        <f>-692.57761090803 -38.158564641401 -558.34146590527</f>
        <v>-1289.0776414547008</v>
      </c>
      <c r="K1068" t="s">
        <v>10829</v>
      </c>
      <c r="L1068" t="s">
        <v>10830</v>
      </c>
      <c r="M1068" t="s">
        <v>10831</v>
      </c>
      <c r="N1068">
        <f>-685.328659731239 -93.0061705755884 -555.122528109578</f>
        <v>-1333.4573584164054</v>
      </c>
      <c r="O1068">
        <f>-668.740913251835 -223.97598686781 -516.791452306987</f>
        <v>-1409.508352426632</v>
      </c>
      <c r="P1068">
        <f>-641.980682652621 -259.391185092232 -225.894736642039</f>
        <v>-1127.2666043868921</v>
      </c>
      <c r="Q1068">
        <f>-482.884716853791 -80.2536949730818 -251.371827891599</f>
        <v>-814.51023971847178</v>
      </c>
      <c r="R1068" t="s">
        <v>10832</v>
      </c>
      <c r="S1068" t="s">
        <v>10833</v>
      </c>
      <c r="T1068" t="s">
        <v>10834</v>
      </c>
      <c r="U1068" t="s">
        <v>10835</v>
      </c>
      <c r="V1068">
        <f>-630.690289871436 -125.366451835564 -94.4632448246276</f>
        <v>-850.51998653162764</v>
      </c>
      <c r="W1068" t="s">
        <v>10836</v>
      </c>
      <c r="X1068" t="s">
        <v>10837</v>
      </c>
      <c r="Y1068" t="s">
        <v>10838</v>
      </c>
    </row>
    <row r="1069" spans="1:25" x14ac:dyDescent="0.3">
      <c r="A1069">
        <v>53400</v>
      </c>
      <c r="B1069" t="s">
        <v>10839</v>
      </c>
      <c r="C1069">
        <f>-656.835535824616 -34.5022031230449 -97.2737447017108</f>
        <v>-788.61148364937173</v>
      </c>
      <c r="D1069">
        <f>-674.488622327633 -44.3327345665748 -211.326158940889</f>
        <v>-930.14751583509678</v>
      </c>
      <c r="E1069">
        <f>-682.365277690186 -51.1044044646076 -309.401507936159</f>
        <v>-1042.8711900909525</v>
      </c>
      <c r="F1069">
        <f>-687.137742898711 -56.8181788568559 -398.186706900681</f>
        <v>-1142.1426286562478</v>
      </c>
      <c r="G1069">
        <f>-689.204693999372 -62.1284216608133 -487.101097108164</f>
        <v>-1238.4342127683494</v>
      </c>
      <c r="H1069">
        <f>-689.245345640504 -69.1974021053609 -611.48285699614</f>
        <v>-1369.9256047420049</v>
      </c>
      <c r="I1069">
        <f>-663.413591282267 -72.5484808556341 -690.391120170964</f>
        <v>-1426.3531923088651</v>
      </c>
      <c r="J1069">
        <f>-692.842610328614 -38.6587042450503 -558.306190186155</f>
        <v>-1289.8075047598195</v>
      </c>
      <c r="K1069" t="s">
        <v>10840</v>
      </c>
      <c r="L1069" t="s">
        <v>10841</v>
      </c>
      <c r="M1069" t="s">
        <v>10842</v>
      </c>
      <c r="N1069">
        <f>-685.612253122141 -93.5148251732589 -555.190981873299</f>
        <v>-1334.318060168699</v>
      </c>
      <c r="O1069">
        <f>-669.159810439919 -224.563396250262 -517.068416663375</f>
        <v>-1410.7916233535561</v>
      </c>
      <c r="P1069">
        <f>-642.629806810491 -260.409723949585 -226.203470112927</f>
        <v>-1129.243000873003</v>
      </c>
      <c r="Q1069">
        <f>-483.119418491425 -81.5720531333075 -251.19105665102</f>
        <v>-815.88252827575252</v>
      </c>
      <c r="R1069" t="s">
        <v>10843</v>
      </c>
      <c r="S1069" t="s">
        <v>10844</v>
      </c>
      <c r="T1069" t="s">
        <v>10845</v>
      </c>
      <c r="U1069" t="s">
        <v>10846</v>
      </c>
      <c r="V1069">
        <f>-630.852173229362 -126.350288271846 -94.4528752234737</f>
        <v>-851.65533672468177</v>
      </c>
      <c r="W1069" t="s">
        <v>10847</v>
      </c>
      <c r="X1069" t="s">
        <v>10848</v>
      </c>
      <c r="Y1069" t="s">
        <v>10849</v>
      </c>
    </row>
    <row r="1070" spans="1:25" x14ac:dyDescent="0.3">
      <c r="A1070">
        <v>53450</v>
      </c>
      <c r="B1070" t="s">
        <v>10850</v>
      </c>
      <c r="C1070">
        <f>-656.810785040172 -35.0979367559221 -97.294277107461</f>
        <v>-789.20299890355511</v>
      </c>
      <c r="D1070">
        <f>-674.471935323439 -44.942194783634 -211.34424176457</f>
        <v>-930.75837187164302</v>
      </c>
      <c r="E1070">
        <f>-682.325177291764 -51.6665315088492 -309.424741099214</f>
        <v>-1043.4164498998271</v>
      </c>
      <c r="F1070">
        <f>-687.063185794098 -57.3145911080078 -398.215925019724</f>
        <v>-1142.5937019218297</v>
      </c>
      <c r="G1070">
        <f>-689.081372400688 -62.5365133872326 -487.136741082776</f>
        <v>-1238.7546268706965</v>
      </c>
      <c r="H1070">
        <f>-689.038754830289 -69.4583452514946 -611.526835542396</f>
        <v>-1370.0239356241796</v>
      </c>
      <c r="I1070">
        <f>-663.14736265025 -72.6908038706215 -690.420529404303</f>
        <v>-1426.2586959251744</v>
      </c>
      <c r="J1070">
        <f>-692.68269215484 -38.9839733657714 -558.316422246052</f>
        <v>-1289.9830877666632</v>
      </c>
      <c r="K1070" t="s">
        <v>10851</v>
      </c>
      <c r="L1070" t="s">
        <v>10852</v>
      </c>
      <c r="M1070" t="s">
        <v>10853</v>
      </c>
      <c r="N1070">
        <f>-685.432377548836 -93.8407115726131 -555.261398449492</f>
        <v>-1334.5344875709411</v>
      </c>
      <c r="O1070">
        <f>-668.991891011286 -224.924039839638 -517.266223722892</f>
        <v>-1411.1821545738162</v>
      </c>
      <c r="P1070">
        <f>-642.563142819665 -261.054865601621 -226.427325997425</f>
        <v>-1130.045334418711</v>
      </c>
      <c r="Q1070">
        <f>-482.951190828817 -82.2780074129769 -251.201082743749</f>
        <v>-816.43028098554294</v>
      </c>
      <c r="R1070" t="s">
        <v>10854</v>
      </c>
      <c r="S1070" t="s">
        <v>10855</v>
      </c>
      <c r="T1070" t="s">
        <v>10856</v>
      </c>
      <c r="U1070" t="s">
        <v>10857</v>
      </c>
      <c r="V1070">
        <f>-630.798793111845 -126.948533888941 -94.4647554650523</f>
        <v>-852.21208246583842</v>
      </c>
      <c r="W1070" t="s">
        <v>10858</v>
      </c>
      <c r="X1070" t="s">
        <v>10859</v>
      </c>
      <c r="Y1070" t="s">
        <v>10860</v>
      </c>
    </row>
    <row r="1071" spans="1:25" x14ac:dyDescent="0.3">
      <c r="A1071">
        <v>53500</v>
      </c>
      <c r="B1071" t="s">
        <v>10861</v>
      </c>
      <c r="C1071">
        <f>-656.595030375068 -36.2297945639855 -97.3275170396315</f>
        <v>-790.15234197868494</v>
      </c>
      <c r="D1071">
        <f>-674.26585647066 -46.1416032026848 -211.370057478822</f>
        <v>-931.77751715216675</v>
      </c>
      <c r="E1071">
        <f>-682.060743181818 -52.7686537983784 -309.461813004837</f>
        <v>-1044.2912099850334</v>
      </c>
      <c r="F1071">
        <f>-686.71595301145 -58.2688119960708 -398.266831585376</f>
        <v>-1143.2515965928967</v>
      </c>
      <c r="G1071">
        <f>-688.619532403736 -63.2832033999905 -487.201972385103</f>
        <v>-1239.1047081888296</v>
      </c>
      <c r="H1071">
        <f>-688.381465681781 -69.8536903336817 -611.611016681337</f>
        <v>-1369.8461726967998</v>
      </c>
      <c r="I1071">
        <f>-662.326416022846 -72.8140645818944 -690.461356712742</f>
        <v>-1425.6018373174825</v>
      </c>
      <c r="J1071">
        <f>-692.143213466495 -39.5342409133725 -558.320251368917</f>
        <v>-1289.9977057487845</v>
      </c>
      <c r="K1071" t="s">
        <v>10862</v>
      </c>
      <c r="L1071" t="s">
        <v>10863</v>
      </c>
      <c r="M1071" t="s">
        <v>10864</v>
      </c>
      <c r="N1071">
        <f>-684.829383974866 -94.3904535364079 -555.409067733821</f>
        <v>-1334.6289052450948</v>
      </c>
      <c r="O1071">
        <f>-668.339384684561 -225.554269872525 -517.709580981159</f>
        <v>-1411.6032355382449</v>
      </c>
      <c r="P1071">
        <f>-641.91093765656 -262.396950169536 -226.959958944059</f>
        <v>-1131.2678467701551</v>
      </c>
      <c r="Q1071">
        <f>-482.3375193518 -83.5288381045352 -251.320647169829</f>
        <v>-817.18700462616425</v>
      </c>
      <c r="R1071" t="s">
        <v>10865</v>
      </c>
      <c r="S1071" t="s">
        <v>10866</v>
      </c>
      <c r="T1071" t="s">
        <v>10867</v>
      </c>
      <c r="U1071" t="s">
        <v>10868</v>
      </c>
      <c r="V1071">
        <f>-630.540462071331 -127.985453841449 -94.4699114814075</f>
        <v>-852.99582739418759</v>
      </c>
      <c r="W1071" t="s">
        <v>10869</v>
      </c>
      <c r="X1071" t="s">
        <v>10870</v>
      </c>
      <c r="Y1071" t="s">
        <v>10871</v>
      </c>
    </row>
    <row r="1072" spans="1:25" x14ac:dyDescent="0.3">
      <c r="A1072">
        <v>53550</v>
      </c>
      <c r="B1072" t="s">
        <v>10872</v>
      </c>
      <c r="C1072">
        <f>-656.443778212738 -36.8079758400966 -97.3367702959615</f>
        <v>-790.58852434879611</v>
      </c>
      <c r="D1072">
        <f>-674.13357054762 -46.7649417168761 -211.372536192382</f>
        <v>-932.27104845687813</v>
      </c>
      <c r="E1072">
        <f>-681.894474183593 -53.3517404082631 -309.469638519242</f>
        <v>-1044.7158531110981</v>
      </c>
      <c r="F1072">
        <f>-686.497228870902 -58.7851908746954 -398.281417386724</f>
        <v>-1143.5638371323214</v>
      </c>
      <c r="G1072">
        <f>-688.325693119487 -63.7030036590365 -487.223617672736</f>
        <v>-1239.2523144512595</v>
      </c>
      <c r="H1072">
        <f>-687.957904539064 -70.1076899065411 -611.640997970636</f>
        <v>-1369.7065924162412</v>
      </c>
      <c r="I1072">
        <f>-661.797013875799 -72.9162358788099 -690.461844102404</f>
        <v>-1425.1750938570131</v>
      </c>
      <c r="J1072">
        <f>-691.792186550918 -39.8615486571962 -558.313652692296</f>
        <v>-1289.9673879004104</v>
      </c>
      <c r="K1072" t="s">
        <v>10873</v>
      </c>
      <c r="L1072" t="s">
        <v>10874</v>
      </c>
      <c r="M1072" t="s">
        <v>10875</v>
      </c>
      <c r="N1072">
        <f>-684.447280756074 -94.7170767047503 -555.468327666527</f>
        <v>-1334.6326851273511</v>
      </c>
      <c r="O1072">
        <f>-667.932835446828 -225.917851886808 -517.910034291136</f>
        <v>-1411.760721624772</v>
      </c>
      <c r="P1072">
        <f>-641.443434477972 -263.130552878423 -227.213011338621</f>
        <v>-1131.7869986950161</v>
      </c>
      <c r="Q1072">
        <f>-481.921468205177 -84.1974479764442 -251.431147271215</f>
        <v>-817.55006345283618</v>
      </c>
      <c r="R1072" t="s">
        <v>10876</v>
      </c>
      <c r="S1072" t="s">
        <v>10877</v>
      </c>
      <c r="T1072" t="s">
        <v>10878</v>
      </c>
      <c r="U1072" t="s">
        <v>10879</v>
      </c>
      <c r="V1072">
        <f>-630.424887079177 -128.535892070354 -94.4622841732322</f>
        <v>-853.42306332276314</v>
      </c>
      <c r="W1072" t="s">
        <v>10880</v>
      </c>
      <c r="X1072" t="s">
        <v>10881</v>
      </c>
      <c r="Y1072" t="s">
        <v>10882</v>
      </c>
    </row>
    <row r="1073" spans="1:25" x14ac:dyDescent="0.3">
      <c r="A1073">
        <v>53600</v>
      </c>
      <c r="B1073" t="s">
        <v>10883</v>
      </c>
      <c r="C1073">
        <f>-656.182740666735 -37.7149560668097 -97.3202069527583</f>
        <v>-791.21790368630298</v>
      </c>
      <c r="D1073">
        <f>-673.937341039568 -47.7673750015399 -211.337449423751</f>
        <v>-933.04216546485884</v>
      </c>
      <c r="E1073">
        <f>-681.563530342484 -54.2723007696859 -309.450543470226</f>
        <v>-1045.2863745823959</v>
      </c>
      <c r="F1073">
        <f>-685.96440987431 -59.5709227130585 -398.280731774438</f>
        <v>-1143.8160643618066</v>
      </c>
      <c r="G1073">
        <f>-687.508700307658 -64.2948509725336 -487.238938939986</f>
        <v>-1239.0424902201776</v>
      </c>
      <c r="H1073">
        <f>-686.656456786281 -70.3688667382094 -611.670323386536</f>
        <v>-1368.6956469110264</v>
      </c>
      <c r="I1073">
        <f>-660.239150141753 -72.8589121898567 -690.416513122091</f>
        <v>-1423.5145754537007</v>
      </c>
      <c r="J1073">
        <f>-690.726323866827 -40.2682199728438 -558.2784120797</f>
        <v>-1289.2729559193708</v>
      </c>
      <c r="K1073" t="s">
        <v>10884</v>
      </c>
      <c r="L1073" t="s">
        <v>10885</v>
      </c>
      <c r="M1073" t="s">
        <v>10886</v>
      </c>
      <c r="N1073">
        <f>-683.336713426241 -95.1236487831725 -555.54999058174</f>
        <v>-1334.0103527911533</v>
      </c>
      <c r="O1073">
        <f>-666.818109406501 -226.387867471911 -518.213763065721</f>
        <v>-1411.419739944133</v>
      </c>
      <c r="P1073">
        <f>-640.333406059623 -264.288268636471 -227.605107846948</f>
        <v>-1132.226782543042</v>
      </c>
      <c r="Q1073">
        <f>-480.828901055103 -85.3222008655262 -251.694537213214</f>
        <v>-817.84563913384318</v>
      </c>
      <c r="R1073" t="s">
        <v>10887</v>
      </c>
      <c r="S1073" t="s">
        <v>10888</v>
      </c>
      <c r="T1073" t="s">
        <v>10889</v>
      </c>
      <c r="U1073" t="s">
        <v>10890</v>
      </c>
      <c r="V1073">
        <f>-630.046616112636 -129.312330585694 -94.4299118286094</f>
        <v>-853.78885852693941</v>
      </c>
      <c r="W1073" t="s">
        <v>10891</v>
      </c>
      <c r="X1073" t="s">
        <v>10892</v>
      </c>
      <c r="Y1073" t="s">
        <v>10893</v>
      </c>
    </row>
    <row r="1074" spans="1:25" x14ac:dyDescent="0.3">
      <c r="A1074">
        <v>53650</v>
      </c>
      <c r="B1074" t="s">
        <v>10894</v>
      </c>
      <c r="C1074">
        <f>-656.127966506225 -38.2799994654213 -97.324760307424</f>
        <v>-791.73272627907022</v>
      </c>
      <c r="D1074">
        <f>-673.902634118935 -48.3414650090538 -211.338209474378</f>
        <v>-933.58230860236677</v>
      </c>
      <c r="E1074">
        <f>-681.447246642754 -54.7966785211543 -309.460865753801</f>
        <v>-1045.7047909177093</v>
      </c>
      <c r="F1074">
        <f>-685.733099465013 -60.029307653014 -398.300472022528</f>
        <v>-1144.062879140555</v>
      </c>
      <c r="G1074">
        <f>-687.121186357368 -64.6668909609045 -487.265756473263</f>
        <v>-1239.0538337915355</v>
      </c>
      <c r="H1074">
        <f>-686.005888638221 -70.6003079783598 -611.701945417239</f>
        <v>-1368.3081420338199</v>
      </c>
      <c r="I1074">
        <f>-659.444316787413 -72.9456566072474 -690.403926244874</f>
        <v>-1422.7938996395344</v>
      </c>
      <c r="J1074">
        <f>-690.199800742227 -40.5616051431991 -558.284760677422</f>
        <v>-1289.0461665628482</v>
      </c>
      <c r="K1074" t="s">
        <v>10895</v>
      </c>
      <c r="L1074" t="s">
        <v>10896</v>
      </c>
      <c r="M1074" t="s">
        <v>10897</v>
      </c>
      <c r="N1074">
        <f>-682.793652110079 -95.4170454195498 -555.602734719574</f>
        <v>-1333.8134322492028</v>
      </c>
      <c r="O1074">
        <f>-666.278077912732 -226.711403078123 -518.367809024167</f>
        <v>-1411.357290015022</v>
      </c>
      <c r="P1074">
        <f>-639.902147536308 -264.881047237455 -227.784579272059</f>
        <v>-1132.567774045822</v>
      </c>
      <c r="Q1074">
        <f>-480.392763823842 -85.9124340592371 -251.822436440095</f>
        <v>-818.12763432317411</v>
      </c>
      <c r="R1074" t="s">
        <v>10898</v>
      </c>
      <c r="S1074" t="s">
        <v>10899</v>
      </c>
      <c r="T1074" t="s">
        <v>10900</v>
      </c>
      <c r="U1074" t="s">
        <v>10901</v>
      </c>
      <c r="V1074">
        <f>-629.996979105063 -129.924084583533 -94.4203774385051</f>
        <v>-854.34144112710101</v>
      </c>
      <c r="W1074" t="s">
        <v>10902</v>
      </c>
      <c r="X1074" t="s">
        <v>10903</v>
      </c>
      <c r="Y1074" t="s">
        <v>10904</v>
      </c>
    </row>
    <row r="1075" spans="1:25" x14ac:dyDescent="0.3">
      <c r="A1075">
        <v>53700</v>
      </c>
      <c r="B1075" t="s">
        <v>10905</v>
      </c>
      <c r="C1075">
        <f>-656.022554686815 -39.0770239858014 -97.3631127839061</f>
        <v>-792.46269145652252</v>
      </c>
      <c r="D1075">
        <f>-673.783639561078 -49.1121138798364 -211.38085716336</f>
        <v>-934.27661060427442</v>
      </c>
      <c r="E1075">
        <f>-681.217165439324 -55.5126754175164 -309.515693586967</f>
        <v>-1046.2455344438076</v>
      </c>
      <c r="F1075">
        <f>-685.361923718937 -60.684656010666 -398.365620410599</f>
        <v>-1144.412200140202</v>
      </c>
      <c r="G1075">
        <f>-686.567676991159 -65.2521163515435 -487.337033007929</f>
        <v>-1239.1568263506315</v>
      </c>
      <c r="H1075">
        <f>-685.154529022157 -71.0779351008603 -611.775382166154</f>
        <v>-1368.0078462891713</v>
      </c>
      <c r="I1075">
        <f>-658.350285841592 -73.2313532319859 -690.400602645732</f>
        <v>-1421.98224171931</v>
      </c>
      <c r="J1075">
        <f>-689.481709082182 -41.0861572760821 -558.342498496596</f>
        <v>-1288.9103648548601</v>
      </c>
      <c r="K1075" t="s">
        <v>10906</v>
      </c>
      <c r="L1075" t="s">
        <v>10907</v>
      </c>
      <c r="M1075" t="s">
        <v>10908</v>
      </c>
      <c r="N1075">
        <f>-682.071072129955 -95.9423801914168 -555.689933743983</f>
        <v>-1333.7033860653548</v>
      </c>
      <c r="O1075">
        <f>-665.601438986846 -227.263010087816 -518.532667868882</f>
        <v>-1411.397116943544</v>
      </c>
      <c r="P1075">
        <f>-639.450708785067 -265.718324115612 -227.966728877244</f>
        <v>-1133.1357617779231</v>
      </c>
      <c r="Q1075">
        <f>-479.727732479155 -86.9128550895598 -251.799870096501</f>
        <v>-818.44045766521583</v>
      </c>
      <c r="R1075" t="s">
        <v>10909</v>
      </c>
      <c r="S1075" t="s">
        <v>10910</v>
      </c>
      <c r="T1075" t="s">
        <v>10911</v>
      </c>
      <c r="U1075" t="s">
        <v>10912</v>
      </c>
      <c r="V1075">
        <f>-629.836382108732 -130.630674717959 -94.4630491965522</f>
        <v>-854.93010602324318</v>
      </c>
      <c r="W1075" t="s">
        <v>10913</v>
      </c>
      <c r="X1075" t="s">
        <v>10914</v>
      </c>
      <c r="Y1075" t="s">
        <v>10915</v>
      </c>
    </row>
    <row r="1076" spans="1:25" x14ac:dyDescent="0.3">
      <c r="A1076">
        <v>53750</v>
      </c>
      <c r="B1076" t="s">
        <v>10916</v>
      </c>
      <c r="C1076">
        <f>-656.039125864561 -39.4802532313674 -97.3631365193027</f>
        <v>-792.88251561523111</v>
      </c>
      <c r="D1076">
        <f>-673.774509713683 -49.5098282468934 -211.385395749683</f>
        <v>-934.66973371025938</v>
      </c>
      <c r="E1076">
        <f>-681.166936267113 -55.9022232222123 -309.523822547955</f>
        <v>-1046.5929820372803</v>
      </c>
      <c r="F1076">
        <f>-685.266866539351 -61.0658939655689 -398.376373903198</f>
        <v>-1144.7091344081177</v>
      </c>
      <c r="G1076">
        <f>-686.419562188389 -65.6242365621708 -487.349007781581</f>
        <v>-1239.3928065321409</v>
      </c>
      <c r="H1076">
        <f>-684.924147113939 -71.4367066117666 -611.786891992897</f>
        <v>-1368.1477457186024</v>
      </c>
      <c r="I1076">
        <f>-658.006121670325 -73.5209931579795 -690.37513473693</f>
        <v>-1421.9022495652346</v>
      </c>
      <c r="J1076">
        <f>-689.287623413052 -41.4507205141847 -558.353576103181</f>
        <v>-1289.0919200304177</v>
      </c>
      <c r="K1076" t="s">
        <v>10917</v>
      </c>
      <c r="L1076" t="s">
        <v>10918</v>
      </c>
      <c r="M1076" t="s">
        <v>10919</v>
      </c>
      <c r="N1076">
        <f>-681.876543538291 -96.3070224233902 -555.702246710553</f>
        <v>-1333.8858126722344</v>
      </c>
      <c r="O1076">
        <f>-665.454590676061 -227.642497196096 -518.549305792294</f>
        <v>-1411.6463936644509</v>
      </c>
      <c r="P1076">
        <f>-639.429867004076 -266.10178909248 -227.972635472419</f>
        <v>-1133.5042915689748</v>
      </c>
      <c r="Q1076">
        <f>-479.588615822636 -87.3893583794663 -251.710137673729</f>
        <v>-818.68811187583128</v>
      </c>
      <c r="R1076" t="s">
        <v>10920</v>
      </c>
      <c r="S1076" t="s">
        <v>10921</v>
      </c>
      <c r="T1076" t="s">
        <v>10922</v>
      </c>
      <c r="U1076" t="s">
        <v>10923</v>
      </c>
      <c r="V1076">
        <f>-629.902593916386 -131.044322188838 -94.4697588956732</f>
        <v>-855.41667500089716</v>
      </c>
      <c r="W1076" t="s">
        <v>10924</v>
      </c>
      <c r="X1076" t="s">
        <v>10925</v>
      </c>
      <c r="Y1076" t="s">
        <v>10926</v>
      </c>
    </row>
    <row r="1077" spans="1:25" x14ac:dyDescent="0.3">
      <c r="A1077">
        <v>53800</v>
      </c>
      <c r="B1077" t="s">
        <v>10927</v>
      </c>
      <c r="C1077">
        <f>-656.111308289753 -39.920802984383 -97.3789997012065</f>
        <v>-793.41111097534247</v>
      </c>
      <c r="D1077">
        <f>-673.807786254457 -49.9546917738226 -211.406972703216</f>
        <v>-935.16945073149554</v>
      </c>
      <c r="E1077">
        <f>-681.128974404398 -56.368467590424 -309.549321692968</f>
        <v>-1047.04676368779</v>
      </c>
      <c r="F1077">
        <f>-685.149500033665 -61.5595629478589 -398.403855966814</f>
        <v>-1145.1129189483379</v>
      </c>
      <c r="G1077">
        <f>-686.208223172028 -66.153838751984 -487.375841739863</f>
        <v>-1239.7379036638752</v>
      </c>
      <c r="H1077">
        <f>-684.566174933951 -72.0265669953315 -611.809070323206</f>
        <v>-1368.4018122524885</v>
      </c>
      <c r="I1077">
        <f>-657.416819004958 -74.0334957578723 -690.319680911211</f>
        <v>-1421.7699956740412</v>
      </c>
      <c r="J1077">
        <f>-688.972325682358 -42.0120491714683 -558.395364058361</f>
        <v>-1289.3797389121873</v>
      </c>
      <c r="K1077" t="s">
        <v>10928</v>
      </c>
      <c r="L1077" t="s">
        <v>10929</v>
      </c>
      <c r="M1077" t="s">
        <v>10930</v>
      </c>
      <c r="N1077">
        <f>-681.605092170117 -96.8725386454046 -555.708922699865</f>
        <v>-1334.1865535153865</v>
      </c>
      <c r="O1077">
        <f>-665.278953931755 -228.191359197295 -518.488895238912</f>
        <v>-1411.9592083679622</v>
      </c>
      <c r="P1077">
        <f>-639.367141102737 -266.634915429895 -227.899988814214</f>
        <v>-1133.9020453468461</v>
      </c>
      <c r="Q1077">
        <f>-479.393042651613 -88.026317823822 -251.524381400374</f>
        <v>-818.94374187580888</v>
      </c>
      <c r="R1077" t="s">
        <v>10931</v>
      </c>
      <c r="S1077" t="s">
        <v>10932</v>
      </c>
      <c r="T1077" t="s">
        <v>10933</v>
      </c>
      <c r="U1077" t="s">
        <v>10934</v>
      </c>
      <c r="V1077">
        <f>-630.054516208442 -131.508751522371 -94.458549670827</f>
        <v>-856.02181740163996</v>
      </c>
      <c r="W1077" t="s">
        <v>10935</v>
      </c>
      <c r="X1077" t="s">
        <v>10936</v>
      </c>
      <c r="Y1077" t="s">
        <v>10937</v>
      </c>
    </row>
    <row r="1078" spans="1:25" x14ac:dyDescent="0.3">
      <c r="A1078">
        <v>53850</v>
      </c>
      <c r="B1078" t="s">
        <v>10938</v>
      </c>
      <c r="C1078">
        <f>-656.053980934297 -40.0277999792986 -97.4003834370111</f>
        <v>-793.48216435060669</v>
      </c>
      <c r="D1078">
        <f>-673.735819938102 -50.0768106320986 -211.429354070671</f>
        <v>-935.24198464087169</v>
      </c>
      <c r="E1078">
        <f>-681.04121688963 -56.5116815662757 -309.571495503364</f>
        <v>-1047.1243939592698</v>
      </c>
      <c r="F1078">
        <f>-685.046206295437 -61.7253077484083 -398.425411718436</f>
        <v>-1145.1969257622814</v>
      </c>
      <c r="G1078">
        <f>-686.088200696351 -66.3462690324445 -487.396230953171</f>
        <v>-1239.8307006819666</v>
      </c>
      <c r="H1078">
        <f>-684.421429319258 -72.2604444316153 -611.827112346899</f>
        <v>-1368.5089860977723</v>
      </c>
      <c r="I1078">
        <f>-657.17644887396 -74.2549520746772 -690.304835353013</f>
        <v>-1421.7362363016503</v>
      </c>
      <c r="J1078">
        <f>-688.821595211612 -42.225839973524 -558.424124421862</f>
        <v>-1289.471559606998</v>
      </c>
      <c r="K1078" t="s">
        <v>10939</v>
      </c>
      <c r="L1078" t="s">
        <v>10940</v>
      </c>
      <c r="M1078" t="s">
        <v>10941</v>
      </c>
      <c r="N1078">
        <f>-681.48809432141 -97.089883418872 -555.718212608946</f>
        <v>-1334.296190349228</v>
      </c>
      <c r="O1078">
        <f>-665.252149018785 -228.402203103346 -518.42286103761</f>
        <v>-1412.0772131597409</v>
      </c>
      <c r="P1078">
        <f>-639.358752440377 -266.769577345273 -227.822341852261</f>
        <v>-1133.950671637911</v>
      </c>
      <c r="Q1078">
        <f>-479.249158417323 -88.2840329901276 -251.458606024468</f>
        <v>-818.99179743191849</v>
      </c>
      <c r="R1078" t="s">
        <v>10942</v>
      </c>
      <c r="S1078" t="s">
        <v>10943</v>
      </c>
      <c r="T1078" t="s">
        <v>10944</v>
      </c>
      <c r="U1078" t="s">
        <v>10945</v>
      </c>
      <c r="V1078">
        <f>-629.952350404448 -131.564132588003 -94.46999230082</f>
        <v>-855.98647529327093</v>
      </c>
      <c r="W1078" t="s">
        <v>10946</v>
      </c>
      <c r="X1078" t="s">
        <v>10947</v>
      </c>
      <c r="Y1078" t="s">
        <v>10948</v>
      </c>
    </row>
    <row r="1079" spans="1:25" x14ac:dyDescent="0.3">
      <c r="A1079">
        <v>53900</v>
      </c>
      <c r="B1079" t="s">
        <v>10949</v>
      </c>
      <c r="C1079">
        <f>-655.919490045612 -40.4119220205812 -97.4428675428452</f>
        <v>-793.77427960903833</v>
      </c>
      <c r="D1079">
        <f>-673.583323133369 -50.462935198861 -211.474373360335</f>
        <v>-935.52063169256508</v>
      </c>
      <c r="E1079">
        <f>-680.876775318378 -56.9256113030503 -309.615520300277</f>
        <v>-1047.4179069217053</v>
      </c>
      <c r="F1079">
        <f>-684.872906344704 -62.1746917055614 -398.467780902909</f>
        <v>-1145.5153789531744</v>
      </c>
      <c r="G1079">
        <f>-685.908078336896 -66.8416870714389 -487.436370743255</f>
        <v>-1240.1861361515898</v>
      </c>
      <c r="H1079">
        <f>-684.234250619545 -72.831577355711 -611.863451074728</f>
        <v>-1368.929279049984</v>
      </c>
      <c r="I1079">
        <f>-656.797750805802 -74.8120564203132 -690.274900015633</f>
        <v>-1421.8847072417482</v>
      </c>
      <c r="J1079">
        <f>-688.613233941252 -42.7613243864676 -558.478934579986</f>
        <v>-1289.8534929077055</v>
      </c>
      <c r="K1079" t="s">
        <v>10950</v>
      </c>
      <c r="L1079" t="s">
        <v>10951</v>
      </c>
      <c r="M1079" t="s">
        <v>10952</v>
      </c>
      <c r="N1079">
        <f>-681.328474918266 -97.6300914489611 -555.73955937129</f>
        <v>-1334.6981257385173</v>
      </c>
      <c r="O1079">
        <f>-665.235096345678 -228.933387499983 -518.35269782887</f>
        <v>-1412.5211816745309</v>
      </c>
      <c r="P1079">
        <f>-639.474522685349 -267.068504701 -227.709710895717</f>
        <v>-1134.252738282066</v>
      </c>
      <c r="Q1079">
        <f>-479.08931649479 -88.8544019868366 -251.526386193795</f>
        <v>-819.47010467542168</v>
      </c>
      <c r="R1079" t="s">
        <v>10953</v>
      </c>
      <c r="S1079" t="s">
        <v>10954</v>
      </c>
      <c r="T1079" t="s">
        <v>10955</v>
      </c>
      <c r="U1079" t="s">
        <v>10956</v>
      </c>
      <c r="V1079">
        <f>-629.910650383745 -131.949809295772 -94.4844544261282</f>
        <v>-856.3449141056451</v>
      </c>
      <c r="W1079" t="s">
        <v>10957</v>
      </c>
      <c r="X1079" t="s">
        <v>10958</v>
      </c>
      <c r="Y1079" t="s">
        <v>10959</v>
      </c>
    </row>
    <row r="1080" spans="1:25" x14ac:dyDescent="0.3">
      <c r="A1080">
        <v>53950</v>
      </c>
      <c r="B1080" t="s">
        <v>10960</v>
      </c>
      <c r="C1080">
        <f>-655.865113880079 -40.4974353858552 -97.4483003442637</f>
        <v>-793.81084961019781</v>
      </c>
      <c r="D1080">
        <f>-673.53258604291 -50.5544335177572 -211.47867762941</f>
        <v>-935.56569719007712</v>
      </c>
      <c r="E1080">
        <f>-680.825778809834 -57.0355127497526 -309.618651286151</f>
        <v>-1047.4799428457377</v>
      </c>
      <c r="F1080">
        <f>-684.820430420233 -62.3066801737123 -398.469813484519</f>
        <v>-1145.5969240784643</v>
      </c>
      <c r="G1080">
        <f>-685.853331824654 -67.0014709620887 -487.436704486803</f>
        <v>-1240.2915072735457</v>
      </c>
      <c r="H1080">
        <f>-684.175372285218 -73.0360255547444 -611.86173920963</f>
        <v>-1369.0731370495923</v>
      </c>
      <c r="I1080">
        <f>-656.656233218494 -75.0134444654866 -690.24426119356</f>
        <v>-1421.9139388775407</v>
      </c>
      <c r="J1080">
        <f>-688.5497224405 -42.9456749832607 -558.488016272221</f>
        <v>-1289.9834136959817</v>
      </c>
      <c r="K1080" t="s">
        <v>10961</v>
      </c>
      <c r="L1080" t="s">
        <v>10962</v>
      </c>
      <c r="M1080" t="s">
        <v>10963</v>
      </c>
      <c r="N1080">
        <f>-681.27791074521 -97.8152891231102 -555.728863349653</f>
        <v>-1334.8220632179732</v>
      </c>
      <c r="O1080">
        <f>-665.215047608692 -229.110203576027 -518.309861758848</f>
        <v>-1412.635112943567</v>
      </c>
      <c r="P1080">
        <f>-639.45352158312 -267.200214375179 -227.6611671056</f>
        <v>-1134.314903063899</v>
      </c>
      <c r="Q1080">
        <f>-478.962140787236 -89.0973025511114 -251.592344289322</f>
        <v>-819.65178762766936</v>
      </c>
      <c r="R1080" t="s">
        <v>10964</v>
      </c>
      <c r="S1080" t="s">
        <v>10965</v>
      </c>
      <c r="T1080" t="s">
        <v>10966</v>
      </c>
      <c r="U1080" t="s">
        <v>10967</v>
      </c>
      <c r="V1080">
        <f>-629.858625145868 -131.958154532639 -94.4818533413048</f>
        <v>-856.29863301981186</v>
      </c>
      <c r="W1080" t="s">
        <v>10968</v>
      </c>
      <c r="X1080" t="s">
        <v>10969</v>
      </c>
      <c r="Y1080" t="s">
        <v>10970</v>
      </c>
    </row>
    <row r="1081" spans="1:25" x14ac:dyDescent="0.3">
      <c r="A1081">
        <v>54000</v>
      </c>
      <c r="B1081" t="s">
        <v>10971</v>
      </c>
      <c r="C1081">
        <f>-655.85141350156 -40.7174213257811 -97.435955676546</f>
        <v>-794.00479050388708</v>
      </c>
      <c r="D1081">
        <f>-673.567432304048 -50.7973834740087 -211.456867331044</f>
        <v>-935.82168310910072</v>
      </c>
      <c r="E1081">
        <f>-680.910623763494 -57.3010343118112 -309.591732720137</f>
        <v>-1047.8033907954423</v>
      </c>
      <c r="F1081">
        <f>-684.953968659355 -62.5935906345019 -398.439082949095</f>
        <v>-1145.9866422429518</v>
      </c>
      <c r="G1081">
        <f>-686.03891436046 -67.3106026403136 -487.404468193773</f>
        <v>-1240.7539851945467</v>
      </c>
      <c r="H1081">
        <f>-684.43761732628 -73.3774475125333 -611.828846028262</f>
        <v>-1369.6439108670752</v>
      </c>
      <c r="I1081">
        <f>-656.815700272603 -75.2881352767097 -690.176879507773</f>
        <v>-1422.2807150570857</v>
      </c>
      <c r="J1081">
        <f>-688.790146831565 -43.274829719805 -558.460339187812</f>
        <v>-1290.5253157391821</v>
      </c>
      <c r="K1081" t="s">
        <v>10972</v>
      </c>
      <c r="L1081" t="s">
        <v>10973</v>
      </c>
      <c r="M1081" t="s">
        <v>10974</v>
      </c>
      <c r="N1081">
        <f>-681.494319488129 -98.1408105051489 -555.691240006591</f>
        <v>-1335.3263699998688</v>
      </c>
      <c r="O1081">
        <f>-665.357701055896 -229.427379799279 -518.257425245546</f>
        <v>-1413.0425061007209</v>
      </c>
      <c r="P1081">
        <f>-639.651998732121 -267.27338708404 -227.571805949704</f>
        <v>-1134.497191765865</v>
      </c>
      <c r="Q1081">
        <f>-479.109318489341 -89.2189471060371 -251.520331177351</f>
        <v>-819.84859677272902</v>
      </c>
      <c r="R1081" t="s">
        <v>10975</v>
      </c>
      <c r="S1081" t="s">
        <v>10976</v>
      </c>
      <c r="T1081" t="s">
        <v>10977</v>
      </c>
      <c r="U1081" t="s">
        <v>10978</v>
      </c>
      <c r="V1081">
        <f>-629.779960016739 -132.202275342219 -94.4803531045484</f>
        <v>-856.46258846350634</v>
      </c>
      <c r="W1081" t="s">
        <v>10979</v>
      </c>
      <c r="X1081" t="s">
        <v>10980</v>
      </c>
      <c r="Y1081" t="s">
        <v>10981</v>
      </c>
    </row>
    <row r="1082" spans="1:25" x14ac:dyDescent="0.3">
      <c r="A1082">
        <v>54050</v>
      </c>
      <c r="B1082" t="s">
        <v>10982</v>
      </c>
      <c r="C1082">
        <f>-655.915473921036 -40.8189858693049 -97.4358196254926</f>
        <v>-794.17027941583353</v>
      </c>
      <c r="D1082">
        <f>-673.655662658335 -50.910011236231 -211.45201230077</f>
        <v>-936.01768619533595</v>
      </c>
      <c r="E1082">
        <f>-681.048773667872 -57.4219020480646 -309.582488597881</f>
        <v>-1048.0531643138174</v>
      </c>
      <c r="F1082">
        <f>-685.149319859631 -62.7213946541806 -398.426937654794</f>
        <v>-1146.2976521686055</v>
      </c>
      <c r="G1082">
        <f>-686.303029980946 -67.4438573490277 -487.391008848372</f>
        <v>-1241.1378961783457</v>
      </c>
      <c r="H1082">
        <f>-684.81002084603 -73.5165446542178 -611.816469636</f>
        <v>-1370.1430351362478</v>
      </c>
      <c r="I1082">
        <f>-657.173971259768 -75.3664514912273 -690.16098258564</f>
        <v>-1422.7014053366352</v>
      </c>
      <c r="J1082">
        <f>-689.129137542275 -43.41317459019 -558.445849795254</f>
        <v>-1290.9881619277189</v>
      </c>
      <c r="K1082" t="s">
        <v>10983</v>
      </c>
      <c r="L1082" t="s">
        <v>10984</v>
      </c>
      <c r="M1082" t="s">
        <v>10985</v>
      </c>
      <c r="N1082">
        <f>-681.804939678559 -98.2754765660993 -555.68027538139</f>
        <v>-1335.7606916260484</v>
      </c>
      <c r="O1082">
        <f>-665.557136680062 -229.55220472029 -518.263170588083</f>
        <v>-1413.3725119884348</v>
      </c>
      <c r="P1082">
        <f>-639.873263358463 -267.163763312111 -227.545124508076</f>
        <v>-1134.5821511786498</v>
      </c>
      <c r="Q1082">
        <f>-479.320527679349 -89.1032984155909 -251.382352418723</f>
        <v>-819.80617851366299</v>
      </c>
      <c r="R1082" t="s">
        <v>10986</v>
      </c>
      <c r="S1082" t="s">
        <v>10987</v>
      </c>
      <c r="T1082" t="s">
        <v>10988</v>
      </c>
      <c r="U1082" t="s">
        <v>10989</v>
      </c>
      <c r="V1082">
        <f>-629.810496078474 -132.38044252653 -94.4789075323887</f>
        <v>-856.66984613739271</v>
      </c>
      <c r="W1082" t="s">
        <v>10990</v>
      </c>
      <c r="X1082" t="s">
        <v>10991</v>
      </c>
      <c r="Y1082" t="s">
        <v>10992</v>
      </c>
    </row>
    <row r="1083" spans="1:25" x14ac:dyDescent="0.3">
      <c r="A1083">
        <v>54100</v>
      </c>
      <c r="B1083" t="s">
        <v>10993</v>
      </c>
      <c r="C1083">
        <f>-656.117226913493 -40.9942080023686 -97.4614521173595</f>
        <v>-794.57288703322115</v>
      </c>
      <c r="D1083">
        <f>-673.907181858728 -51.1194510912062 -211.466823279611</f>
        <v>-936.49345622954525</v>
      </c>
      <c r="E1083">
        <f>-681.441009343907 -57.6475583899235 -309.585511112508</f>
        <v>-1048.6740788463385</v>
      </c>
      <c r="F1083">
        <f>-685.707565525172 -62.9561586546474 -398.421615588706</f>
        <v>-1147.0853397685255</v>
      </c>
      <c r="G1083">
        <f>-687.066316774461 -67.6811320503086 -487.382615004535</f>
        <v>-1242.1300638293046</v>
      </c>
      <c r="H1083">
        <f>-685.900131443137 -73.7493199149237 -611.811916063095</f>
        <v>-1371.4613674211557</v>
      </c>
      <c r="I1083">
        <f>-658.29216491294 -75.4969631891049 -690.168573961177</f>
        <v>-1423.9577020632219</v>
      </c>
      <c r="J1083">
        <f>-690.105103286531 -43.6513066346786 -558.429026042635</f>
        <v>-1292.1854359638446</v>
      </c>
      <c r="K1083" t="s">
        <v>10994</v>
      </c>
      <c r="L1083" t="s">
        <v>10995</v>
      </c>
      <c r="M1083" t="s">
        <v>10996</v>
      </c>
      <c r="N1083">
        <f>-682.721591191407 -98.5066552104283 -555.684509861403</f>
        <v>-1336.9127562632384</v>
      </c>
      <c r="O1083">
        <f>-666.280794045124 -229.783134867102 -518.350884596334</f>
        <v>-1414.4148135085602</v>
      </c>
      <c r="P1083">
        <f>-640.918130752313 -266.365066435033 -227.473375044587</f>
        <v>-1134.756572231933</v>
      </c>
      <c r="Q1083">
        <f>-479.226800920331 -89.3258066123656 -251.220749135581</f>
        <v>-819.77335666827753</v>
      </c>
      <c r="R1083" t="s">
        <v>10997</v>
      </c>
      <c r="S1083" t="s">
        <v>10998</v>
      </c>
      <c r="T1083" t="s">
        <v>10999</v>
      </c>
      <c r="U1083" t="s">
        <v>11000</v>
      </c>
      <c r="V1083">
        <f>-629.862250271894 -132.60202998781 -94.5000967931144</f>
        <v>-856.96437705281846</v>
      </c>
      <c r="W1083" t="s">
        <v>11001</v>
      </c>
      <c r="X1083" t="s">
        <v>11002</v>
      </c>
      <c r="Y1083" t="s">
        <v>11003</v>
      </c>
    </row>
    <row r="1084" spans="1:25" x14ac:dyDescent="0.3">
      <c r="A1084">
        <v>54150</v>
      </c>
      <c r="B1084" t="s">
        <v>11004</v>
      </c>
      <c r="C1084">
        <f>-656.2836442838 -41.0648376470501 -97.4777381823282</f>
        <v>-794.82622011317824</v>
      </c>
      <c r="D1084">
        <f>-674.117652328315 -51.1946567207201 -211.475837976864</f>
        <v>-936.78814702589909</v>
      </c>
      <c r="E1084">
        <f>-681.747246865552 -57.7253273396336 -309.586962735804</f>
        <v>-1049.0595369409896</v>
      </c>
      <c r="F1084">
        <f>-686.123291256069 -63.0355395001868 -398.417613717496</f>
        <v>-1147.576444473752</v>
      </c>
      <c r="G1084">
        <f>-687.614811861483 -67.7606165017419 -487.376537117913</f>
        <v>-1242.7519654811379</v>
      </c>
      <c r="H1084">
        <f>-686.658356222883 -73.8275453915071 -611.807704022264</f>
        <v>-1372.2936056366541</v>
      </c>
      <c r="I1084">
        <f>-659.095746572774 -75.5315853593177 -690.181313397148</f>
        <v>-1424.8086453292397</v>
      </c>
      <c r="J1084">
        <f>-690.78671807916 -43.7318641427878 -558.417292978478</f>
        <v>-1292.9358752004259</v>
      </c>
      <c r="K1084" t="s">
        <v>11005</v>
      </c>
      <c r="L1084" t="s">
        <v>11006</v>
      </c>
      <c r="M1084" t="s">
        <v>11007</v>
      </c>
      <c r="N1084">
        <f>-683.371858150927 -98.5837371206421 -555.686052950011</f>
        <v>-1337.64164822158</v>
      </c>
      <c r="O1084">
        <f>-666.799274728102 -229.864545992174 -518.420094597692</f>
        <v>-1415.0839153179679</v>
      </c>
      <c r="P1084">
        <f>-641.77371227426 -265.661259799168 -227.415697711334</f>
        <v>-1134.850669784762</v>
      </c>
      <c r="Q1084">
        <f>-478.861966122728 -89.7414330596177 -251.140756545859</f>
        <v>-819.74415572820476</v>
      </c>
      <c r="R1084" t="s">
        <v>11008</v>
      </c>
      <c r="S1084" t="s">
        <v>11009</v>
      </c>
      <c r="T1084" t="s">
        <v>11010</v>
      </c>
      <c r="U1084" t="s">
        <v>11011</v>
      </c>
      <c r="V1084">
        <f>-629.923372318412 -132.691759067063 -94.5182518856823</f>
        <v>-857.1333832711573</v>
      </c>
      <c r="W1084" t="s">
        <v>11012</v>
      </c>
      <c r="X1084" t="s">
        <v>11013</v>
      </c>
      <c r="Y1084" t="s">
        <v>11014</v>
      </c>
    </row>
    <row r="1085" spans="1:25" x14ac:dyDescent="0.3">
      <c r="A1085">
        <v>54200</v>
      </c>
      <c r="B1085" t="s">
        <v>11015</v>
      </c>
      <c r="C1085">
        <f>-656.715972363213 -41.2785873271882 -97.4974888860648</f>
        <v>-795.49204857646612</v>
      </c>
      <c r="D1085">
        <f>-674.607419972122 -51.4237027804991 -211.485266406089</f>
        <v>-937.51638915871013</v>
      </c>
      <c r="E1085">
        <f>-682.436972864699 -57.9717353454082 -309.579450150491</f>
        <v>-1049.9881583605982</v>
      </c>
      <c r="F1085">
        <f>-687.054466796122 -63.296844365256 -398.397024280785</f>
        <v>-1148.7483354421629</v>
      </c>
      <c r="G1085">
        <f>-688.848126737964 -68.0350848029907 -487.349711719156</f>
        <v>-1244.2329232601107</v>
      </c>
      <c r="H1085">
        <f>-688.37774340589 -74.1165640360837 -611.782843469038</f>
        <v>-1374.2771509110116</v>
      </c>
      <c r="I1085">
        <f>-660.914288323731 -75.7639057420004 -690.19249278874</f>
        <v>-1426.8706868544714</v>
      </c>
      <c r="J1085">
        <f>-692.314172212142 -44.0168794505614 -558.380420873721</f>
        <v>-1294.7114725364245</v>
      </c>
      <c r="K1085" t="s">
        <v>11016</v>
      </c>
      <c r="L1085" t="s">
        <v>11017</v>
      </c>
      <c r="M1085" t="s">
        <v>11018</v>
      </c>
      <c r="N1085">
        <f>-684.855228893483 -98.8638663777772 -555.671611304518</f>
        <v>-1339.390706575778</v>
      </c>
      <c r="O1085">
        <f>-668.16258325746 -230.167383411999 -518.553956359449</f>
        <v>-1416.8839230289082</v>
      </c>
      <c r="P1085">
        <f>-643.687243062251 -264.60984450022 -227.339435575942</f>
        <v>-1135.6365231384129</v>
      </c>
      <c r="Q1085">
        <f>-478.400978371282 -90.8650853904824 -250.665878451007</f>
        <v>-819.93194221277133</v>
      </c>
      <c r="R1085" t="s">
        <v>11019</v>
      </c>
      <c r="S1085" t="s">
        <v>11020</v>
      </c>
      <c r="T1085" t="s">
        <v>11021</v>
      </c>
      <c r="U1085" t="s">
        <v>11022</v>
      </c>
      <c r="V1085">
        <f>-630.261667849962 -132.953757218993 -94.5386442942232</f>
        <v>-857.75406936317825</v>
      </c>
      <c r="W1085" t="s">
        <v>11023</v>
      </c>
      <c r="X1085" t="s">
        <v>11024</v>
      </c>
      <c r="Y1085" t="s">
        <v>11025</v>
      </c>
    </row>
    <row r="1086" spans="1:25" x14ac:dyDescent="0.3">
      <c r="A1086">
        <v>54250</v>
      </c>
      <c r="B1086" t="s">
        <v>11026</v>
      </c>
      <c r="C1086">
        <f>-657.014492219542 -41.2941515697571 -97.489488071262</f>
        <v>-795.79813186056117</v>
      </c>
      <c r="D1086">
        <f>-674.936505724168 -51.4458610020959 -211.471760228961</f>
        <v>-937.85412695522484</v>
      </c>
      <c r="E1086">
        <f>-682.867411843848 -57.993553454028 -309.558012221491</f>
        <v>-1050.418977519367</v>
      </c>
      <c r="F1086">
        <f>-687.606812512395 -63.3147057099927 -398.369223960601</f>
        <v>-1149.2907421829887</v>
      </c>
      <c r="G1086">
        <f>-689.552449334498 -68.0441082363654 -487.31926032605</f>
        <v>-1244.9158178969135</v>
      </c>
      <c r="H1086">
        <f>-689.32593965631 -74.1076347836713 -611.753961102017</f>
        <v>-1375.1875355419984</v>
      </c>
      <c r="I1086">
        <f>-661.914936441861 -75.7140370444311 -690.182814755669</f>
        <v>-1427.811788241961</v>
      </c>
      <c r="J1086">
        <f>-693.162906757183 -44.0163803579555 -558.339535501628</f>
        <v>-1295.5188226167666</v>
      </c>
      <c r="K1086" t="s">
        <v>11027</v>
      </c>
      <c r="L1086" t="s">
        <v>11028</v>
      </c>
      <c r="M1086" t="s">
        <v>11029</v>
      </c>
      <c r="N1086">
        <f>-685.688257030909 -98.8622616682444 -555.65329435241</f>
        <v>-1340.2038130515634</v>
      </c>
      <c r="O1086">
        <f>-668.968789567274 -230.186896058823 -518.5888433679</f>
        <v>-1417.7445289939969</v>
      </c>
      <c r="P1086">
        <f>-644.567718720522 -264.122384684289 -227.308717970647</f>
        <v>-1135.998821375458</v>
      </c>
      <c r="Q1086">
        <f>-478.479100169829 -91.1669654001391 -250.800441616687</f>
        <v>-820.44650718665503</v>
      </c>
      <c r="R1086" t="s">
        <v>11030</v>
      </c>
      <c r="S1086" t="s">
        <v>11031</v>
      </c>
      <c r="T1086" t="s">
        <v>11032</v>
      </c>
      <c r="U1086" t="s">
        <v>11033</v>
      </c>
      <c r="V1086">
        <f>-630.561841088239 -132.970731496973 -94.5431359434511</f>
        <v>-858.0757085286632</v>
      </c>
      <c r="W1086" t="s">
        <v>11034</v>
      </c>
      <c r="X1086" t="s">
        <v>11035</v>
      </c>
      <c r="Y1086" t="s">
        <v>11036</v>
      </c>
    </row>
    <row r="1087" spans="1:25" x14ac:dyDescent="0.3">
      <c r="A1087">
        <v>54300</v>
      </c>
      <c r="B1087" t="s">
        <v>11037</v>
      </c>
      <c r="C1087">
        <f>-657.584311161798 -41.3833796890888 -97.4783341430074</f>
        <v>-796.44602499389418</v>
      </c>
      <c r="D1087">
        <f>-675.539499867649 -51.5246413010443 -211.456342149397</f>
        <v>-938.52048331809033</v>
      </c>
      <c r="E1087">
        <f>-683.614543229289 -58.028146576308 -309.533626908278</f>
        <v>-1051.1763167138749</v>
      </c>
      <c r="F1087">
        <f>-688.530508981143 -63.292240774228 -398.338840127101</f>
        <v>-1150.1615898824721</v>
      </c>
      <c r="G1087">
        <f>-690.69888865703 -67.9451045486194 -487.28760466882</f>
        <v>-1245.9315978744694</v>
      </c>
      <c r="H1087">
        <f>-690.831574892217 -73.8794449343075 -611.728669337729</f>
        <v>-1376.4396891642534</v>
      </c>
      <c r="I1087">
        <f>-663.497876364354 -75.3378953266981 -690.187390540205</f>
        <v>-1429.0231622312572</v>
      </c>
      <c r="J1087">
        <f>-694.533735042438 -43.84633605159 -558.27208337431</f>
        <v>-1296.652154468338</v>
      </c>
      <c r="K1087" t="s">
        <v>11038</v>
      </c>
      <c r="L1087" t="s">
        <v>11039</v>
      </c>
      <c r="M1087" t="s">
        <v>11040</v>
      </c>
      <c r="N1087">
        <f>-687.012524072417 -98.6896447884601 -555.664628303883</f>
        <v>-1341.3667971647601</v>
      </c>
      <c r="O1087">
        <f>-670.227434969453 -230.035273662712 -518.729148366946</f>
        <v>-1418.991856999111</v>
      </c>
      <c r="P1087">
        <f>-645.920535897496 -263.284333333191 -227.361934526048</f>
        <v>-1136.5668037567352</v>
      </c>
      <c r="Q1087">
        <f>-478.753829777182 -91.4927738124509 -251.730158706037</f>
        <v>-821.97676229566991</v>
      </c>
      <c r="R1087" t="s">
        <v>11041</v>
      </c>
      <c r="S1087" t="s">
        <v>11042</v>
      </c>
      <c r="T1087" t="s">
        <v>11043</v>
      </c>
      <c r="U1087" t="s">
        <v>11044</v>
      </c>
      <c r="V1087">
        <f>-631.165336936953 -133.118180193288 -94.5405024532932</f>
        <v>-858.82401958353432</v>
      </c>
      <c r="W1087" t="s">
        <v>11045</v>
      </c>
      <c r="X1087" t="s">
        <v>11046</v>
      </c>
      <c r="Y1087" t="s">
        <v>11047</v>
      </c>
    </row>
    <row r="1088" spans="1:25" x14ac:dyDescent="0.3">
      <c r="A1088">
        <v>54350</v>
      </c>
      <c r="B1088" t="s">
        <v>11048</v>
      </c>
      <c r="C1088">
        <f>-657.762413541013 -41.302678805188 -97.483855383644</f>
        <v>-796.54894772984494</v>
      </c>
      <c r="D1088">
        <f>-675.73117177164 -51.4465610861378 -211.459492543496</f>
        <v>-938.63722540127378</v>
      </c>
      <c r="E1088">
        <f>-683.843850810323 -57.91962271337 -309.535716690494</f>
        <v>-1051.2991902141871</v>
      </c>
      <c r="F1088">
        <f>-688.804100996816 -63.1422048088996 -398.341006809184</f>
        <v>-1150.2873126148997</v>
      </c>
      <c r="G1088">
        <f>-691.026156315456 -67.7391540276403 -487.291337868244</f>
        <v>-1246.0566482113404</v>
      </c>
      <c r="H1088">
        <f>-691.2437630571 -73.5797847257577 -611.73673229187</f>
        <v>-1376.5602800747276</v>
      </c>
      <c r="I1088">
        <f>-663.912253144734 -74.9367089404357 -690.197977677881</f>
        <v>-1429.0469397630507</v>
      </c>
      <c r="J1088">
        <f>-694.918129180391 -43.5881613011541 -558.25493545035</f>
        <v>-1296.7612259318951</v>
      </c>
      <c r="K1088" t="s">
        <v>11049</v>
      </c>
      <c r="L1088" t="s">
        <v>11050</v>
      </c>
      <c r="M1088" t="s">
        <v>11051</v>
      </c>
      <c r="N1088">
        <f>-687.37776995347 -98.4311328534025 -555.693975633521</f>
        <v>-1341.5028784403935</v>
      </c>
      <c r="O1088">
        <f>-670.567182023922 -229.799254945431 -518.848152006917</f>
        <v>-1419.2145889762701</v>
      </c>
      <c r="P1088">
        <f>-646.418192042916 -262.810901458963 -227.440774246279</f>
        <v>-1136.6698677481579</v>
      </c>
      <c r="Q1088">
        <f>-478.977987592242 -91.3478034730317 -252.241347431649</f>
        <v>-822.56713849692278</v>
      </c>
      <c r="R1088" t="s">
        <v>11052</v>
      </c>
      <c r="S1088" t="s">
        <v>11053</v>
      </c>
      <c r="T1088" t="s">
        <v>11054</v>
      </c>
      <c r="U1088" t="s">
        <v>11055</v>
      </c>
      <c r="V1088">
        <f>-631.304774064413 -132.975013774264 -94.5521374759574</f>
        <v>-858.8319253146343</v>
      </c>
      <c r="W1088" t="s">
        <v>11056</v>
      </c>
      <c r="X1088" t="s">
        <v>11057</v>
      </c>
      <c r="Y1088" t="s">
        <v>11058</v>
      </c>
    </row>
    <row r="1089" spans="1:25" x14ac:dyDescent="0.3">
      <c r="A1089">
        <v>54400</v>
      </c>
      <c r="B1089" t="s">
        <v>11059</v>
      </c>
      <c r="C1089">
        <f>-658.129819970184 -41.1637702126266 -97.501227121683</f>
        <v>-796.79481730449356</v>
      </c>
      <c r="D1089">
        <f>-676.122373402378 -51.3448301154137 -211.469810349993</f>
        <v>-938.9370138677848</v>
      </c>
      <c r="E1089">
        <f>-684.265023919648 -57.7756126966092 -309.54626370634</f>
        <v>-1051.5869003225971</v>
      </c>
      <c r="F1089">
        <f>-689.254345490682 -62.9306562405125 -398.353775118915</f>
        <v>-1150.5387768501096</v>
      </c>
      <c r="G1089">
        <f>-691.506977872599 -67.4306421748147 -487.308459356277</f>
        <v>-1246.2460794036906</v>
      </c>
      <c r="H1089">
        <f>-691.767768095048 -73.1051354601589 -611.761287869215</f>
        <v>-1376.6341914244219</v>
      </c>
      <c r="I1089">
        <f>-664.406939489905 -74.2683168926278 -690.215580571346</f>
        <v>-1428.8908369538788</v>
      </c>
      <c r="J1089">
        <f>-695.424476727748 -43.185071251504 -558.23816350454</f>
        <v>-1296.847711483792</v>
      </c>
      <c r="K1089" t="s">
        <v>11060</v>
      </c>
      <c r="L1089" t="s">
        <v>11061</v>
      </c>
      <c r="M1089" t="s">
        <v>11062</v>
      </c>
      <c r="N1089">
        <f>-687.881500464168 -98.0311645871425 -555.753215604703</f>
        <v>-1341.6658806560135</v>
      </c>
      <c r="O1089">
        <f>-671.087393866887 -229.446651699797 -519.089420257868</f>
        <v>-1419.6234658245521</v>
      </c>
      <c r="P1089">
        <f>-647.279805409138 -262.412142602393 -227.648636327415</f>
        <v>-1137.340584338946</v>
      </c>
      <c r="Q1089">
        <f>-479.385382358859 -91.5351411754532 -253.405618883736</f>
        <v>-824.32614241804822</v>
      </c>
      <c r="R1089" t="s">
        <v>11063</v>
      </c>
      <c r="S1089" t="s">
        <v>11064</v>
      </c>
      <c r="T1089" t="s">
        <v>11065</v>
      </c>
      <c r="U1089" t="s">
        <v>11066</v>
      </c>
      <c r="V1089">
        <f>-631.701513280204 -132.811221399506 -94.5486874681906</f>
        <v>-859.06142214790066</v>
      </c>
      <c r="W1089" t="s">
        <v>11067</v>
      </c>
      <c r="X1089" t="s">
        <v>11068</v>
      </c>
      <c r="Y1089" t="s">
        <v>11069</v>
      </c>
    </row>
    <row r="1090" spans="1:25" x14ac:dyDescent="0.3">
      <c r="A1090">
        <v>54450</v>
      </c>
      <c r="B1090" t="s">
        <v>11070</v>
      </c>
      <c r="C1090">
        <f>-658.375665175135 -41.2140403968067 -97.5093090143172</f>
        <v>-797.09901458625893</v>
      </c>
      <c r="D1090">
        <f>-676.401759497712 -51.4220742747373 -211.47013596029</f>
        <v>-939.29396973273924</v>
      </c>
      <c r="E1090">
        <f>-684.573201987949 -57.8543125413623 -309.544081543312</f>
        <v>-1051.9715960726235</v>
      </c>
      <c r="F1090">
        <f>-689.587615459335 -63.0028808514455 -398.350629895102</f>
        <v>-1150.9411262058825</v>
      </c>
      <c r="G1090">
        <f>-691.86430161403 -67.4895228689315 -487.305165931933</f>
        <v>-1246.6589904148946</v>
      </c>
      <c r="H1090">
        <f>-692.157384556117 -73.138226321835 -611.759328361281</f>
        <v>-1377.0549392392329</v>
      </c>
      <c r="I1090">
        <f>-664.761119640989 -74.2316218691044 -690.202145546638</f>
        <v>-1429.1948870567314</v>
      </c>
      <c r="J1090">
        <f>-695.777592914127 -43.2260526180621 -558.229222825579</f>
        <v>-1297.232868357768</v>
      </c>
      <c r="K1090" t="s">
        <v>11071</v>
      </c>
      <c r="L1090" t="s">
        <v>11072</v>
      </c>
      <c r="M1090" t="s">
        <v>11073</v>
      </c>
      <c r="N1090">
        <f>-688.279414358862 -98.0788068321608 -555.757208715071</f>
        <v>-1342.1154299060938</v>
      </c>
      <c r="O1090">
        <f>-671.584255892767 -229.528792835102 -519.159734391024</f>
        <v>-1420.2727831188931</v>
      </c>
      <c r="P1090">
        <f>-647.788368121192 -262.683056884821 -227.739469102734</f>
        <v>-1138.210894108747</v>
      </c>
      <c r="Q1090">
        <f>-480.000376113451 -91.734709356994 -253.715377945662</f>
        <v>-825.45046341610703</v>
      </c>
      <c r="R1090" t="s">
        <v>11074</v>
      </c>
      <c r="S1090" t="s">
        <v>11075</v>
      </c>
      <c r="T1090" t="s">
        <v>11076</v>
      </c>
      <c r="U1090" t="s">
        <v>11077</v>
      </c>
      <c r="V1090">
        <f>-631.945544546893 -132.98803886073 -94.5330337396109</f>
        <v>-859.46661714723393</v>
      </c>
      <c r="W1090" t="s">
        <v>11078</v>
      </c>
      <c r="X1090" t="s">
        <v>11079</v>
      </c>
      <c r="Y1090" t="s">
        <v>11080</v>
      </c>
    </row>
    <row r="1091" spans="1:25" x14ac:dyDescent="0.3">
      <c r="A1091">
        <v>54500</v>
      </c>
      <c r="B1091" t="s">
        <v>11081</v>
      </c>
      <c r="C1091">
        <f>-658.567270518778 -41.3758098340402 -97.5177249603993</f>
        <v>-797.46080531321741</v>
      </c>
      <c r="D1091">
        <f>-676.690423417589 -51.6258436897383 -211.459473387856</f>
        <v>-939.7757404951833</v>
      </c>
      <c r="E1091">
        <f>-684.959624613724 -58.0562562771215 -309.525282542963</f>
        <v>-1052.5411634338086</v>
      </c>
      <c r="F1091">
        <f>-690.067615402168 -63.1884256592321 -398.327373050224</f>
        <v>-1151.5834141116241</v>
      </c>
      <c r="G1091">
        <f>-692.44193695168 -67.6454747269709 -487.281052610863</f>
        <v>-1247.3684642895139</v>
      </c>
      <c r="H1091">
        <f>-692.875148434374 -73.2396522101149 -611.737147852949</f>
        <v>-1377.8519484974377</v>
      </c>
      <c r="I1091">
        <f>-665.451351924217 -74.2409528071973 -690.171568091352</f>
        <v>-1429.8638728227663</v>
      </c>
      <c r="J1091">
        <f>-696.366382496086 -43.3416940251263 -558.190553350905</f>
        <v>-1297.8986298721175</v>
      </c>
      <c r="K1091" t="s">
        <v>11082</v>
      </c>
      <c r="L1091" t="s">
        <v>11083</v>
      </c>
      <c r="M1091" t="s">
        <v>11084</v>
      </c>
      <c r="N1091">
        <f>-689.002563419637 -98.2141002594287 -555.749774623254</f>
        <v>-1342.9664383023196</v>
      </c>
      <c r="O1091">
        <f>-672.564414791614 -229.724038031743 -519.239601110389</f>
        <v>-1421.5280539337459</v>
      </c>
      <c r="P1091">
        <f>-648.671410931422 -263.173595517677 -227.861094106943</f>
        <v>-1139.706100556042</v>
      </c>
      <c r="Q1091">
        <f>-480.994719517849 -92.0997191689314 -253.728536665626</f>
        <v>-826.82297535240627</v>
      </c>
      <c r="R1091" t="s">
        <v>11085</v>
      </c>
      <c r="S1091" t="s">
        <v>11086</v>
      </c>
      <c r="T1091" t="s">
        <v>11087</v>
      </c>
      <c r="U1091" t="s">
        <v>11088</v>
      </c>
      <c r="V1091">
        <f>-632.087016261896 -133.187959795333 -94.5494177145446</f>
        <v>-859.82439377177354</v>
      </c>
      <c r="W1091" t="s">
        <v>11089</v>
      </c>
      <c r="X1091" t="s">
        <v>11090</v>
      </c>
      <c r="Y1091" t="s">
        <v>11091</v>
      </c>
    </row>
    <row r="1092" spans="1:25" x14ac:dyDescent="0.3">
      <c r="A1092">
        <v>54550</v>
      </c>
      <c r="B1092" t="s">
        <v>11092</v>
      </c>
      <c r="C1092">
        <f>-658.696736618014 -41.3281740805189 -97.5478416252917</f>
        <v>-797.5727523238246</v>
      </c>
      <c r="D1092">
        <f>-676.876434949965 -51.5831868754503 -211.480161798681</f>
        <v>-939.93978362409632</v>
      </c>
      <c r="E1092">
        <f>-685.185080806717 -58.0039180622409 -309.543362829989</f>
        <v>-1052.732361698947</v>
      </c>
      <c r="F1092">
        <f>-690.324714693445 -63.1215891765924 -398.344457221327</f>
        <v>-1151.7907610913644</v>
      </c>
      <c r="G1092">
        <f>-692.726652311339 -67.5591755399591 -487.298257841419</f>
        <v>-1247.5840856927171</v>
      </c>
      <c r="H1092">
        <f>-693.193852923996 -73.1212587906266 -611.755781627446</f>
        <v>-1378.0708933420688</v>
      </c>
      <c r="I1092">
        <f>-665.767598715516 -74.0912469396519 -690.189585975967</f>
        <v>-1430.0484316311349</v>
      </c>
      <c r="J1092">
        <f>-696.630565214602 -43.2318596317061 -558.200864451525</f>
        <v>-1298.0632892978333</v>
      </c>
      <c r="K1092" t="s">
        <v>11093</v>
      </c>
      <c r="L1092" t="s">
        <v>11094</v>
      </c>
      <c r="M1092" t="s">
        <v>11095</v>
      </c>
      <c r="N1092">
        <f>-689.346088081177 -98.1154993010437 -555.775366260562</f>
        <v>-1343.2369536427827</v>
      </c>
      <c r="O1092">
        <f>-673.102686541251 -229.656032223854 -519.277067710706</f>
        <v>-1422.0357864758112</v>
      </c>
      <c r="P1092">
        <f>-649.140174529018 -263.236743163506 -227.919291633199</f>
        <v>-1140.2962093257231</v>
      </c>
      <c r="Q1092">
        <f>-481.364851847156 -92.2845231682679 -253.951544371693</f>
        <v>-827.60091938711685</v>
      </c>
      <c r="R1092" t="s">
        <v>11096</v>
      </c>
      <c r="S1092" t="s">
        <v>11097</v>
      </c>
      <c r="T1092" t="s">
        <v>11098</v>
      </c>
      <c r="U1092" t="s">
        <v>11099</v>
      </c>
      <c r="V1092">
        <f>-632.318998840098 -133.130936351738 -94.563841076651</f>
        <v>-860.01377626848694</v>
      </c>
      <c r="W1092" t="s">
        <v>11100</v>
      </c>
      <c r="X1092" t="s">
        <v>11101</v>
      </c>
      <c r="Y1092" t="s">
        <v>11102</v>
      </c>
    </row>
    <row r="1093" spans="1:25" x14ac:dyDescent="0.3">
      <c r="A1093">
        <v>54600</v>
      </c>
      <c r="B1093" t="s">
        <v>11103</v>
      </c>
      <c r="C1093">
        <f>-659.06412407765 -41.1298368832427 -97.5422285777614</f>
        <v>-797.73618953865412</v>
      </c>
      <c r="D1093">
        <f>-677.313958023347 -51.2904633319442 -211.471775322975</f>
        <v>-940.07619667826623</v>
      </c>
      <c r="E1093">
        <f>-685.657033948584 -57.639787588382 -309.536616113489</f>
        <v>-1052.8334376504549</v>
      </c>
      <c r="F1093">
        <f>-690.81847012841 -62.6944591521008 -398.340074991762</f>
        <v>-1151.8530042722728</v>
      </c>
      <c r="G1093">
        <f>-693.232358350649 -67.0710292657027 -487.296658105627</f>
        <v>-1247.6000457219786</v>
      </c>
      <c r="H1093">
        <f>-693.706254931282 -72.5503069092586 -611.757679921746</f>
        <v>-1378.0142417622865</v>
      </c>
      <c r="I1093">
        <f>-666.302218877725 -73.4812346849833 -690.199969781556</f>
        <v>-1429.9834233442643</v>
      </c>
      <c r="J1093">
        <f>-697.055843641777 -42.6855712574334 -558.18357890397</f>
        <v>-1297.9249938031803</v>
      </c>
      <c r="K1093" t="s">
        <v>11104</v>
      </c>
      <c r="L1093" t="s">
        <v>11105</v>
      </c>
      <c r="M1093" t="s">
        <v>11106</v>
      </c>
      <c r="N1093">
        <f>-689.939528388953 -97.5928225449318 -555.793414264604</f>
        <v>-1343.3257651984889</v>
      </c>
      <c r="O1093">
        <f>-674.049100932351 -229.183291815372 -519.329457882955</f>
        <v>-1422.561850630678</v>
      </c>
      <c r="P1093">
        <f>-650.094492206336 -262.882620711226 -227.984637831958</f>
        <v>-1140.96175074952</v>
      </c>
      <c r="Q1093">
        <f>-482.105105214149 -92.158531251604 -254.1335294467</f>
        <v>-828.39716591245292</v>
      </c>
      <c r="R1093" t="s">
        <v>11107</v>
      </c>
      <c r="S1093" t="s">
        <v>11108</v>
      </c>
      <c r="T1093" t="s">
        <v>11109</v>
      </c>
      <c r="U1093" t="s">
        <v>11110</v>
      </c>
      <c r="V1093">
        <f>-633.060568351101 -133.034476131534 -94.5466981169021</f>
        <v>-860.64174259953711</v>
      </c>
      <c r="W1093" t="s">
        <v>11111</v>
      </c>
      <c r="X1093" t="s">
        <v>11112</v>
      </c>
      <c r="Y1093" t="s">
        <v>11113</v>
      </c>
    </row>
    <row r="1094" spans="1:25" x14ac:dyDescent="0.3">
      <c r="A1094">
        <v>54650</v>
      </c>
      <c r="B1094" t="s">
        <v>11114</v>
      </c>
      <c r="C1094">
        <f>-659.274938768635 -41.011101239528 -97.5208386983012</f>
        <v>-797.8068787064642</v>
      </c>
      <c r="D1094">
        <f>-677.557775022332 -51.1222338685145 -211.449279793388</f>
        <v>-940.12928868423444</v>
      </c>
      <c r="E1094">
        <f>-685.922862207926 -57.43414366713 -309.514875731158</f>
        <v>-1052.8718816062139</v>
      </c>
      <c r="F1094">
        <f>-691.102256950096 -62.4550004731891 -398.319143491379</f>
        <v>-1151.8764009146641</v>
      </c>
      <c r="G1094">
        <f>-693.532210960241 -66.7983258804948 -487.276954252691</f>
        <v>-1247.6074910934267</v>
      </c>
      <c r="H1094">
        <f>-694.026594532819 -72.2308042731413 -611.739991030563</f>
        <v>-1377.9973898365233</v>
      </c>
      <c r="I1094">
        <f>-666.645621363214 -73.1285992314258 -690.190714361176</f>
        <v>-1429.9649349558158</v>
      </c>
      <c r="J1094">
        <f>-697.332961894688 -42.3817505879376 -558.154432783094</f>
        <v>-1297.8691452657195</v>
      </c>
      <c r="K1094" t="s">
        <v>11115</v>
      </c>
      <c r="L1094" t="s">
        <v>11116</v>
      </c>
      <c r="M1094" t="s">
        <v>11117</v>
      </c>
      <c r="N1094">
        <f>-690.284975193049 -97.2986842817088 -555.785469531822</f>
        <v>-1343.3691290065799</v>
      </c>
      <c r="O1094">
        <f>-674.557802921804 -228.90558992282 -519.341554129147</f>
        <v>-1422.8049469737709</v>
      </c>
      <c r="P1094">
        <f>-650.64314173132 -262.755825816167 -228.01108104368</f>
        <v>-1141.410048591167</v>
      </c>
      <c r="Q1094">
        <f>-482.53091108485 -92.1568699459224 -254.186379651995</f>
        <v>-828.87416068276741</v>
      </c>
      <c r="R1094" t="s">
        <v>11118</v>
      </c>
      <c r="S1094" t="s">
        <v>11119</v>
      </c>
      <c r="T1094" t="s">
        <v>11120</v>
      </c>
      <c r="U1094" t="s">
        <v>11121</v>
      </c>
      <c r="V1094">
        <f>-633.354248620365 -132.988825547023 -94.5618646822516</f>
        <v>-860.90493884963951</v>
      </c>
      <c r="W1094" t="s">
        <v>11122</v>
      </c>
      <c r="X1094" t="s">
        <v>11123</v>
      </c>
      <c r="Y1094" t="s">
        <v>11124</v>
      </c>
    </row>
    <row r="1095" spans="1:25" x14ac:dyDescent="0.3">
      <c r="A1095">
        <v>54700</v>
      </c>
      <c r="B1095" t="s">
        <v>11125</v>
      </c>
      <c r="C1095">
        <f>-659.947293033666 -40.9770961423055 -97.4870566271894</f>
        <v>-798.41144580316097</v>
      </c>
      <c r="D1095">
        <f>-678.293017373428 -51.0046394310946 -211.412897233684</f>
        <v>-940.71055403820662</v>
      </c>
      <c r="E1095">
        <f>-686.719081563762 -57.219015031101 -309.479476595679</f>
        <v>-1053.417573190542</v>
      </c>
      <c r="F1095">
        <f>-691.956006322313 -62.1394062452475 -398.286019418655</f>
        <v>-1152.3814319862154</v>
      </c>
      <c r="G1095">
        <f>-694.445865656373 -66.370159039257 -487.247417433125</f>
        <v>-1248.063442128755</v>
      </c>
      <c r="H1095">
        <f>-695.026113637391 -71.632571921409 -611.717592446835</f>
        <v>-1378.376278005635</v>
      </c>
      <c r="I1095">
        <f>-667.701424011962 -72.4068542331704 -690.189035473698</f>
        <v>-1430.2973137188305</v>
      </c>
      <c r="J1095">
        <f>-698.255253326109 -41.8515734971534 -558.089330491757</f>
        <v>-1298.1961573150193</v>
      </c>
      <c r="K1095" t="s">
        <v>11126</v>
      </c>
      <c r="L1095" t="s">
        <v>11127</v>
      </c>
      <c r="M1095" t="s">
        <v>11128</v>
      </c>
      <c r="N1095">
        <f>-691.286349282339 -96.7821632245352 -555.799498442391</f>
        <v>-1343.8680109492652</v>
      </c>
      <c r="O1095">
        <f>-675.74020133877 -228.437801514313 -519.440192523217</f>
        <v>-1423.6181953763</v>
      </c>
      <c r="P1095">
        <f>-652.044799928465 -262.295974769618 -228.092822783099</f>
        <v>-1142.433597481182</v>
      </c>
      <c r="Q1095">
        <f>-483.748592983956 -91.8534207779767 -254.104321125976</f>
        <v>-829.70633488790872</v>
      </c>
      <c r="R1095" t="s">
        <v>11129</v>
      </c>
      <c r="S1095" t="s">
        <v>11130</v>
      </c>
      <c r="T1095" t="s">
        <v>11131</v>
      </c>
      <c r="U1095" t="s">
        <v>11132</v>
      </c>
      <c r="V1095">
        <f>-634.089714146213 -133.055437819464 -94.5697277144267</f>
        <v>-861.71487968010376</v>
      </c>
      <c r="W1095" t="s">
        <v>11133</v>
      </c>
      <c r="X1095" t="s">
        <v>11134</v>
      </c>
      <c r="Y1095" t="s">
        <v>11135</v>
      </c>
    </row>
    <row r="1096" spans="1:25" x14ac:dyDescent="0.3">
      <c r="A1096">
        <v>54750</v>
      </c>
      <c r="B1096" t="s">
        <v>11136</v>
      </c>
      <c r="C1096">
        <f>-660.325873541294 -41.0053281954843 -97.4779650346343</f>
        <v>-798.80916677141249</v>
      </c>
      <c r="D1096">
        <f>-678.694613432345 -51.0085450095573 -211.402190200299</f>
        <v>-941.10534864220131</v>
      </c>
      <c r="E1096">
        <f>-687.135266173523 -57.1811141986013 -309.470135657011</f>
        <v>-1053.7865160291353</v>
      </c>
      <c r="F1096">
        <f>-692.382840926496 -62.0558123868423 -398.278521440795</f>
        <v>-1152.7171747541333</v>
      </c>
      <c r="G1096">
        <f>-694.880603625762 -66.2329433649045 -487.242418492846</f>
        <v>-1248.3559654835126</v>
      </c>
      <c r="H1096">
        <f>-695.468582720935 -71.4119482903507 -611.715825708438</f>
        <v>-1378.5963567197236</v>
      </c>
      <c r="I1096">
        <f>-668.146450318253 -72.1188860083053 -690.188945590893</f>
        <v>-1430.4542819174512</v>
      </c>
      <c r="J1096">
        <f>-698.699309159422 -41.6675423236095 -558.067554744959</f>
        <v>-1298.4344062279906</v>
      </c>
      <c r="K1096" t="s">
        <v>11137</v>
      </c>
      <c r="L1096" t="s">
        <v>11138</v>
      </c>
      <c r="M1096" t="s">
        <v>11139</v>
      </c>
      <c r="N1096">
        <f>-691.72020817902 -96.5982329886556 -555.814975247732</f>
        <v>-1344.1334164154077</v>
      </c>
      <c r="O1096">
        <f>-676.141015534427 -228.265480898366 -519.528383097365</f>
        <v>-1423.934879530158</v>
      </c>
      <c r="P1096">
        <f>-652.568467620691 -262.26773736739 -228.187742720195</f>
        <v>-1143.023947708276</v>
      </c>
      <c r="Q1096">
        <f>-484.351381018056 -91.7190469675368 -254.014573876071</f>
        <v>-830.08500186166384</v>
      </c>
      <c r="R1096" t="s">
        <v>11140</v>
      </c>
      <c r="S1096" t="s">
        <v>11141</v>
      </c>
      <c r="T1096" t="s">
        <v>11142</v>
      </c>
      <c r="U1096" t="s">
        <v>11143</v>
      </c>
      <c r="V1096">
        <f>-634.434573749552 -133.073106698303 -94.5796663711601</f>
        <v>-862.08734681901512</v>
      </c>
      <c r="W1096" t="s">
        <v>11144</v>
      </c>
      <c r="X1096" t="s">
        <v>11145</v>
      </c>
      <c r="Y1096" t="s">
        <v>11146</v>
      </c>
    </row>
    <row r="1097" spans="1:25" x14ac:dyDescent="0.3">
      <c r="A1097">
        <v>54800</v>
      </c>
      <c r="B1097" t="s">
        <v>11147</v>
      </c>
      <c r="C1097">
        <f>-661.121278690071 -41.4160975109119 -97.4822963209848</f>
        <v>-800.01967252196766</v>
      </c>
      <c r="D1097">
        <f>-679.498897251502 -51.4376087183864 -211.40356537652</f>
        <v>-942.34007134640831</v>
      </c>
      <c r="E1097">
        <f>-687.906951128806 -57.5517733871654 -309.477863317506</f>
        <v>-1054.9365878334775</v>
      </c>
      <c r="F1097">
        <f>-693.10712267535 -62.3465030776269 -398.293400947958</f>
        <v>-1153.7470267009348</v>
      </c>
      <c r="G1097">
        <f>-695.538407586002 -66.4167256668904 -487.263941304674</f>
        <v>-1249.2190745575665</v>
      </c>
      <c r="H1097">
        <f>-696.013172039759 -71.4185604513953 -611.745140910001</f>
        <v>-1379.1768734011553</v>
      </c>
      <c r="I1097">
        <f>-668.579334905923 -71.9304683807441 -690.180862843305</f>
        <v>-1430.6906661299722</v>
      </c>
      <c r="J1097">
        <f>-699.353390271925 -41.7582635765864 -558.057024381052</f>
        <v>-1299.1686782295633</v>
      </c>
      <c r="K1097" t="s">
        <v>11148</v>
      </c>
      <c r="L1097" t="s">
        <v>11149</v>
      </c>
      <c r="M1097" t="s">
        <v>11150</v>
      </c>
      <c r="N1097">
        <f>-692.255108548002 -96.6766984665442 -555.877329994032</f>
        <v>-1344.8091370085781</v>
      </c>
      <c r="O1097">
        <f>-676.370133697516 -228.371177330331 -519.808588015805</f>
        <v>-1424.549899043652</v>
      </c>
      <c r="P1097">
        <f>-652.924809025434 -262.660648214096 -228.49131223579</f>
        <v>-1144.0767694753199</v>
      </c>
      <c r="Q1097">
        <f>-485.140325086941 -91.6336990236209 -253.968074586438</f>
        <v>-830.74209869699985</v>
      </c>
      <c r="R1097" t="s">
        <v>11151</v>
      </c>
      <c r="S1097" t="s">
        <v>11152</v>
      </c>
      <c r="T1097" t="s">
        <v>11153</v>
      </c>
      <c r="U1097" t="s">
        <v>11154</v>
      </c>
      <c r="V1097">
        <f>-635.022703366669 -133.598800054998 -94.6090834449433</f>
        <v>-863.23058686661034</v>
      </c>
      <c r="W1097" t="s">
        <v>11155</v>
      </c>
      <c r="X1097" t="s">
        <v>11156</v>
      </c>
      <c r="Y1097" t="s">
        <v>11157</v>
      </c>
    </row>
    <row r="1098" spans="1:25" x14ac:dyDescent="0.3">
      <c r="A1098">
        <v>54850</v>
      </c>
      <c r="B1098" t="s">
        <v>11158</v>
      </c>
      <c r="C1098">
        <f>-661.453889341846 -41.6974145109816 -97.4752304497434</f>
        <v>-800.62653430257103</v>
      </c>
      <c r="D1098">
        <f>-679.81495083861 -51.7381650768405 -211.397402552512</f>
        <v>-942.95051846796241</v>
      </c>
      <c r="E1098">
        <f>-688.174984754264 -57.8272476814229 -309.477533992166</f>
        <v>-1055.4797664278528</v>
      </c>
      <c r="F1098">
        <f>-693.316802413392 -62.58466957681 -398.29858722207</f>
        <v>-1154.200059212272</v>
      </c>
      <c r="G1098">
        <f>-695.674880341935 -66.602229273037 -487.273459954318</f>
        <v>-1249.55056956929</v>
      </c>
      <c r="H1098">
        <f>-696.031015075076 -71.5152046907572 -611.758530406265</f>
        <v>-1379.304750172098</v>
      </c>
      <c r="I1098">
        <f>-668.518599074338 -71.8975342544213 -690.167416823252</f>
        <v>-1430.5835501520114</v>
      </c>
      <c r="J1098">
        <f>-699.468925565074 -41.8993169822932 -558.051987489738</f>
        <v>-1299.4202300371053</v>
      </c>
      <c r="K1098" t="s">
        <v>11159</v>
      </c>
      <c r="L1098" t="s">
        <v>11160</v>
      </c>
      <c r="M1098" t="s">
        <v>11161</v>
      </c>
      <c r="N1098">
        <f>-692.279688455465 -96.8071992768814 -555.905541124336</f>
        <v>-1344.9924288566824</v>
      </c>
      <c r="O1098">
        <f>-676.167824360395 -228.510072026736 -519.949598102292</f>
        <v>-1424.627494489423</v>
      </c>
      <c r="P1098">
        <f>-652.719529394929 -262.953277815003 -228.650665712051</f>
        <v>-1144.323472921983</v>
      </c>
      <c r="Q1098">
        <f>-485.182558997929 -91.6624989797672 -253.982268033688</f>
        <v>-830.82732601138423</v>
      </c>
      <c r="R1098" t="s">
        <v>11162</v>
      </c>
      <c r="S1098" t="s">
        <v>11163</v>
      </c>
      <c r="T1098" t="s">
        <v>11164</v>
      </c>
      <c r="U1098" t="s">
        <v>11165</v>
      </c>
      <c r="V1098">
        <f>-635.257866108514 -133.855187650188 -94.6200820603558</f>
        <v>-863.73313581905779</v>
      </c>
      <c r="W1098" t="s">
        <v>11166</v>
      </c>
      <c r="X1098" t="s">
        <v>11167</v>
      </c>
      <c r="Y1098" t="s">
        <v>11168</v>
      </c>
    </row>
    <row r="1099" spans="1:25" x14ac:dyDescent="0.3">
      <c r="A1099">
        <v>54900</v>
      </c>
      <c r="B1099" t="s">
        <v>11169</v>
      </c>
      <c r="C1099">
        <f>-662.131669443607 -41.9925819556468 -97.4655398748802</f>
        <v>-801.58979127413397</v>
      </c>
      <c r="D1099">
        <f>-680.491497290179 -52.1042274241008 -211.381686952293</f>
        <v>-943.97741166657283</v>
      </c>
      <c r="E1099">
        <f>-688.836000895153 -58.1700310564604 -309.464517705655</f>
        <v>-1056.4705496572683</v>
      </c>
      <c r="F1099">
        <f>-693.956047351452 -62.8748906193653 -398.289569736431</f>
        <v>-1155.1205077072482</v>
      </c>
      <c r="G1099">
        <f>-696.283658140357 -66.8071535870438 -487.269177702507</f>
        <v>-1250.3599894299077</v>
      </c>
      <c r="H1099">
        <f>-696.587149294614 -71.5670173685685 -611.760314169162</f>
        <v>-1379.9144808323445</v>
      </c>
      <c r="I1099">
        <f>-669.074395145025 -71.6587721136941 -690.16995255415</f>
        <v>-1430.9031198128691</v>
      </c>
      <c r="J1099">
        <f>-700.140371096445 -42.0294976522257 -558.018261013408</f>
        <v>-1300.1881297620789</v>
      </c>
      <c r="K1099" t="s">
        <v>11170</v>
      </c>
      <c r="L1099" t="s">
        <v>11171</v>
      </c>
      <c r="M1099" t="s">
        <v>11172</v>
      </c>
      <c r="N1099">
        <f>-692.76690294268 -96.9153856779017 -555.937680384734</f>
        <v>-1345.6199690053156</v>
      </c>
      <c r="O1099">
        <f>-676.191463363201 -228.596132344259 -520.110271746496</f>
        <v>-1424.897867453956</v>
      </c>
      <c r="P1099">
        <f>-652.418369357513 -263.242623972012 -228.861711201356</f>
        <v>-1144.5227045308811</v>
      </c>
      <c r="Q1099">
        <f>-485.512488201475 -91.3045995224145 -253.973367546817</f>
        <v>-830.7904552707065</v>
      </c>
      <c r="R1099" t="s">
        <v>11173</v>
      </c>
      <c r="S1099" t="s">
        <v>11174</v>
      </c>
      <c r="T1099" t="s">
        <v>11175</v>
      </c>
      <c r="U1099" t="s">
        <v>11176</v>
      </c>
      <c r="V1099">
        <f>-635.741155604267 -134.078013234287 -94.6119891678886</f>
        <v>-864.43115800644262</v>
      </c>
      <c r="W1099" t="s">
        <v>11177</v>
      </c>
      <c r="X1099" t="s">
        <v>11178</v>
      </c>
      <c r="Y1099" t="s">
        <v>11179</v>
      </c>
    </row>
    <row r="1100" spans="1:25" x14ac:dyDescent="0.3">
      <c r="A1100">
        <v>54950</v>
      </c>
      <c r="B1100" t="s">
        <v>11180</v>
      </c>
      <c r="C1100">
        <f>-662.407826034564 -42.1319123010817 -97.4712437255861</f>
        <v>-802.01098206123174</v>
      </c>
      <c r="D1100">
        <f>-680.765002341414 -52.2762824114629 -211.385035128005</f>
        <v>-944.42631988088192</v>
      </c>
      <c r="E1100">
        <f>-689.105300819697 -58.3392076406774 -309.468327449411</f>
        <v>-1056.9128359097854</v>
      </c>
      <c r="F1100">
        <f>-694.22010105616 -63.0295268959019 -398.294406481747</f>
        <v>-1155.544034433809</v>
      </c>
      <c r="G1100">
        <f>-696.540735898608 -66.9349147507025 -487.275403010132</f>
        <v>-1250.7510536594425</v>
      </c>
      <c r="H1100">
        <f>-696.832731524348 -71.6437058146216 -611.768554500268</f>
        <v>-1380.2449918392376</v>
      </c>
      <c r="I1100">
        <f>-669.313798524122 -71.6049448414067 -690.176096814147</f>
        <v>-1431.0948401796757</v>
      </c>
      <c r="J1100">
        <f>-700.436901532439 -42.1343542487666 -558.014258948437</f>
        <v>-1300.5855147296427</v>
      </c>
      <c r="K1100" t="s">
        <v>11181</v>
      </c>
      <c r="L1100" t="s">
        <v>11182</v>
      </c>
      <c r="M1100" t="s">
        <v>11183</v>
      </c>
      <c r="N1100">
        <f>-692.971544249076 -97.0087484252128 -555.956230004806</f>
        <v>-1345.9365226790949</v>
      </c>
      <c r="O1100">
        <f>-676.191756160173 -228.669611021402 -520.158317651645</f>
        <v>-1425.01968483322</v>
      </c>
      <c r="P1100">
        <f>-652.339913587485 -263.330998417302 -228.91813201491</f>
        <v>-1144.589044019697</v>
      </c>
      <c r="Q1100">
        <f>-485.62947591421 -91.1952991988198 -253.974269410168</f>
        <v>-830.79904452319784</v>
      </c>
      <c r="R1100" t="s">
        <v>11184</v>
      </c>
      <c r="S1100" t="s">
        <v>11185</v>
      </c>
      <c r="T1100" t="s">
        <v>11186</v>
      </c>
      <c r="U1100" t="s">
        <v>11187</v>
      </c>
      <c r="V1100">
        <f>-635.912655050663 -134.148936621175 -94.6175218113736</f>
        <v>-864.67911348321172</v>
      </c>
      <c r="W1100" t="s">
        <v>11188</v>
      </c>
      <c r="X1100" t="s">
        <v>11189</v>
      </c>
      <c r="Y1100" t="s">
        <v>11190</v>
      </c>
    </row>
    <row r="1101" spans="1:25" x14ac:dyDescent="0.3">
      <c r="A1101">
        <v>55000</v>
      </c>
      <c r="B1101" t="s">
        <v>11191</v>
      </c>
      <c r="C1101">
        <f>-662.850346453244 -42.4321056344229 -97.4631754129139</f>
        <v>-802.74562750058078</v>
      </c>
      <c r="D1101">
        <f>-681.220836548882 -52.6376375524726 -211.369204898806</f>
        <v>-945.22767900016061</v>
      </c>
      <c r="E1101">
        <f>-689.559501993167 -58.7137188490019 -309.451866570358</f>
        <v>-1057.725087412527</v>
      </c>
      <c r="F1101">
        <f>-694.666661741549 -63.4011400109639 -398.278527691462</f>
        <v>-1156.3463294439748</v>
      </c>
      <c r="G1101">
        <f>-696.97326318031 -67.2875976410503 -487.260721072642</f>
        <v>-1251.5215818940023</v>
      </c>
      <c r="H1101">
        <f>-697.238713392303 -71.9531989209752 -611.755487939807</f>
        <v>-1380.9474002530851</v>
      </c>
      <c r="I1101">
        <f>-669.602133187335 -71.7069960978149 -690.121255708744</f>
        <v>-1431.4303849938938</v>
      </c>
      <c r="J1101">
        <f>-700.938551415226 -42.4740881522016 -557.991124388957</f>
        <v>-1301.4037639563846</v>
      </c>
      <c r="K1101" t="s">
        <v>11192</v>
      </c>
      <c r="L1101" t="s">
        <v>11193</v>
      </c>
      <c r="M1101" t="s">
        <v>11194</v>
      </c>
      <c r="N1101">
        <f>-693.305317731517 -97.3261067990532 -555.951847996104</f>
        <v>-1346.5832725266741</v>
      </c>
      <c r="O1101">
        <f>-676.119361722529 -228.93768041025 -520.157968562258</f>
        <v>-1425.2150106950371</v>
      </c>
      <c r="P1101">
        <f>-652.263226884938 -263.732008052806 -228.933869985087</f>
        <v>-1144.9291049228311</v>
      </c>
      <c r="Q1101">
        <f>-486.581757111526 -90.5569499444412 -253.650636235867</f>
        <v>-830.78934329183426</v>
      </c>
      <c r="R1101" t="s">
        <v>11195</v>
      </c>
      <c r="S1101" t="s">
        <v>11196</v>
      </c>
      <c r="T1101" t="s">
        <v>11197</v>
      </c>
      <c r="U1101" t="s">
        <v>11198</v>
      </c>
      <c r="V1101">
        <f>-636.179460165132 -134.45333374283 -94.6024785099362</f>
        <v>-865.23527241789816</v>
      </c>
      <c r="W1101" t="s">
        <v>11199</v>
      </c>
      <c r="X1101" t="s">
        <v>11200</v>
      </c>
      <c r="Y1101" t="s">
        <v>11201</v>
      </c>
    </row>
    <row r="1102" spans="1:25" x14ac:dyDescent="0.3">
      <c r="A1102">
        <v>55050</v>
      </c>
      <c r="B1102" t="s">
        <v>11202</v>
      </c>
      <c r="C1102">
        <f>-662.999740782921 -42.5349251980565 -97.4633869275154</f>
        <v>-802.99805290849292</v>
      </c>
      <c r="D1102">
        <f>-681.381579903266 -52.7665686114437 -211.365205700993</f>
        <v>-945.51335421570275</v>
      </c>
      <c r="E1102">
        <f>-689.720944213306 -58.859606756648 -309.446695911396</f>
        <v>-1058.02724688135</v>
      </c>
      <c r="F1102">
        <f>-694.82492584743 -63.5605927323288 -398.273014755497</f>
        <v>-1156.6585333352559</v>
      </c>
      <c r="G1102">
        <f>-697.124547880695 -67.4582920309413 -487.254688855841</f>
        <v>-1251.8375287674771</v>
      </c>
      <c r="H1102">
        <f>-697.376480975269 -72.1371502755892 -611.749237869364</f>
        <v>-1381.2628691202221</v>
      </c>
      <c r="I1102">
        <f>-669.705988827424 -71.8219643597281 -690.102601990314</f>
        <v>-1431.6305551774662</v>
      </c>
      <c r="J1102">
        <f>-701.12206718224 -42.657827503343 -557.988046004204</f>
        <v>-1301.7679406897869</v>
      </c>
      <c r="K1102" t="s">
        <v>11203</v>
      </c>
      <c r="L1102" t="s">
        <v>11204</v>
      </c>
      <c r="M1102" t="s">
        <v>11205</v>
      </c>
      <c r="N1102">
        <f>-693.409167656668 -97.4985333028212 -555.942665918041</f>
        <v>-1346.8503668775302</v>
      </c>
      <c r="O1102">
        <f>-676.054452620145 -229.07790267833 -520.133232548579</f>
        <v>-1425.2655878470541</v>
      </c>
      <c r="P1102">
        <f>-652.1933518028 -264.018542868454 -228.926995204569</f>
        <v>-1145.138889875823</v>
      </c>
      <c r="Q1102">
        <f>-487.373826346552 -89.9885634445045 -253.401269667105</f>
        <v>-830.76365945816156</v>
      </c>
      <c r="R1102" t="s">
        <v>11206</v>
      </c>
      <c r="S1102" t="s">
        <v>11207</v>
      </c>
      <c r="T1102" t="s">
        <v>11208</v>
      </c>
      <c r="U1102" t="s">
        <v>11209</v>
      </c>
      <c r="V1102">
        <f>-636.230605889525 -134.487158144388 -94.6089070289937</f>
        <v>-865.32667106290671</v>
      </c>
      <c r="W1102" t="s">
        <v>11210</v>
      </c>
      <c r="X1102" t="s">
        <v>11211</v>
      </c>
      <c r="Y1102" t="s">
        <v>11212</v>
      </c>
    </row>
    <row r="1103" spans="1:25" x14ac:dyDescent="0.3">
      <c r="A1103">
        <v>55100</v>
      </c>
      <c r="B1103" t="s">
        <v>11213</v>
      </c>
      <c r="C1103">
        <f>-663.324326524882 -42.9373249593009 -97.4738665509427</f>
        <v>-803.73551803512566</v>
      </c>
      <c r="D1103">
        <f>-681.69274445209 -53.227670502268 -211.372644165968</f>
        <v>-946.29305912032601</v>
      </c>
      <c r="E1103">
        <f>-690.028077512755 -59.3751541901336 -309.451113384999</f>
        <v>-1058.8543450878876</v>
      </c>
      <c r="F1103">
        <f>-695.1311021774 -64.1281924407062 -398.274484420872</f>
        <v>-1157.5337790389781</v>
      </c>
      <c r="G1103">
        <f>-697.433172633328 -68.0798303361685 -487.253900938974</f>
        <v>-1252.7669039084706</v>
      </c>
      <c r="H1103">
        <f>-697.691494285777 -72.8360181644978 -611.745361485399</f>
        <v>-1382.2728739356739</v>
      </c>
      <c r="I1103">
        <f>-669.975961416386 -72.4171468066554 -690.082548558885</f>
        <v>-1432.4756567819263</v>
      </c>
      <c r="J1103">
        <f>-701.495179335653 -43.3319624807248 -558.001925729513</f>
        <v>-1302.8290675458907</v>
      </c>
      <c r="K1103" t="s">
        <v>11214</v>
      </c>
      <c r="L1103" t="s">
        <v>11215</v>
      </c>
      <c r="M1103" t="s">
        <v>11216</v>
      </c>
      <c r="N1103">
        <f>-693.660507160526 -98.1541625730313 -555.92374283101</f>
        <v>-1347.7384125645672</v>
      </c>
      <c r="O1103">
        <f>-675.993784035318 -229.676873141093 -520.039357616811</f>
        <v>-1425.7100147932219</v>
      </c>
      <c r="P1103">
        <f>-652.175791600356 -264.76799089038 -228.847855998678</f>
        <v>-1145.791638489414</v>
      </c>
      <c r="Q1103">
        <f>-489.662087976337 -88.5339671631766 -252.967675045789</f>
        <v>-831.16373018530248</v>
      </c>
      <c r="R1103" t="s">
        <v>11217</v>
      </c>
      <c r="S1103" t="s">
        <v>11218</v>
      </c>
      <c r="T1103" t="s">
        <v>11219</v>
      </c>
      <c r="U1103" t="s">
        <v>11220</v>
      </c>
      <c r="V1103">
        <f>-636.398621545179 -134.899021425265 -94.6147299001776</f>
        <v>-865.91237287062165</v>
      </c>
      <c r="W1103" t="s">
        <v>11221</v>
      </c>
      <c r="X1103" t="s">
        <v>11222</v>
      </c>
      <c r="Y1103" t="s">
        <v>11223</v>
      </c>
    </row>
    <row r="1104" spans="1:25" x14ac:dyDescent="0.3">
      <c r="A1104">
        <v>55150</v>
      </c>
      <c r="B1104" t="s">
        <v>11224</v>
      </c>
      <c r="C1104">
        <f>-663.471575197734 -43.140847359758 -97.4905716507117</f>
        <v>-804.10299420820365</v>
      </c>
      <c r="D1104">
        <f>-681.820522732198 -53.4593095867915 -211.390015215609</f>
        <v>-946.66984753459849</v>
      </c>
      <c r="E1104">
        <f>-690.141891317693 -59.6413069737055 -309.46751892668</f>
        <v>-1059.2507172180785</v>
      </c>
      <c r="F1104">
        <f>-695.233626236919 -64.4299300914852 -398.289560481008</f>
        <v>-1157.9531168094122</v>
      </c>
      <c r="G1104">
        <f>-697.526035522468 -68.4211578107145 -487.267492841287</f>
        <v>-1253.2146861744695</v>
      </c>
      <c r="H1104">
        <f>-697.772374230453 -73.2366617245236 -611.75670225338</f>
        <v>-1382.7657382083567</v>
      </c>
      <c r="I1104">
        <f>-670.028068241748 -72.7952301371677 -690.083471722404</f>
        <v>-1432.9067701013196</v>
      </c>
      <c r="J1104">
        <f>-701.609453288574 -43.7111167658766 -558.027530330056</f>
        <v>-1303.3481003845066</v>
      </c>
      <c r="K1104" t="s">
        <v>11225</v>
      </c>
      <c r="L1104" t="s">
        <v>11226</v>
      </c>
      <c r="M1104" t="s">
        <v>11227</v>
      </c>
      <c r="N1104">
        <f>-693.718477877993 -98.5241153468112 -555.922704681888</f>
        <v>-1348.1652979066921</v>
      </c>
      <c r="O1104">
        <f>-675.924578805832 -230.01415328118 -519.992977921887</f>
        <v>-1425.931710008899</v>
      </c>
      <c r="P1104">
        <f>-652.03309856085 -265.133039692332 -228.810697125272</f>
        <v>-1145.9768353784539</v>
      </c>
      <c r="Q1104">
        <f>-490.776853317262 -87.7228156648077 -252.745337111389</f>
        <v>-831.24500609345864</v>
      </c>
      <c r="R1104" t="s">
        <v>11228</v>
      </c>
      <c r="S1104" t="s">
        <v>11229</v>
      </c>
      <c r="T1104" t="s">
        <v>11230</v>
      </c>
      <c r="U1104" t="s">
        <v>11231</v>
      </c>
      <c r="V1104">
        <f>-636.512903781595 -135.072128075436 -94.6146968178164</f>
        <v>-866.19972867484739</v>
      </c>
      <c r="W1104" t="s">
        <v>11232</v>
      </c>
      <c r="X1104" t="s">
        <v>11233</v>
      </c>
      <c r="Y1104" t="s">
        <v>11234</v>
      </c>
    </row>
    <row r="1105" spans="1:25" x14ac:dyDescent="0.3">
      <c r="A1105">
        <v>55200</v>
      </c>
      <c r="B1105" t="s">
        <v>11235</v>
      </c>
      <c r="C1105">
        <f>-663.615669759789 -43.5127199233086 -97.5121352979912</f>
        <v>-804.64052498108879</v>
      </c>
      <c r="D1105">
        <f>-681.925742544135 -53.8707490745871 -211.414048406819</f>
        <v>-947.21054002554115</v>
      </c>
      <c r="E1105">
        <f>-690.207254747218 -60.122506031526 -309.490508726724</f>
        <v>-1059.8202695054679</v>
      </c>
      <c r="F1105">
        <f>-695.260681940382 -64.9891774309315 -398.310639524459</f>
        <v>-1158.5604988957725</v>
      </c>
      <c r="G1105">
        <f>-697.513057159865 -69.0733189912958 -487.285381100363</f>
        <v>-1253.8717572515238</v>
      </c>
      <c r="H1105">
        <f>-697.702478464705 -74.0339317544851 -611.76900494219</f>
        <v>-1383.5054151613801</v>
      </c>
      <c r="I1105">
        <f>-669.885223896652 -73.5702614102761 -690.069787196749</f>
        <v>-1433.5252725036771</v>
      </c>
      <c r="J1105">
        <f>-701.599220789846 -44.4508677106687 -558.075806751856</f>
        <v>-1304.1258952523708</v>
      </c>
      <c r="K1105" t="s">
        <v>11236</v>
      </c>
      <c r="L1105" t="s">
        <v>11237</v>
      </c>
      <c r="M1105" t="s">
        <v>11238</v>
      </c>
      <c r="N1105">
        <f>-693.638985462482 -99.2511600802425 -555.904068142968</f>
        <v>-1348.7942136856923</v>
      </c>
      <c r="O1105">
        <f>-675.646895654857 -230.674236523927 -519.83005270658</f>
        <v>-1426.1511848853638</v>
      </c>
      <c r="P1105">
        <f>-650.939716406888 -266.197945033366 -228.765114231359</f>
        <v>-1145.9027756716132</v>
      </c>
      <c r="Q1105">
        <f>-493.249079066608 -85.5670454566946 -252.366905472228</f>
        <v>-831.18302999553066</v>
      </c>
      <c r="R1105" t="s">
        <v>11239</v>
      </c>
      <c r="S1105" t="s">
        <v>11240</v>
      </c>
      <c r="T1105" t="s">
        <v>11241</v>
      </c>
      <c r="U1105" t="s">
        <v>11242</v>
      </c>
      <c r="V1105">
        <f>-636.593732828711 -135.420758112689 -94.6091652270455</f>
        <v>-866.62365616844556</v>
      </c>
      <c r="W1105" t="s">
        <v>11243</v>
      </c>
      <c r="X1105" t="s">
        <v>11244</v>
      </c>
      <c r="Y1105" t="s">
        <v>11245</v>
      </c>
    </row>
    <row r="1106" spans="1:25" x14ac:dyDescent="0.3">
      <c r="A1106">
        <v>55250</v>
      </c>
      <c r="B1106" t="s">
        <v>11246</v>
      </c>
      <c r="C1106">
        <f>-663.673801370092 -43.8369371891856 -97.5000510062279</f>
        <v>-805.01078956550543</v>
      </c>
      <c r="D1106">
        <f>-681.989238626922 -54.265904392603 -211.394852213446</f>
        <v>-947.64999523297104</v>
      </c>
      <c r="E1106">
        <f>-690.290009393077 -60.5947048563517 -309.464726811154</f>
        <v>-1060.3494410605826</v>
      </c>
      <c r="F1106">
        <f>-695.367224732072 -65.5379912654325 -398.279223702831</f>
        <v>-1159.1844397003356</v>
      </c>
      <c r="G1106">
        <f>-697.649588299925 -69.7051443590865 -487.249180380561</f>
        <v>-1254.6039130395725</v>
      </c>
      <c r="H1106">
        <f>-697.887956510945 -74.7880975860392 -611.727862933127</f>
        <v>-1384.4039170301112</v>
      </c>
      <c r="I1106">
        <f>-670.057674650655 -74.3149240230766 -690.023834235964</f>
        <v>-1434.3964329096957</v>
      </c>
      <c r="J1106">
        <f>-701.802040966785 -45.1579028728231 -558.061844822036</f>
        <v>-1305.0217886616442</v>
      </c>
      <c r="K1106" t="s">
        <v>11247</v>
      </c>
      <c r="L1106" t="s">
        <v>11248</v>
      </c>
      <c r="M1106" t="s">
        <v>11249</v>
      </c>
      <c r="N1106">
        <f>-693.764081254522 -99.9449710443203 -555.840118304746</f>
        <v>-1349.5491706035882</v>
      </c>
      <c r="O1106">
        <f>-675.559045872346 -231.306224139477 -519.642852945106</f>
        <v>-1426.5081229569291</v>
      </c>
      <c r="P1106">
        <f>-649.762712910202 -267.484392511527 -228.753088383962</f>
        <v>-1146.000193805691</v>
      </c>
      <c r="Q1106">
        <f>-496.691023509084 -82.8121463704458 -251.470716387002</f>
        <v>-830.97388626653174</v>
      </c>
      <c r="R1106" t="s">
        <v>11250</v>
      </c>
      <c r="S1106" t="s">
        <v>11251</v>
      </c>
      <c r="T1106" t="s">
        <v>11252</v>
      </c>
      <c r="U1106" t="s">
        <v>11253</v>
      </c>
      <c r="V1106">
        <f>-636.568306580252 -135.746778351104 -94.5851727192769</f>
        <v>-866.90025765063297</v>
      </c>
      <c r="W1106" t="s">
        <v>11254</v>
      </c>
      <c r="X1106" t="s">
        <v>11255</v>
      </c>
      <c r="Y1106" t="s">
        <v>11256</v>
      </c>
    </row>
    <row r="1107" spans="1:25" x14ac:dyDescent="0.3">
      <c r="A1107">
        <v>55300</v>
      </c>
      <c r="B1107" t="s">
        <v>11257</v>
      </c>
      <c r="C1107">
        <f>-663.651972414485 -44.0217944230633 -97.5058311214716</f>
        <v>-805.17959795901993</v>
      </c>
      <c r="D1107">
        <f>-681.980936292227 -54.4804374297457 -211.395647607248</f>
        <v>-947.85702132922074</v>
      </c>
      <c r="E1107">
        <f>-690.300181650477 -60.8400508546702 -309.461925183666</f>
        <v>-1060.6021576888131</v>
      </c>
      <c r="F1107">
        <f>-695.397095123851 -65.8138081671814 -398.273768100106</f>
        <v>-1159.4846713911384</v>
      </c>
      <c r="G1107">
        <f>-697.702157209207 -70.0129881884977 -487.241661062743</f>
        <v>-1254.9568064604478</v>
      </c>
      <c r="H1107">
        <f>-697.975529276449 -75.1428083228764 -611.718220731472</f>
        <v>-1384.8365583307973</v>
      </c>
      <c r="I1107">
        <f>-670.147912508333 -74.6556484054745 -690.015173434109</f>
        <v>-1434.8187343479165</v>
      </c>
      <c r="J1107">
        <f>-701.890082994683 -45.4946799768611 -558.062154153136</f>
        <v>-1305.4469171246801</v>
      </c>
      <c r="K1107" t="s">
        <v>11258</v>
      </c>
      <c r="L1107" t="s">
        <v>11259</v>
      </c>
      <c r="M1107" t="s">
        <v>11260</v>
      </c>
      <c r="N1107">
        <f>-693.820415874915 -100.276325561845 -555.822241144313</f>
        <v>-1349.9189825810731</v>
      </c>
      <c r="O1107">
        <f>-675.523571026484 -231.620522672739 -519.606851962983</f>
        <v>-1426.750945662206</v>
      </c>
      <c r="P1107">
        <f>-648.810461768429 -268.60200521008 -228.900809152206</f>
        <v>-1146.3132761307149</v>
      </c>
      <c r="Q1107">
        <f>-498.835006439329 -81.3446665991794 -251.102713046961</f>
        <v>-831.2823860854694</v>
      </c>
      <c r="R1107" t="s">
        <v>11261</v>
      </c>
      <c r="S1107" t="s">
        <v>11262</v>
      </c>
      <c r="T1107" t="s">
        <v>11263</v>
      </c>
      <c r="U1107" t="s">
        <v>11264</v>
      </c>
      <c r="V1107">
        <f>-636.521056763431 -135.923814653287 -94.5886109561918</f>
        <v>-867.03348237290982</v>
      </c>
      <c r="W1107" t="s">
        <v>11265</v>
      </c>
      <c r="X1107" t="s">
        <v>11266</v>
      </c>
      <c r="Y1107" t="s">
        <v>11267</v>
      </c>
    </row>
    <row r="1108" spans="1:25" x14ac:dyDescent="0.3">
      <c r="A1108">
        <v>55350</v>
      </c>
      <c r="B1108" t="s">
        <v>11268</v>
      </c>
      <c r="C1108">
        <f>-663.611690363503 -44.1960343234975 -97.5133094036927</f>
        <v>-805.32103409069327</v>
      </c>
      <c r="D1108">
        <f>-681.966220832691 -54.6912972058672 -211.39565713351</f>
        <v>-948.05317517206811</v>
      </c>
      <c r="E1108">
        <f>-690.314653180138 -61.078661621335 -309.457549395745</f>
        <v>-1060.850864197218</v>
      </c>
      <c r="F1108">
        <f>-695.440494977144 -66.0759409487987 -398.266463267794</f>
        <v>-1159.7828991937367</v>
      </c>
      <c r="G1108">
        <f>-697.777776132768 -70.2968682906026 -487.23245515383</f>
        <v>-1255.3070995772007</v>
      </c>
      <c r="H1108">
        <f>-698.098554786349 -75.4551510860911 -611.707763112955</f>
        <v>-1385.2614689853951</v>
      </c>
      <c r="I1108">
        <f>-670.284417753528 -74.9456586767624 -690.009432869665</f>
        <v>-1435.2395092999554</v>
      </c>
      <c r="J1108">
        <f>-702.006467556733 -45.7967871407266 -558.05682134341</f>
        <v>-1305.8600760408694</v>
      </c>
      <c r="K1108" t="s">
        <v>11269</v>
      </c>
      <c r="L1108" t="s">
        <v>11270</v>
      </c>
      <c r="M1108" t="s">
        <v>11271</v>
      </c>
      <c r="N1108">
        <f>-693.908294139057 -100.573803278418 -555.807876394147</f>
        <v>-1350.2899738116221</v>
      </c>
      <c r="O1108">
        <f>-675.530258431567 -231.895285985342 -519.590136216996</f>
        <v>-1427.015680633905</v>
      </c>
      <c r="P1108">
        <f>-647.697323710606 -269.409685751046 -229.057441495516</f>
        <v>-1146.1644509571681</v>
      </c>
      <c r="Q1108">
        <f>-500.969026645468 -79.4864210479341 -250.290572097523</f>
        <v>-830.74601979092517</v>
      </c>
      <c r="R1108" t="s">
        <v>11272</v>
      </c>
      <c r="S1108" t="s">
        <v>11273</v>
      </c>
      <c r="T1108" t="s">
        <v>11274</v>
      </c>
      <c r="U1108" t="s">
        <v>11275</v>
      </c>
      <c r="V1108">
        <f>-636.453589131854 -136.08211442494 -94.5647448437045</f>
        <v>-867.10044840049841</v>
      </c>
      <c r="W1108" t="s">
        <v>11276</v>
      </c>
      <c r="X1108" t="s">
        <v>11277</v>
      </c>
      <c r="Y1108" t="s">
        <v>11278</v>
      </c>
    </row>
    <row r="1109" spans="1:25" x14ac:dyDescent="0.3">
      <c r="A1109">
        <v>55400</v>
      </c>
      <c r="B1109" t="s">
        <v>11279</v>
      </c>
      <c r="C1109">
        <f>-663.343262372614 -44.579882703852 -97.5299960854821</f>
        <v>-805.45314116194822</v>
      </c>
      <c r="D1109">
        <f>-681.733024253468 -55.1456416748288 -211.400167099839</f>
        <v>-948.27883302813575</v>
      </c>
      <c r="E1109">
        <f>-690.118616222015 -61.5942461434661 -309.454989567383</f>
        <v>-1061.1678519328641</v>
      </c>
      <c r="F1109">
        <f>-695.281374244657 -66.6462080870044 -398.258468404998</f>
        <v>-1160.1860507366594</v>
      </c>
      <c r="G1109">
        <f>-697.658471916506 -70.9207234497844 -487.221027714439</f>
        <v>-1255.8002230807294</v>
      </c>
      <c r="H1109">
        <f>-698.038788371757 -76.1514828042075 -611.693096868215</f>
        <v>-1385.8833680441794</v>
      </c>
      <c r="I1109">
        <f>-670.284238470739 -75.6055334099372 -690.015567106854</f>
        <v>-1435.9053389875301</v>
      </c>
      <c r="J1109">
        <f>-701.963309370439 -46.4680607428502 -558.057214772448</f>
        <v>-1306.4885848857371</v>
      </c>
      <c r="K1109" t="s">
        <v>11280</v>
      </c>
      <c r="L1109" t="s">
        <v>11281</v>
      </c>
      <c r="M1109" t="s">
        <v>11282</v>
      </c>
      <c r="N1109">
        <f>-693.77949934927 -101.231316301293 -555.780930633654</f>
        <v>-1350.791746284217</v>
      </c>
      <c r="O1109">
        <f>-675.122721912075 -232.508034244996 -519.488862922538</f>
        <v>-1427.119619079609</v>
      </c>
      <c r="P1109">
        <f>-645.360265240322 -270.18121124169 -229.168042306613</f>
        <v>-1144.709518788625</v>
      </c>
      <c r="Q1109">
        <f>-504.224764858279 -75.8941452071276 -248.769250888715</f>
        <v>-828.88816095412153</v>
      </c>
      <c r="R1109" t="s">
        <v>11283</v>
      </c>
      <c r="S1109" t="s">
        <v>11284</v>
      </c>
      <c r="T1109" t="s">
        <v>11285</v>
      </c>
      <c r="U1109" t="s">
        <v>11286</v>
      </c>
      <c r="V1109">
        <f>-636.061335968295 -136.42276777062 -94.56249871953</f>
        <v>-867.04660245844502</v>
      </c>
      <c r="W1109" t="s">
        <v>11287</v>
      </c>
      <c r="X1109" t="s">
        <v>11288</v>
      </c>
      <c r="Y1109" t="s">
        <v>11289</v>
      </c>
    </row>
    <row r="1110" spans="1:25" x14ac:dyDescent="0.3">
      <c r="A1110">
        <v>55450</v>
      </c>
      <c r="B1110" t="s">
        <v>11290</v>
      </c>
      <c r="C1110">
        <f>-663.203368740027 -44.7179754514491 -97.5503901562387</f>
        <v>-805.4717343477148</v>
      </c>
      <c r="D1110">
        <f>-681.598901143072 -55.3052857616012 -211.417573067058</f>
        <v>-948.32175997173124</v>
      </c>
      <c r="E1110">
        <f>-689.983979915887 -61.7746494072746 -309.47117360266</f>
        <v>-1061.2298029258216</v>
      </c>
      <c r="F1110">
        <f>-695.14424966297 -66.8459797270741 -398.273655656194</f>
        <v>-1160.2638850462381</v>
      </c>
      <c r="G1110">
        <f>-697.517013895046 -71.1398052202592 -487.235284078079</f>
        <v>-1255.8921031933842</v>
      </c>
      <c r="H1110">
        <f>-697.889573053669 -76.3973320021657 -611.706237752108</f>
        <v>-1385.9931428079426</v>
      </c>
      <c r="I1110">
        <f>-670.169220799269 -75.8191924925541 -690.040639168982</f>
        <v>-1436.0290524608051</v>
      </c>
      <c r="J1110">
        <f>-701.841500914878 -46.7060622736799 -558.076920441018</f>
        <v>-1306.6244836295759</v>
      </c>
      <c r="K1110" t="s">
        <v>11291</v>
      </c>
      <c r="L1110" t="s">
        <v>11292</v>
      </c>
      <c r="M1110" t="s">
        <v>11293</v>
      </c>
      <c r="N1110">
        <f>-693.609737765766 -101.461525503541 -555.788573479229</f>
        <v>-1350.8598367485361</v>
      </c>
      <c r="O1110">
        <f>-674.822560062313 -232.716800627673 -519.494499236063</f>
        <v>-1427.033859926049</v>
      </c>
      <c r="P1110">
        <f>-644.006999097402 -270.33689773397 -229.276772869099</f>
        <v>-1143.6206697004709</v>
      </c>
      <c r="Q1110">
        <f>-505.076679021072 -74.3891414625366 -248.082967462081</f>
        <v>-827.54878794568958</v>
      </c>
      <c r="R1110" t="s">
        <v>11294</v>
      </c>
      <c r="S1110" t="s">
        <v>11295</v>
      </c>
      <c r="T1110" t="s">
        <v>11296</v>
      </c>
      <c r="U1110" t="s">
        <v>11297</v>
      </c>
      <c r="V1110">
        <f>-635.958199222361 -136.501008671902 -94.5671859785048</f>
        <v>-867.02639387276781</v>
      </c>
      <c r="W1110" t="s">
        <v>11298</v>
      </c>
      <c r="X1110" t="s">
        <v>11299</v>
      </c>
      <c r="Y1110" t="s">
        <v>11300</v>
      </c>
    </row>
    <row r="1111" spans="1:25" x14ac:dyDescent="0.3">
      <c r="A1111">
        <v>55500</v>
      </c>
      <c r="B1111" t="s">
        <v>11301</v>
      </c>
      <c r="C1111">
        <f>-663.02394924453 -44.998458817025 -97.5875662785199</f>
        <v>-805.60997434007493</v>
      </c>
      <c r="D1111">
        <f>-681.434363038205 -55.6143229944323 -211.449622336659</f>
        <v>-948.4983083692963</v>
      </c>
      <c r="E1111">
        <f>-689.855158170561 -62.0895745676182 -309.499754037096</f>
        <v>-1061.4444867752752</v>
      </c>
      <c r="F1111">
        <f>-695.056366266905 -67.1585706752862 -398.300007318358</f>
        <v>-1160.5149442605493</v>
      </c>
      <c r="G1111">
        <f>-697.478852432262 -71.4417376987899 -487.261013797485</f>
        <v>-1256.1816039285368</v>
      </c>
      <c r="H1111">
        <f>-697.929871770035 -76.6749575903832 -611.732751610959</f>
        <v>-1386.3375809713771</v>
      </c>
      <c r="I1111">
        <f>-670.327211595132 -76.0240339096224 -690.10806952725</f>
        <v>-1436.4593150320043</v>
      </c>
      <c r="J1111">
        <f>-701.873018880352 -46.9979499298659 -558.094718090241</f>
        <v>-1306.9656869004589</v>
      </c>
      <c r="K1111" t="s">
        <v>11302</v>
      </c>
      <c r="L1111" t="s">
        <v>11303</v>
      </c>
      <c r="M1111" t="s">
        <v>11304</v>
      </c>
      <c r="N1111">
        <f>-693.589634144133 -101.746296492528 -555.822888206165</f>
        <v>-1351.1588188428259</v>
      </c>
      <c r="O1111">
        <f>-674.677573914141 -232.994039432056 -519.570138074208</f>
        <v>-1427.2417514204051</v>
      </c>
      <c r="P1111">
        <f>-641.634025024213 -270.324619020249 -229.560122955797</f>
        <v>-1141.518767000259</v>
      </c>
      <c r="Q1111">
        <f>-506.054907143317 -71.9855645933678 -247.748249753838</f>
        <v>-825.78872149052279</v>
      </c>
      <c r="R1111" t="s">
        <v>11305</v>
      </c>
      <c r="S1111" t="s">
        <v>11306</v>
      </c>
      <c r="T1111" t="s">
        <v>11307</v>
      </c>
      <c r="U1111" t="s">
        <v>11308</v>
      </c>
      <c r="V1111">
        <f>-635.77621837078 -136.865349679129 -94.5699042625652</f>
        <v>-867.21147231247414</v>
      </c>
      <c r="W1111" t="s">
        <v>11309</v>
      </c>
      <c r="X1111" t="s">
        <v>11310</v>
      </c>
      <c r="Y1111" t="s">
        <v>11311</v>
      </c>
    </row>
    <row r="1112" spans="1:25" x14ac:dyDescent="0.3">
      <c r="A1112">
        <v>55550</v>
      </c>
      <c r="B1112" t="s">
        <v>11312</v>
      </c>
      <c r="C1112">
        <f>-662.920747697871 -45.1474425573854 -97.6113607005885</f>
        <v>-805.67955095584489</v>
      </c>
      <c r="D1112">
        <f>-681.314990333791 -55.770264275875 -211.475400325212</f>
        <v>-948.56065493487802</v>
      </c>
      <c r="E1112">
        <f>-689.741578502008 -62.2335290886999 -309.525866588201</f>
        <v>-1061.500974178909</v>
      </c>
      <c r="F1112">
        <f>-694.955665756775 -67.2841782547123 -398.326362091381</f>
        <v>-1160.5662061028684</v>
      </c>
      <c r="G1112">
        <f>-697.398724117992 -71.5412377236773 -487.287897975788</f>
        <v>-1256.2278598174573</v>
      </c>
      <c r="H1112">
        <f>-697.885660855327 -76.7297838105501 -611.761426230958</f>
        <v>-1386.376870896835</v>
      </c>
      <c r="I1112">
        <f>-670.343547872244 -76.0432972364285 -690.15785579903</f>
        <v>-1436.5447009077025</v>
      </c>
      <c r="J1112">
        <f>-701.820162743323 -47.0729558446719 -558.111717135929</f>
        <v>-1307.0048357239239</v>
      </c>
      <c r="K1112" t="s">
        <v>11313</v>
      </c>
      <c r="L1112" t="s">
        <v>11314</v>
      </c>
      <c r="M1112" t="s">
        <v>11315</v>
      </c>
      <c r="N1112">
        <f>-693.522527627397 -101.820161607974 -555.862039110015</f>
        <v>-1351.204728345386</v>
      </c>
      <c r="O1112">
        <f>-674.56476036199 -233.081363135241 -519.671892483171</f>
        <v>-1427.3180159804019</v>
      </c>
      <c r="P1112">
        <f>-640.767097343225 -270.732834305496 -229.790479534837</f>
        <v>-1141.290411183558</v>
      </c>
      <c r="Q1112">
        <f>-506.134642628135 -71.7062561663618 -247.495579518383</f>
        <v>-825.33647831287976</v>
      </c>
      <c r="R1112" t="s">
        <v>11316</v>
      </c>
      <c r="S1112" t="s">
        <v>11317</v>
      </c>
      <c r="T1112" t="s">
        <v>11318</v>
      </c>
      <c r="U1112" t="s">
        <v>11319</v>
      </c>
      <c r="V1112">
        <f>-635.623406074173 -137.052734905979 -94.5905238545577</f>
        <v>-867.26666483470967</v>
      </c>
      <c r="W1112" t="s">
        <v>11320</v>
      </c>
      <c r="X1112" t="s">
        <v>11321</v>
      </c>
      <c r="Y1112" t="s">
        <v>11322</v>
      </c>
    </row>
    <row r="1113" spans="1:25" x14ac:dyDescent="0.3">
      <c r="A1113">
        <v>55600</v>
      </c>
      <c r="B1113" t="s">
        <v>11323</v>
      </c>
      <c r="C1113">
        <f>-662.582616513149 -45.1587567147053 -97.6614477946721</f>
        <v>-805.40282102252638</v>
      </c>
      <c r="D1113">
        <f>-680.960405812159 -55.7968893406919 -211.526727106496</f>
        <v>-948.2840222593469</v>
      </c>
      <c r="E1113">
        <f>-689.399168632607 -62.2408974417619 -309.577482418093</f>
        <v>-1061.2175484924619</v>
      </c>
      <c r="F1113">
        <f>-694.634306981109 -67.2604811534327 -398.378489444789</f>
        <v>-1160.2732775793306</v>
      </c>
      <c r="G1113">
        <f>-697.107855262308 -71.4727833231034 -487.341274371819</f>
        <v>-1255.9219129572305</v>
      </c>
      <c r="H1113">
        <f>-697.647321714971 -76.5839687382104 -611.817788001007</f>
        <v>-1386.0490784541885</v>
      </c>
      <c r="I1113">
        <f>-670.239251190377 -75.8341266815128 -690.260441628568</f>
        <v>-1436.3338195004576</v>
      </c>
      <c r="J1113">
        <f>-701.5591409053 -46.9605209975937 -558.147896719494</f>
        <v>-1306.6675586223878</v>
      </c>
      <c r="K1113" t="s">
        <v>11324</v>
      </c>
      <c r="L1113" t="s">
        <v>11325</v>
      </c>
      <c r="M1113" t="s">
        <v>11326</v>
      </c>
      <c r="N1113">
        <f>-693.260779211199 -101.709095782603 -555.935842458137</f>
        <v>-1350.9057174519389</v>
      </c>
      <c r="O1113">
        <f>-674.330291430488 -233.03264862769 -519.945063759782</f>
        <v>-1427.3080038179601</v>
      </c>
      <c r="P1113">
        <f>-640.600159349292 -271.590746121865 -230.174901631496</f>
        <v>-1142.365807102653</v>
      </c>
      <c r="Q1113">
        <f>-505.435275058724 -72.9916282343472 -248.605374179577</f>
        <v>-827.03227747264816</v>
      </c>
      <c r="R1113" t="s">
        <v>11327</v>
      </c>
      <c r="S1113" t="s">
        <v>11328</v>
      </c>
      <c r="T1113" t="s">
        <v>11329</v>
      </c>
      <c r="U1113" t="s">
        <v>11330</v>
      </c>
      <c r="V1113">
        <f>-635.313069967777 -136.935560127353 -94.6047780777071</f>
        <v>-866.85340817283713</v>
      </c>
      <c r="W1113" t="s">
        <v>11331</v>
      </c>
      <c r="X1113" t="s">
        <v>11332</v>
      </c>
      <c r="Y1113" t="s">
        <v>11333</v>
      </c>
    </row>
    <row r="1114" spans="1:25" x14ac:dyDescent="0.3">
      <c r="A1114">
        <v>55650</v>
      </c>
      <c r="B1114" t="s">
        <v>11334</v>
      </c>
      <c r="C1114">
        <f>-662.505900671684 -45.1691792876711 -97.6707772338636</f>
        <v>-805.34585719321876</v>
      </c>
      <c r="D1114">
        <f>-680.878528592254 -55.8144632788828 -211.536245588181</f>
        <v>-948.22923745931791</v>
      </c>
      <c r="E1114">
        <f>-689.358850797112 -62.2566499515369 -309.583393916067</f>
        <v>-1061.1988946647159</v>
      </c>
      <c r="F1114">
        <f>-694.649399733175 -67.2715669868612 -398.381479052881</f>
        <v>-1160.3024457729171</v>
      </c>
      <c r="G1114">
        <f>-697.19622460541 -71.475844634741 -487.342510316211</f>
        <v>-1256.0145795563619</v>
      </c>
      <c r="H1114">
        <f>-697.856899696146 -76.5728928014562 -611.819165714725</f>
        <v>-1386.2489582123271</v>
      </c>
      <c r="I1114">
        <f>-670.540341845076 -75.8001365958073 -690.293513953171</f>
        <v>-1436.6339923940543</v>
      </c>
      <c r="J1114">
        <f>-701.688406959785 -46.9514267085192 -558.142257861953</f>
        <v>-1306.7820915302573</v>
      </c>
      <c r="K1114" t="s">
        <v>11335</v>
      </c>
      <c r="L1114" t="s">
        <v>11336</v>
      </c>
      <c r="M1114" t="s">
        <v>11337</v>
      </c>
      <c r="N1114">
        <f>-693.444035151045 -101.708704775695 -555.943865963317</f>
        <v>-1351.0966058900569</v>
      </c>
      <c r="O1114">
        <f>-674.577067609448 -233.06883282064 -520.067390922719</f>
        <v>-1427.7132913528071</v>
      </c>
      <c r="P1114">
        <f>-641.465077871509 -272.067313794 -230.284794164716</f>
        <v>-1143.8171858302251</v>
      </c>
      <c r="Q1114">
        <f>-503.961349072117 -75.1645929075207 -249.596063137338</f>
        <v>-828.72200511697565</v>
      </c>
      <c r="R1114" t="s">
        <v>11338</v>
      </c>
      <c r="S1114" t="s">
        <v>11339</v>
      </c>
      <c r="T1114" t="s">
        <v>11340</v>
      </c>
      <c r="U1114" t="s">
        <v>11341</v>
      </c>
      <c r="V1114">
        <f>-635.283319325602 -137.011983066463 -94.6106108594937</f>
        <v>-866.90591325155867</v>
      </c>
      <c r="W1114" t="s">
        <v>11342</v>
      </c>
      <c r="X1114" t="s">
        <v>11343</v>
      </c>
      <c r="Y1114" t="s">
        <v>11344</v>
      </c>
    </row>
    <row r="1115" spans="1:25" x14ac:dyDescent="0.3">
      <c r="A1115">
        <v>55700</v>
      </c>
      <c r="B1115" t="s">
        <v>11345</v>
      </c>
      <c r="C1115">
        <f>-662.265645121851 -45.3716323852696 -97.6658606222475</f>
        <v>-805.30313812936799</v>
      </c>
      <c r="D1115">
        <f>-680.741813063733 -56.0467149981305 -211.511772027098</f>
        <v>-948.30030008896154</v>
      </c>
      <c r="E1115">
        <f>-689.39847996594 -62.4908767893783 -309.543302267774</f>
        <v>-1061.4326590230924</v>
      </c>
      <c r="F1115">
        <f>-694.883011347119 -67.4987515777354 -398.33001602857</f>
        <v>-1160.7117789534245</v>
      </c>
      <c r="G1115">
        <f>-697.656986155698 -71.6883900095686 -487.285178021703</f>
        <v>-1256.6305541869697</v>
      </c>
      <c r="H1115">
        <f>-698.669669588379 -76.7573956449396 -611.760358992214</f>
        <v>-1387.1874242255326</v>
      </c>
      <c r="I1115">
        <f>-671.557071059732 -75.9625611881072 -690.305337857505</f>
        <v>-1437.8249701053442</v>
      </c>
      <c r="J1115">
        <f>-702.254058781088 -47.1336842442133 -558.067704638694</f>
        <v>-1307.4554476639953</v>
      </c>
      <c r="K1115" t="s">
        <v>11346</v>
      </c>
      <c r="L1115" t="s">
        <v>11347</v>
      </c>
      <c r="M1115" t="s">
        <v>11348</v>
      </c>
      <c r="N1115">
        <f>-694.19401743453 -101.919874687994 -555.902119200729</f>
        <v>-1352.016011323253</v>
      </c>
      <c r="O1115">
        <f>-675.569222718763 -233.367858425372 -520.272106448237</f>
        <v>-1429.209187592372</v>
      </c>
      <c r="P1115">
        <f>-644.63191360816 -272.458515454376 -230.26184317874</f>
        <v>-1147.3522722412761</v>
      </c>
      <c r="Q1115">
        <f>-500.524451763358 -80.305845051241 -249.269066731094</f>
        <v>-830.099363545693</v>
      </c>
      <c r="R1115" t="s">
        <v>11349</v>
      </c>
      <c r="S1115" t="s">
        <v>11350</v>
      </c>
      <c r="T1115" t="s">
        <v>11351</v>
      </c>
      <c r="U1115" t="s">
        <v>11352</v>
      </c>
      <c r="V1115">
        <f>-635.027205095641 -137.231548764756 -94.6120618722447</f>
        <v>-866.87081573264163</v>
      </c>
      <c r="W1115" t="s">
        <v>11353</v>
      </c>
      <c r="X1115" t="s">
        <v>11354</v>
      </c>
      <c r="Y1115" t="s">
        <v>11355</v>
      </c>
    </row>
    <row r="1116" spans="1:25" x14ac:dyDescent="0.3">
      <c r="A1116">
        <v>55750</v>
      </c>
      <c r="B1116" t="s">
        <v>11356</v>
      </c>
      <c r="C1116">
        <f>-662.205815958823 -45.5585616917872 -97.6706576236531</f>
        <v>-805.43503527426333</v>
      </c>
      <c r="D1116">
        <f>-680.762530297616 -56.2543437815914 -211.501580917096</f>
        <v>-948.51845499630338</v>
      </c>
      <c r="E1116">
        <f>-689.523800464387 -62.6954749846059 -309.52403189154</f>
        <v>-1061.743307340533</v>
      </c>
      <c r="F1116">
        <f>-695.116165422271 -67.6924693279445 -398.304677491129</f>
        <v>-1161.1133122413446</v>
      </c>
      <c r="G1116">
        <f>-698.011178969183 -71.8637222226068 -487.256669827959</f>
        <v>-1257.1315710197489</v>
      </c>
      <c r="H1116">
        <f>-699.206119611029 -76.8996839359361 -611.731664925725</f>
        <v>-1387.83746847269</v>
      </c>
      <c r="I1116">
        <f>-672.203751903384 -76.0975289892151 -690.314390175009</f>
        <v>-1438.6156710676082</v>
      </c>
      <c r="J1116">
        <f>-702.669530424492 -47.2842195057581 -558.026542073532</f>
        <v>-1307.9802920037821</v>
      </c>
      <c r="K1116" t="s">
        <v>11357</v>
      </c>
      <c r="L1116" t="s">
        <v>11358</v>
      </c>
      <c r="M1116" t="s">
        <v>11359</v>
      </c>
      <c r="N1116">
        <f>-694.691147613139 -102.083159889406 -555.886138058585</f>
        <v>-1352.66044556113</v>
      </c>
      <c r="O1116">
        <f>-676.166430461586 -233.591421548316 -520.375048525955</f>
        <v>-1430.1329005358571</v>
      </c>
      <c r="P1116">
        <f>-645.783790187198 -273.0567962937 -230.356782500421</f>
        <v>-1149.197368981319</v>
      </c>
      <c r="Q1116">
        <f>-499.053801188246 -82.8499597039865 -248.865290667761</f>
        <v>-830.7690515599935</v>
      </c>
      <c r="R1116" t="s">
        <v>11360</v>
      </c>
      <c r="S1116" t="s">
        <v>11361</v>
      </c>
      <c r="T1116" t="s">
        <v>11362</v>
      </c>
      <c r="U1116" t="s">
        <v>11363</v>
      </c>
      <c r="V1116">
        <f>-635.010826139993 -137.461657595049 -94.6141643270562</f>
        <v>-867.08664806209822</v>
      </c>
      <c r="W1116" t="s">
        <v>11364</v>
      </c>
      <c r="X1116" t="s">
        <v>11365</v>
      </c>
      <c r="Y1116" t="s">
        <v>11366</v>
      </c>
    </row>
    <row r="1117" spans="1:25" x14ac:dyDescent="0.3">
      <c r="A1117">
        <v>55800</v>
      </c>
      <c r="B1117" t="s">
        <v>11367</v>
      </c>
      <c r="C1117">
        <f>-662.166193070924 -45.6410515983664 -97.6824297725904</f>
        <v>-805.48967444188077</v>
      </c>
      <c r="D1117">
        <f>-680.76827835407 -56.3462790995736 -211.505000417403</f>
        <v>-948.61955787104671</v>
      </c>
      <c r="E1117">
        <f>-689.632781431144 -62.7581798736367 -309.520159235546</f>
        <v>-1061.9111205403267</v>
      </c>
      <c r="F1117">
        <f>-695.34366398567 -67.7125621871633 -398.295626710421</f>
        <v>-1161.3518528832542</v>
      </c>
      <c r="G1117">
        <f>-698.38190870815 -71.824818085368 -487.245642796772</f>
        <v>-1257.4523695902899</v>
      </c>
      <c r="H1117">
        <f>-699.802344532564 -76.7608462299609 -611.722162458736</f>
        <v>-1388.2853532212607</v>
      </c>
      <c r="I1117">
        <f>-672.90615599277 -75.9312412552597 -690.341189993561</f>
        <v>-1439.1785872415908</v>
      </c>
      <c r="J1117">
        <f>-703.142210299653 -47.1845882611585 -557.987654909957</f>
        <v>-1308.3144534707685</v>
      </c>
      <c r="K1117" t="s">
        <v>11368</v>
      </c>
      <c r="L1117" t="s">
        <v>11369</v>
      </c>
      <c r="M1117" t="s">
        <v>11370</v>
      </c>
      <c r="N1117">
        <f>-695.212435699038 -101.992894184844 -555.904825994512</f>
        <v>-1353.1101558783939</v>
      </c>
      <c r="O1117">
        <f>-676.806806298564 -233.567701347002 -520.568167927452</f>
        <v>-1430.9426755730178</v>
      </c>
      <c r="P1117">
        <f>-646.765412228146 -273.447476089111 -230.570991444207</f>
        <v>-1150.783879761464</v>
      </c>
      <c r="Q1117">
        <f>-497.937149673488 -84.811429560337 -248.388960318881</f>
        <v>-831.13753955270602</v>
      </c>
      <c r="R1117" t="s">
        <v>11371</v>
      </c>
      <c r="S1117" t="s">
        <v>11372</v>
      </c>
      <c r="T1117" t="s">
        <v>11373</v>
      </c>
      <c r="U1117" t="s">
        <v>11374</v>
      </c>
      <c r="V1117">
        <f>-634.987385260105 -137.529904604439 -94.6092242806019</f>
        <v>-867.12651414514596</v>
      </c>
      <c r="W1117" t="s">
        <v>11375</v>
      </c>
      <c r="X1117" t="s">
        <v>11376</v>
      </c>
      <c r="Y1117" t="s">
        <v>11377</v>
      </c>
    </row>
    <row r="1118" spans="1:25" x14ac:dyDescent="0.3">
      <c r="A1118">
        <v>55850</v>
      </c>
      <c r="B1118" t="s">
        <v>11378</v>
      </c>
      <c r="C1118">
        <f>-662.335871741185 -45.8964494853276 -97.6948854566796</f>
        <v>-805.92720668319214</v>
      </c>
      <c r="D1118">
        <f>-680.979452434581 -56.5777426844097 -211.512863912752</f>
        <v>-949.07005903174274</v>
      </c>
      <c r="E1118">
        <f>-690.010447353268 -62.8650800188925 -309.520847439838</f>
        <v>-1062.3963748119986</v>
      </c>
      <c r="F1118">
        <f>-695.923361973635 -67.6607225453931 -398.291908790287</f>
        <v>-1161.8759933093152</v>
      </c>
      <c r="G1118">
        <f>-699.213933017378 -71.5663597384498 -487.242183966101</f>
        <v>-1258.0224767219288</v>
      </c>
      <c r="H1118">
        <f>-701.038854285825 -76.1606666751079 -611.726718543431</f>
        <v>-1388.9262395043638</v>
      </c>
      <c r="I1118">
        <f>-674.29794934557 -75.1910882811158 -690.396885948438</f>
        <v>-1439.8859235751238</v>
      </c>
      <c r="J1118">
        <f>-704.200510274826 -46.7315704896916 -557.900643868758</f>
        <v>-1308.8327246332756</v>
      </c>
      <c r="K1118" t="s">
        <v>11379</v>
      </c>
      <c r="L1118" t="s">
        <v>11380</v>
      </c>
      <c r="M1118" t="s">
        <v>11381</v>
      </c>
      <c r="N1118">
        <f>-696.271075127862 -101.546226605401 -555.9937111198</f>
        <v>-1353.8110128530629</v>
      </c>
      <c r="O1118">
        <f>-678.014762415793 -233.251684084946 -521.108658158303</f>
        <v>-1432.3751046590419</v>
      </c>
      <c r="P1118">
        <f>-648.100086564033 -274.161667212599 -231.241961484557</f>
        <v>-1153.503715261189</v>
      </c>
      <c r="Q1118">
        <f>-497.252214122145 -87.0792051358808 -248.445013969231</f>
        <v>-832.7764332272568</v>
      </c>
      <c r="R1118" t="s">
        <v>11382</v>
      </c>
      <c r="S1118" t="s">
        <v>11383</v>
      </c>
      <c r="T1118" t="s">
        <v>11384</v>
      </c>
      <c r="U1118" t="s">
        <v>11385</v>
      </c>
      <c r="V1118">
        <f>-635.358571239178 -137.797160138647 -94.5977937813171</f>
        <v>-867.7535251591421</v>
      </c>
      <c r="W1118" t="s">
        <v>11386</v>
      </c>
      <c r="X1118" t="s">
        <v>11387</v>
      </c>
      <c r="Y1118" t="s">
        <v>11388</v>
      </c>
    </row>
    <row r="1119" spans="1:25" x14ac:dyDescent="0.3">
      <c r="A1119">
        <v>55900</v>
      </c>
      <c r="B1119" t="s">
        <v>11389</v>
      </c>
      <c r="C1119">
        <f>-662.567791982072 -45.8532364067346 -97.6718307832034</f>
        <v>-806.09285917200998</v>
      </c>
      <c r="D1119">
        <f>-681.184333589309 -56.4577979697885 -211.501546465144</f>
        <v>-949.14367802424147</v>
      </c>
      <c r="E1119">
        <f>-690.232347068322 -62.5931792941421 -309.517532149409</f>
        <v>-1062.3430585118731</v>
      </c>
      <c r="F1119">
        <f>-696.175951906933 -67.2133758456785 -398.295713928013</f>
        <v>-1161.6850416806246</v>
      </c>
      <c r="G1119">
        <f>-699.512270814325 -70.9042648536902 -487.253542834189</f>
        <v>-1257.6700785022042</v>
      </c>
      <c r="H1119">
        <f>-701.415736588979 -75.1558027922588 -611.748954409159</f>
        <v>-1388.3204937903968</v>
      </c>
      <c r="I1119">
        <f>-674.745757932659 -73.9877438217936 -690.440549083582</f>
        <v>-1439.1740508380346</v>
      </c>
      <c r="J1119">
        <f>-704.547826499834 -45.8757460341919 -557.840001443845</f>
        <v>-1308.2635739778709</v>
      </c>
      <c r="K1119" t="s">
        <v>11390</v>
      </c>
      <c r="L1119" t="s">
        <v>11391</v>
      </c>
      <c r="M1119" t="s">
        <v>11392</v>
      </c>
      <c r="N1119">
        <f>-696.608254703898 -100.694185593125 -556.08923369115</f>
        <v>-1353.3916739881729</v>
      </c>
      <c r="O1119">
        <f>-678.410102379038 -232.465439949328 -521.440261648418</f>
        <v>-1432.3158039767841</v>
      </c>
      <c r="P1119">
        <f>-646.746684611345 -275.18291886419 -232.020378709738</f>
        <v>-1153.949982185273</v>
      </c>
      <c r="Q1119">
        <f>-499.962970978934 -84.9169909140969 -249.463243739876</f>
        <v>-834.34320563290692</v>
      </c>
      <c r="R1119" t="s">
        <v>11393</v>
      </c>
      <c r="S1119" t="s">
        <v>11394</v>
      </c>
      <c r="T1119" t="s">
        <v>11395</v>
      </c>
      <c r="U1119" t="s">
        <v>11396</v>
      </c>
      <c r="V1119">
        <f>-635.766344366161 -137.693718482056 -94.602076148111</f>
        <v>-868.06213899632792</v>
      </c>
      <c r="W1119" t="s">
        <v>11397</v>
      </c>
      <c r="X1119" t="s">
        <v>11398</v>
      </c>
      <c r="Y1119" t="s">
        <v>11399</v>
      </c>
    </row>
    <row r="1120" spans="1:25" x14ac:dyDescent="0.3">
      <c r="A1120">
        <v>55950</v>
      </c>
      <c r="B1120" t="s">
        <v>11400</v>
      </c>
      <c r="C1120">
        <f>-662.741389614807 -45.8847874118212 -97.6418412922094</f>
        <v>-806.26801831883756</v>
      </c>
      <c r="D1120">
        <f>-681.35390777675 -56.4557372538675 -211.475267175659</f>
        <v>-949.28491220627654</v>
      </c>
      <c r="E1120">
        <f>-690.376461567721 -62.5268425020433 -309.497621402488</f>
        <v>-1062.4009254722523</v>
      </c>
      <c r="F1120">
        <f>-696.288175341952 -67.0739471452932 -398.281756397695</f>
        <v>-1161.6438788849402</v>
      </c>
      <c r="G1120">
        <f>-699.583023266307 -70.6762361681981 -487.244663497895</f>
        <v>-1257.5039229324002</v>
      </c>
      <c r="H1120">
        <f>-701.418709490064 -74.7877121896915 -611.745862678889</f>
        <v>-1387.9522843586446</v>
      </c>
      <c r="I1120">
        <f>-674.758574239158 -73.5030965378496 -690.439103537996</f>
        <v>-1438.7007743150034</v>
      </c>
      <c r="J1120">
        <f>-704.592190176191 -45.5699991868412 -557.805473258593</f>
        <v>-1307.9676626216251</v>
      </c>
      <c r="K1120" t="s">
        <v>11401</v>
      </c>
      <c r="L1120" t="s">
        <v>11402</v>
      </c>
      <c r="M1120" t="s">
        <v>11403</v>
      </c>
      <c r="N1120">
        <f>-696.629673528479 -100.386960364653 -556.112601947682</f>
        <v>-1353.1292358408141</v>
      </c>
      <c r="O1120">
        <f>-678.375008702518 -232.172963550759 -521.559934938559</f>
        <v>-1432.1079071918361</v>
      </c>
      <c r="P1120">
        <f>-646.210996841204 -275.264523893263 -232.250677475657</f>
        <v>-1153.726198210124</v>
      </c>
      <c r="Q1120">
        <f>-501.747286872704 -83.1696795782414 -249.005409407751</f>
        <v>-833.92237585869645</v>
      </c>
      <c r="R1120" t="s">
        <v>11404</v>
      </c>
      <c r="S1120" t="s">
        <v>11405</v>
      </c>
      <c r="T1120" t="s">
        <v>11406</v>
      </c>
      <c r="U1120" t="s">
        <v>11407</v>
      </c>
      <c r="V1120">
        <f>-636.035957666113 -137.792244562837 -94.5865845171016</f>
        <v>-868.41478674605264</v>
      </c>
      <c r="W1120" t="s">
        <v>11408</v>
      </c>
      <c r="X1120" t="s">
        <v>11409</v>
      </c>
      <c r="Y1120" t="s">
        <v>11410</v>
      </c>
    </row>
    <row r="1121" spans="1:25" x14ac:dyDescent="0.3">
      <c r="A1121">
        <v>56000</v>
      </c>
      <c r="B1121" t="s">
        <v>11411</v>
      </c>
      <c r="C1121">
        <f>-662.802851850623 -46.0725254222673 -97.6329112893347</f>
        <v>-806.50828856222506</v>
      </c>
      <c r="D1121">
        <f>-681.447481245059 -56.6172199675402 -211.463534634411</f>
        <v>-949.52823584701014</v>
      </c>
      <c r="E1121">
        <f>-690.459213607585 -62.6149439458272 -309.491357278796</f>
        <v>-1062.5655148322082</v>
      </c>
      <c r="F1121">
        <f>-696.345139859003 -67.0752179539979 -398.281689791526</f>
        <v>-1161.7020476045268</v>
      </c>
      <c r="G1121">
        <f>-699.597593523555 -70.5698742295713 -487.25041634137</f>
        <v>-1257.4178840944962</v>
      </c>
      <c r="H1121">
        <f>-701.356590147911 -74.5088243496898 -611.75826262275</f>
        <v>-1387.6236771203507</v>
      </c>
      <c r="I1121">
        <f>-674.716513051612 -73.0418785196093 -690.455131501025</f>
        <v>-1438.2135230722463</v>
      </c>
      <c r="J1121">
        <f>-704.592552215349 -45.3701503114955 -557.778938802234</f>
        <v>-1307.7416413290784</v>
      </c>
      <c r="K1121" t="s">
        <v>11412</v>
      </c>
      <c r="L1121" t="s">
        <v>11413</v>
      </c>
      <c r="M1121" t="s">
        <v>11414</v>
      </c>
      <c r="N1121">
        <f>-696.572445944286 -100.180798518643 -556.158243733175</f>
        <v>-1352.9114881961041</v>
      </c>
      <c r="O1121">
        <f>-678.17022072572 -231.954061732549 -521.580987295775</f>
        <v>-1431.7052697540439</v>
      </c>
      <c r="P1121">
        <f>-645.594284061914 -273.904404511742 -232.15026039279</f>
        <v>-1151.6489489664459</v>
      </c>
      <c r="Q1121">
        <f>-504.998097321794 -78.9111471512711 -248.312296800688</f>
        <v>-832.22154127375302</v>
      </c>
      <c r="R1121" t="s">
        <v>11415</v>
      </c>
      <c r="S1121" t="s">
        <v>11416</v>
      </c>
      <c r="T1121" t="s">
        <v>11417</v>
      </c>
      <c r="U1121" t="s">
        <v>11418</v>
      </c>
      <c r="V1121">
        <f>-636.049012626458 -137.998899794059 -94.619448318124</f>
        <v>-868.66736073864092</v>
      </c>
      <c r="W1121" t="s">
        <v>11419</v>
      </c>
      <c r="X1121" t="s">
        <v>11420</v>
      </c>
      <c r="Y1121" t="s">
        <v>11421</v>
      </c>
    </row>
    <row r="1122" spans="1:25" x14ac:dyDescent="0.3">
      <c r="A1122">
        <v>56050</v>
      </c>
      <c r="B1122" t="s">
        <v>11422</v>
      </c>
      <c r="C1122">
        <f>-662.869901935831 -46.2542475898226 -97.6220390851835</f>
        <v>-806.74618861083707</v>
      </c>
      <c r="D1122">
        <f>-681.547720612201 -56.7837130023822 -211.448636690479</f>
        <v>-949.78007030506228</v>
      </c>
      <c r="E1122">
        <f>-690.520588131995 -62.7535802802238 -309.481796303652</f>
        <v>-1062.755964715871</v>
      </c>
      <c r="F1122">
        <f>-696.343591711634 -67.1835134318128 -398.277756163306</f>
        <v>-1161.8048613067526</v>
      </c>
      <c r="G1122">
        <f>-699.50529048119 -70.6436047911589 -487.251230807035</f>
        <v>-1257.4001260793839</v>
      </c>
      <c r="H1122">
        <f>-701.107998525168 -74.5303659358901 -611.762757718004</f>
        <v>-1387.401122179062</v>
      </c>
      <c r="I1122">
        <f>-674.448345942942 -72.9939785847134 -690.451620434545</f>
        <v>-1437.8939449622003</v>
      </c>
      <c r="J1122">
        <f>-704.418763933711 -45.4153636424896 -557.775110595077</f>
        <v>-1307.6092381712776</v>
      </c>
      <c r="K1122" t="s">
        <v>11423</v>
      </c>
      <c r="L1122" t="s">
        <v>11424</v>
      </c>
      <c r="M1122" t="s">
        <v>11425</v>
      </c>
      <c r="N1122">
        <f>-696.386669659917 -100.224638121803 -556.167574792815</f>
        <v>-1352.7788825745349</v>
      </c>
      <c r="O1122">
        <f>-677.990055689112 -232.025914502618 -521.664335471719</f>
        <v>-1431.680305663449</v>
      </c>
      <c r="P1122">
        <f>-645.326955366421 -273.825121807422 -232.221405753887</f>
        <v>-1151.37348292773</v>
      </c>
      <c r="Q1122">
        <f>-505.510167381318 -78.2865578509843 -248.554624629872</f>
        <v>-832.35134986217429</v>
      </c>
      <c r="R1122" t="s">
        <v>11426</v>
      </c>
      <c r="S1122" t="s">
        <v>11427</v>
      </c>
      <c r="T1122" t="s">
        <v>11428</v>
      </c>
      <c r="U1122" t="s">
        <v>11429</v>
      </c>
      <c r="V1122">
        <f>-636.171445054355 -138.213637176264 -94.6232457585081</f>
        <v>-869.00832798912711</v>
      </c>
      <c r="W1122" t="s">
        <v>11430</v>
      </c>
      <c r="X1122" t="s">
        <v>11431</v>
      </c>
      <c r="Y1122" t="s">
        <v>11432</v>
      </c>
    </row>
    <row r="1123" spans="1:25" x14ac:dyDescent="0.3">
      <c r="A1123">
        <v>56100</v>
      </c>
      <c r="B1123" t="s">
        <v>11433</v>
      </c>
      <c r="C1123">
        <f>-663.194636896461 -46.4867987119735 -97.5851605161159</f>
        <v>-807.26659612455046</v>
      </c>
      <c r="D1123">
        <f>-681.962156774218 -57.0045387269954 -211.398096949284</f>
        <v>-950.36479245049736</v>
      </c>
      <c r="E1123">
        <f>-690.877251283526 -62.9052393380332 -309.440706320121</f>
        <v>-1063.2231969416803</v>
      </c>
      <c r="F1123">
        <f>-696.592594895486 -67.251674350581 -398.247842430801</f>
        <v>-1162.0921116768679</v>
      </c>
      <c r="G1123">
        <f>-699.590433243515 -70.608460653063 -487.230786479929</f>
        <v>-1257.4296803765071</v>
      </c>
      <c r="H1123">
        <f>-700.904798396298 -74.3316178860241 -611.7508845868</f>
        <v>-1386.987300869122</v>
      </c>
      <c r="I1123">
        <f>-674.154177058797 -72.6667070295618 -690.406110280596</f>
        <v>-1437.2269943689548</v>
      </c>
      <c r="J1123">
        <f>-704.334748204509 -45.286758579974 -557.732802107386</f>
        <v>-1307.3543088918691</v>
      </c>
      <c r="K1123" t="s">
        <v>11434</v>
      </c>
      <c r="L1123" t="s">
        <v>11435</v>
      </c>
      <c r="M1123" t="s">
        <v>11436</v>
      </c>
      <c r="N1123">
        <f>-696.318154533328 -100.099889966037 -556.178512411125</f>
        <v>-1352.5965569104901</v>
      </c>
      <c r="O1123">
        <f>-677.946333179631 -231.94129737145 -521.852300304345</f>
        <v>-1431.7399308554259</v>
      </c>
      <c r="P1123">
        <f>-645.369759138689 -273.966629663125 -232.432471853956</f>
        <v>-1151.7688606557699</v>
      </c>
      <c r="Q1123">
        <f>-506.561631918292 -77.7701380940769 -249.464565757801</f>
        <v>-833.79633577016989</v>
      </c>
      <c r="R1123" t="s">
        <v>11437</v>
      </c>
      <c r="S1123" t="s">
        <v>11438</v>
      </c>
      <c r="T1123" t="s">
        <v>11439</v>
      </c>
      <c r="U1123" t="s">
        <v>11440</v>
      </c>
      <c r="V1123">
        <f>-636.532822510542 -138.601278038131 -94.5803843683301</f>
        <v>-869.71448491700312</v>
      </c>
      <c r="W1123" t="s">
        <v>11441</v>
      </c>
      <c r="X1123" t="s">
        <v>11442</v>
      </c>
      <c r="Y1123" t="s">
        <v>11443</v>
      </c>
    </row>
    <row r="1124" spans="1:25" x14ac:dyDescent="0.3">
      <c r="A1124">
        <v>56150</v>
      </c>
      <c r="B1124" t="s">
        <v>11444</v>
      </c>
      <c r="C1124">
        <f>-663.322404513535 -46.5413338221135 -97.5804643068327</f>
        <v>-807.44420264248129</v>
      </c>
      <c r="D1124">
        <f>-682.115606231456 -57.0632364122589 -211.388736300416</f>
        <v>-950.5675789441309</v>
      </c>
      <c r="E1124">
        <f>-691.035331893622 -62.9415270890265 -309.43221964787</f>
        <v>-1063.4090786305185</v>
      </c>
      <c r="F1124">
        <f>-696.747129461639 -67.2573119451586 -398.240960991023</f>
        <v>-1162.2454023978205</v>
      </c>
      <c r="G1124">
        <f>-699.733570947341 -70.5736927720832 -487.225900567391</f>
        <v>-1257.5331642868152</v>
      </c>
      <c r="H1124">
        <f>-701.022751211051 -74.2305870169296 -611.748129779011</f>
        <v>-1387.0014680069917</v>
      </c>
      <c r="I1124">
        <f>-674.243745730187 -72.5143494591096 -690.392649080344</f>
        <v>-1437.1507442696407</v>
      </c>
      <c r="J1124">
        <f>-704.452888259705 -45.2127967568417 -557.715573470848</f>
        <v>-1307.3812584873947</v>
      </c>
      <c r="K1124" t="s">
        <v>11445</v>
      </c>
      <c r="L1124" t="s">
        <v>11446</v>
      </c>
      <c r="M1124" t="s">
        <v>11447</v>
      </c>
      <c r="N1124">
        <f>-696.458208325517 -100.029890752924 -556.188645165944</f>
        <v>-1352.676744244385</v>
      </c>
      <c r="O1124">
        <f>-678.148209782752 -231.910286593276 -521.947169276414</f>
        <v>-1432.0056656524421</v>
      </c>
      <c r="P1124">
        <f>-646.019980680934 -274.298248047804 -232.530190543746</f>
        <v>-1152.8484192724841</v>
      </c>
      <c r="Q1124">
        <f>-507.138256045648 -78.1710054252012 -249.759999451222</f>
        <v>-835.06926092207118</v>
      </c>
      <c r="R1124" t="s">
        <v>11448</v>
      </c>
      <c r="S1124" t="s">
        <v>11449</v>
      </c>
      <c r="T1124" t="s">
        <v>11450</v>
      </c>
      <c r="U1124" t="s">
        <v>11451</v>
      </c>
      <c r="V1124">
        <f>-636.646470854389 -138.721047385413 -94.5799038902006</f>
        <v>-869.94742213000256</v>
      </c>
      <c r="W1124" t="s">
        <v>11452</v>
      </c>
      <c r="X1124" t="s">
        <v>11453</v>
      </c>
      <c r="Y1124" t="s">
        <v>11454</v>
      </c>
    </row>
    <row r="1125" spans="1:25" x14ac:dyDescent="0.3">
      <c r="A1125">
        <v>56200</v>
      </c>
      <c r="B1125" t="s">
        <v>11455</v>
      </c>
      <c r="C1125">
        <f>-663.442286886703 -46.5903636037337 -97.5656093544914</f>
        <v>-807.59825984492807</v>
      </c>
      <c r="D1125">
        <f>-682.290829664632 -57.1162616831909 -211.364458095394</f>
        <v>-950.77154944321705</v>
      </c>
      <c r="E1125">
        <f>-691.25620626473 -62.9475869296839 -309.406637547561</f>
        <v>-1063.6104307419751</v>
      </c>
      <c r="F1125">
        <f>-697.007628363795 -67.2012262935248 -398.215755782268</f>
        <v>-1162.4246104395877</v>
      </c>
      <c r="G1125">
        <f>-700.030644083368 -70.437029482325 -487.2024840726</f>
        <v>-1257.6701576382929</v>
      </c>
      <c r="H1125">
        <f>-701.367587281393 -73.9621882781394 -611.727970818093</f>
        <v>-1387.0577463776253</v>
      </c>
      <c r="I1125">
        <f>-674.564914836034 -72.2090544839145 -690.363710240724</f>
        <v>-1437.1376795606725</v>
      </c>
      <c r="J1125">
        <f>-704.715557825208 -44.9926592348536 -557.664485079105</f>
        <v>-1307.3727021391664</v>
      </c>
      <c r="K1125" t="s">
        <v>11456</v>
      </c>
      <c r="L1125" t="s">
        <v>11457</v>
      </c>
      <c r="M1125" t="s">
        <v>11458</v>
      </c>
      <c r="N1125">
        <f>-696.842862866556 -99.8292157133806 -556.196597759523</f>
        <v>-1352.8686763394594</v>
      </c>
      <c r="O1125">
        <f>-678.892999520185 -231.776331574843 -522.066877845215</f>
        <v>-1432.7362089402429</v>
      </c>
      <c r="P1125">
        <f>-648.098666272868 -274.939243277651 -232.619437231069</f>
        <v>-1155.6573467815879</v>
      </c>
      <c r="Q1125">
        <f>-506.401973673822 -80.8252513350337 -249.727528765921</f>
        <v>-836.95475377477669</v>
      </c>
      <c r="R1125" t="s">
        <v>11459</v>
      </c>
      <c r="S1125" t="s">
        <v>11460</v>
      </c>
      <c r="T1125" t="s">
        <v>11461</v>
      </c>
      <c r="U1125" t="s">
        <v>11462</v>
      </c>
      <c r="V1125">
        <f>-636.829428928255 -138.667422741651 -94.5748199773425</f>
        <v>-870.07167164724842</v>
      </c>
      <c r="W1125" t="s">
        <v>11463</v>
      </c>
      <c r="X1125" t="s">
        <v>11464</v>
      </c>
      <c r="Y1125" t="s">
        <v>11465</v>
      </c>
    </row>
    <row r="1126" spans="1:25" x14ac:dyDescent="0.3">
      <c r="A1126">
        <v>56250</v>
      </c>
      <c r="B1126" t="s">
        <v>11466</v>
      </c>
      <c r="C1126">
        <f>-663.507607419851 -46.543070219104 -97.5661919652046</f>
        <v>-807.61686960415955</v>
      </c>
      <c r="D1126">
        <f>-682.391122043259 -57.067014005534 -211.359345708839</f>
        <v>-950.81748175763198</v>
      </c>
      <c r="E1126">
        <f>-691.384167300661 -62.8749123691421 -309.400519345627</f>
        <v>-1063.6595990154301</v>
      </c>
      <c r="F1126">
        <f>-697.158821161843 -67.0986007130455 -398.209556975449</f>
        <v>-1162.4669788503375</v>
      </c>
      <c r="G1126">
        <f>-700.203293090776 -70.2964256501675 -487.196829209029</f>
        <v>-1257.6965479499725</v>
      </c>
      <c r="H1126">
        <f>-701.567731474008 -73.7605629494069 -611.723700142072</f>
        <v>-1387.0519945654869</v>
      </c>
      <c r="I1126">
        <f>-674.726538668001 -72.0323033459968 -690.346860581404</f>
        <v>-1437.1057025954019</v>
      </c>
      <c r="J1126">
        <f>-704.867946269737 -44.8126094947954 -557.645717211258</f>
        <v>-1307.3262729757903</v>
      </c>
      <c r="K1126" t="s">
        <v>11467</v>
      </c>
      <c r="L1126" t="s">
        <v>11468</v>
      </c>
      <c r="M1126" t="s">
        <v>11469</v>
      </c>
      <c r="N1126">
        <f>-697.066723811112 -99.6599402542288 -556.205492549917</f>
        <v>-1352.9321566152578</v>
      </c>
      <c r="O1126">
        <f>-679.223092383947 -231.628407792165 -522.09744179311</f>
        <v>-1432.948941969222</v>
      </c>
      <c r="P1126">
        <f>-649.697460745229 -274.89513428923 -232.533125446762</f>
        <v>-1157.1257204812209</v>
      </c>
      <c r="Q1126">
        <f>-504.930218408701 -83.1064027804041 -250.152367833881</f>
        <v>-838.18898902298611</v>
      </c>
      <c r="R1126" t="s">
        <v>11470</v>
      </c>
      <c r="S1126" t="s">
        <v>11471</v>
      </c>
      <c r="T1126" t="s">
        <v>11472</v>
      </c>
      <c r="U1126" t="s">
        <v>11473</v>
      </c>
      <c r="V1126">
        <f>-636.906342761906 -138.574221378631 -94.5729414943117</f>
        <v>-870.05350563484876</v>
      </c>
      <c r="W1126" t="s">
        <v>11474</v>
      </c>
      <c r="X1126" t="s">
        <v>11475</v>
      </c>
      <c r="Y1126" t="s">
        <v>11476</v>
      </c>
    </row>
    <row r="1127" spans="1:25" x14ac:dyDescent="0.3">
      <c r="A1127">
        <v>56300</v>
      </c>
      <c r="B1127" t="s">
        <v>11477</v>
      </c>
      <c r="C1127">
        <f>-663.658906196917 -46.6154994301942 -97.5573654271216</f>
        <v>-807.83177105423272</v>
      </c>
      <c r="D1127">
        <f>-682.629182513694 -57.1326730444905 -211.336717563181</f>
        <v>-951.09857312136546</v>
      </c>
      <c r="E1127">
        <f>-691.659406087152 -62.9032921673099 -309.37652471668</f>
        <v>-1063.939222971142</v>
      </c>
      <c r="F1127">
        <f>-697.452053419057 -67.0812687127866 -398.186782622842</f>
        <v>-1162.7201047546855</v>
      </c>
      <c r="G1127">
        <f>-700.497915519559 -70.2231646701896 -487.175982535984</f>
        <v>-1257.8970627257327</v>
      </c>
      <c r="H1127">
        <f>-701.846287728336 -73.5993972023018 -611.705560810336</f>
        <v>-1387.151245740974</v>
      </c>
      <c r="I1127">
        <f>-674.988182968286 -72.0092304188797 -690.325696682504</f>
        <v>-1437.3231100696698</v>
      </c>
      <c r="J1127">
        <f>-705.087169138257 -44.6801890612951 -557.608422963901</f>
        <v>-1307.3757811634532</v>
      </c>
      <c r="K1127" t="s">
        <v>11478</v>
      </c>
      <c r="L1127" t="s">
        <v>11479</v>
      </c>
      <c r="M1127" t="s">
        <v>11480</v>
      </c>
      <c r="N1127">
        <f>-697.418740056867 -99.5472114500431 -556.204008144823</f>
        <v>-1353.1699596517331</v>
      </c>
      <c r="O1127">
        <f>-679.842213512427 -231.573510365946 -522.18320157906</f>
        <v>-1433.5989254574329</v>
      </c>
      <c r="P1127">
        <f>-653.396465363517 -275.213824874386 -232.377521577232</f>
        <v>-1160.987811815135</v>
      </c>
      <c r="Q1127">
        <f>-499.232831234899 -90.9831608467641 -250.911062475066</f>
        <v>-841.12705455672904</v>
      </c>
      <c r="R1127" t="s">
        <v>11481</v>
      </c>
      <c r="S1127" t="s">
        <v>11482</v>
      </c>
      <c r="T1127" t="s">
        <v>11483</v>
      </c>
      <c r="U1127" t="s">
        <v>11484</v>
      </c>
      <c r="V1127">
        <f>-637.17269588232 -138.666092535237 -94.5799021237914</f>
        <v>-870.41869054134838</v>
      </c>
      <c r="W1127" t="s">
        <v>11485</v>
      </c>
      <c r="X1127" t="s">
        <v>11486</v>
      </c>
      <c r="Y1127" t="s">
        <v>11487</v>
      </c>
    </row>
    <row r="1128" spans="1:25" x14ac:dyDescent="0.3">
      <c r="A1128">
        <v>56350</v>
      </c>
      <c r="B1128" t="s">
        <v>11488</v>
      </c>
      <c r="C1128">
        <f>-663.843591255496 -46.6089875144392 -97.5491161449422</f>
        <v>-808.00169491487736</v>
      </c>
      <c r="D1128">
        <f>-682.864601297007 -57.115577114072 -211.320967021231</f>
        <v>-951.30114543231002</v>
      </c>
      <c r="E1128">
        <f>-691.873154110002 -62.8466415171697 -309.365062827161</f>
        <v>-1064.0848584543328</v>
      </c>
      <c r="F1128">
        <f>-697.619318357197 -66.9773920122566 -398.180419301676</f>
        <v>-1162.7771296711296</v>
      </c>
      <c r="G1128">
        <f>-700.591137864397 -70.0619299007792 -487.174217589438</f>
        <v>-1257.8272853546141</v>
      </c>
      <c r="H1128">
        <f>-701.807007817819 -73.3481167109469 -611.707569506923</f>
        <v>-1386.8626940356889</v>
      </c>
      <c r="I1128">
        <f>-674.931717572389 -71.8344224800885 -690.323384489834</f>
        <v>-1437.0895245423114</v>
      </c>
      <c r="J1128">
        <f>-705.08177250855 -44.4646698359838 -557.593346400678</f>
        <v>-1307.1397887452117</v>
      </c>
      <c r="K1128" t="s">
        <v>11489</v>
      </c>
      <c r="L1128" t="s">
        <v>11490</v>
      </c>
      <c r="M1128" t="s">
        <v>11491</v>
      </c>
      <c r="N1128">
        <f>-697.462134616318 -99.3393113873185 -556.2197852465</f>
        <v>-1353.0212312501367</v>
      </c>
      <c r="O1128">
        <f>-680.102391239571 -231.438206420741 -522.361418217404</f>
        <v>-1433.9020158777162</v>
      </c>
      <c r="P1128">
        <f>-654.673084966159 -275.434257701259 -232.518501222683</f>
        <v>-1162.6258438901009</v>
      </c>
      <c r="Q1128">
        <f>-496.161866345657 -95.0022062296889 -251.735692891204</f>
        <v>-842.89976546654998</v>
      </c>
      <c r="R1128" t="s">
        <v>11492</v>
      </c>
      <c r="S1128" t="s">
        <v>11493</v>
      </c>
      <c r="T1128" t="s">
        <v>11494</v>
      </c>
      <c r="U1128" t="s">
        <v>11495</v>
      </c>
      <c r="V1128">
        <f>-637.396814827254 -138.656538849245 -94.5782298649228</f>
        <v>-870.63158354142183</v>
      </c>
      <c r="W1128" t="s">
        <v>11496</v>
      </c>
      <c r="X1128" t="s">
        <v>11497</v>
      </c>
      <c r="Y1128" t="s">
        <v>11498</v>
      </c>
    </row>
    <row r="1129" spans="1:25" x14ac:dyDescent="0.3">
      <c r="A1129">
        <v>56400</v>
      </c>
      <c r="B1129" t="s">
        <v>11499</v>
      </c>
      <c r="C1129">
        <f>-664.085081163947 -46.7339148000001 -97.5340237938767</f>
        <v>-808.35301975782386</v>
      </c>
      <c r="D1129">
        <f>-683.158327701884 -57.219109550324 -211.299012450211</f>
        <v>-951.67644970241895</v>
      </c>
      <c r="E1129">
        <f>-692.164766268729 -62.896726167249 -309.346563991245</f>
        <v>-1064.4080564272228</v>
      </c>
      <c r="F1129">
        <f>-697.889433918415 -66.9654425521856 -398.166140898234</f>
        <v>-1163.0210173688347</v>
      </c>
      <c r="G1129">
        <f>-700.819977526515 -69.974582859564 -487.163832995377</f>
        <v>-1257.9583933814561</v>
      </c>
      <c r="H1129">
        <f>-701.956870537188 -73.1416608032987 -611.701019555936</f>
        <v>-1386.7995508964227</v>
      </c>
      <c r="I1129">
        <f>-674.967320438171 -71.692509063018 -690.27880947321</f>
        <v>-1436.9386389743991</v>
      </c>
      <c r="J1129">
        <f>-705.250955821289 -44.3079716777875 -557.561447861276</f>
        <v>-1307.1203753603525</v>
      </c>
      <c r="K1129" t="s">
        <v>11500</v>
      </c>
      <c r="L1129" t="s">
        <v>11501</v>
      </c>
      <c r="M1129" t="s">
        <v>11502</v>
      </c>
      <c r="N1129">
        <f>-697.662121238372 -99.1879576955675 -556.235185812977</f>
        <v>-1353.0852647469164</v>
      </c>
      <c r="O1129">
        <f>-680.406375486387 -231.340169322045 -522.555032830583</f>
        <v>-1434.3015776390148</v>
      </c>
      <c r="P1129">
        <f>-655.679328198697 -275.353145478436 -232.653930716867</f>
        <v>-1163.686404394</v>
      </c>
      <c r="Q1129">
        <f>-493.246993965543 -98.5236991279837 -252.603425387466</f>
        <v>-844.37411848099271</v>
      </c>
      <c r="R1129" t="s">
        <v>11503</v>
      </c>
      <c r="S1129" t="s">
        <v>11504</v>
      </c>
      <c r="T1129" t="s">
        <v>11505</v>
      </c>
      <c r="U1129" t="s">
        <v>11506</v>
      </c>
      <c r="V1129">
        <f>-637.694474409114 -138.869860762199 -94.5728233692505</f>
        <v>-871.13715854056352</v>
      </c>
      <c r="W1129" t="s">
        <v>11507</v>
      </c>
      <c r="X1129" t="s">
        <v>11508</v>
      </c>
      <c r="Y1129" t="s">
        <v>11509</v>
      </c>
    </row>
    <row r="1130" spans="1:25" x14ac:dyDescent="0.3">
      <c r="A1130">
        <v>56450</v>
      </c>
      <c r="B1130" t="s">
        <v>11510</v>
      </c>
      <c r="C1130">
        <f>-664.61362433174 -46.9745390576579 -97.4954469109726</f>
        <v>-809.08361030037054</v>
      </c>
      <c r="D1130">
        <f>-683.840562443995 -57.4382302350823 -211.236713163233</f>
        <v>-952.5155058423104</v>
      </c>
      <c r="E1130">
        <f>-692.963004610063 -63.0650643400372 -309.276319355381</f>
        <v>-1065.3043883054811</v>
      </c>
      <c r="F1130">
        <f>-698.785764521193 -67.0744842854724 -398.092205696245</f>
        <v>-1163.9524545029103</v>
      </c>
      <c r="G1130">
        <f>-701.807030092319 -70.0111649670196 -487.089351910526</f>
        <v>-1258.9075469698646</v>
      </c>
      <c r="H1130">
        <f>-703.062726117302 -73.0636243697943 -611.628117638514</f>
        <v>-1387.7544681256104</v>
      </c>
      <c r="I1130">
        <f>-675.861475059622 -71.7574904531937 -690.135527386892</f>
        <v>-1437.7544928997077</v>
      </c>
      <c r="J1130">
        <f>-706.270082224904 -44.2749080304236 -557.459688939323</f>
        <v>-1308.0046791946506</v>
      </c>
      <c r="K1130" t="s">
        <v>11511</v>
      </c>
      <c r="L1130" t="s">
        <v>11512</v>
      </c>
      <c r="M1130" t="s">
        <v>11513</v>
      </c>
      <c r="N1130">
        <f>-698.750241719359 -99.1658656342177 -556.190006088354</f>
        <v>-1354.1061134419306</v>
      </c>
      <c r="O1130">
        <f>-681.828226010571 -231.405921689637 -522.755682237183</f>
        <v>-1435.9898299373911</v>
      </c>
      <c r="P1130">
        <f>-657.480368748807 -273.629929286022 -232.556579998635</f>
        <v>-1163.6668780334639</v>
      </c>
      <c r="Q1130">
        <f>-488.196819995548 -103.601956240842 -254.566955032945</f>
        <v>-846.36573126933501</v>
      </c>
      <c r="R1130" t="s">
        <v>11514</v>
      </c>
      <c r="S1130" t="s">
        <v>11515</v>
      </c>
      <c r="T1130" t="s">
        <v>11516</v>
      </c>
      <c r="U1130" t="s">
        <v>11517</v>
      </c>
      <c r="V1130">
        <f>-638.305004042004 -139.072536097677 -94.569023531164</f>
        <v>-871.94656367084508</v>
      </c>
      <c r="W1130" t="s">
        <v>11518</v>
      </c>
      <c r="X1130" t="s">
        <v>11519</v>
      </c>
      <c r="Y1130" t="s">
        <v>11520</v>
      </c>
    </row>
    <row r="1131" spans="1:25" x14ac:dyDescent="0.3">
      <c r="A1131">
        <v>56500</v>
      </c>
      <c r="B1131" t="s">
        <v>11521</v>
      </c>
      <c r="C1131">
        <f>-665.160559829815 -47.3660180116885 -97.4313462273519</f>
        <v>-809.9579240688555</v>
      </c>
      <c r="D1131">
        <f>-684.536513180177 -57.8054993345886 -211.149424997524</f>
        <v>-953.49143751228962</v>
      </c>
      <c r="E1131">
        <f>-693.793019898798 -63.4192707314805 -309.177212480628</f>
        <v>-1066.3895031109064</v>
      </c>
      <c r="F1131">
        <f>-699.73953065222 -67.4191129295814 -397.985465220563</f>
        <v>-1165.1441088023644</v>
      </c>
      <c r="G1131">
        <f>-702.887172719258 -70.3492374242571 -486.978355577718</f>
        <v>-1260.2147657212331</v>
      </c>
      <c r="H1131">
        <f>-704.322155121014 -73.3955415346918 -611.515405381155</f>
        <v>-1389.2331020368608</v>
      </c>
      <c r="I1131">
        <f>-676.926344342708 -72.1797648345539 -689.956664818513</f>
        <v>-1439.0627739957749</v>
      </c>
      <c r="J1131">
        <f>-707.407227819618 -44.6036143018948 -557.341431278592</f>
        <v>-1309.3522734001049</v>
      </c>
      <c r="K1131" t="s">
        <v>11522</v>
      </c>
      <c r="L1131" t="s">
        <v>11523</v>
      </c>
      <c r="M1131" t="s">
        <v>11524</v>
      </c>
      <c r="N1131">
        <f>-699.974324179738 -99.5065582504797 -556.084179394358</f>
        <v>-1355.5650618245757</v>
      </c>
      <c r="O1131">
        <f>-683.380317968921 -231.853307187483 -522.758948077582</f>
        <v>-1437.9925732339859</v>
      </c>
      <c r="P1131">
        <f>-660.292498452692 -273.374068515449 -232.355577746388</f>
        <v>-1166.0221447145291</v>
      </c>
      <c r="Q1131">
        <f>-489.307249881366 -105.349014692249 -256.49086366932</f>
        <v>-851.14712824293497</v>
      </c>
      <c r="R1131" t="s">
        <v>11525</v>
      </c>
      <c r="S1131" t="s">
        <v>11526</v>
      </c>
      <c r="T1131" t="s">
        <v>11527</v>
      </c>
      <c r="U1131" t="s">
        <v>11528</v>
      </c>
      <c r="V1131">
        <f>-638.925274685229 -139.565358746337 -94.5302483305245</f>
        <v>-873.02088176209054</v>
      </c>
      <c r="W1131" t="s">
        <v>11529</v>
      </c>
      <c r="X1131" t="s">
        <v>11530</v>
      </c>
      <c r="Y1131" t="s">
        <v>11531</v>
      </c>
    </row>
    <row r="1132" spans="1:25" x14ac:dyDescent="0.3">
      <c r="A1132">
        <v>56550</v>
      </c>
      <c r="B1132" t="s">
        <v>11532</v>
      </c>
      <c r="C1132">
        <f>-665.437022458384 -47.6186099981212 -97.4066614758423</f>
        <v>-810.46229393234751</v>
      </c>
      <c r="D1132">
        <f>-684.853196895622 -58.0461592479728 -211.119044316284</f>
        <v>-954.01840045987876</v>
      </c>
      <c r="E1132">
        <f>-694.164228747773 -63.6457428208128 -309.142584926624</f>
        <v>-1066.9525564952098</v>
      </c>
      <c r="F1132">
        <f>-700.167977123906 -67.631268733327 -397.947354416839</f>
        <v>-1165.7466002740721</v>
      </c>
      <c r="G1132">
        <f>-703.380527695768 -70.5458666801005 -486.93860010951</f>
        <v>-1260.8649944853785</v>
      </c>
      <c r="H1132">
        <f>-704.914326899105 -73.5693366249695 -611.474953702114</f>
        <v>-1389.9586172261886</v>
      </c>
      <c r="I1132">
        <f>-677.494145199863 -72.3616653395243 -689.907825443057</f>
        <v>-1439.7636359824444</v>
      </c>
      <c r="J1132">
        <f>-707.915155762867 -44.7817520093897 -557.294042782437</f>
        <v>-1309.9909505546939</v>
      </c>
      <c r="K1132" t="s">
        <v>11533</v>
      </c>
      <c r="L1132" t="s">
        <v>11534</v>
      </c>
      <c r="M1132" t="s">
        <v>11535</v>
      </c>
      <c r="N1132">
        <f>-700.563660691492 -99.6959481419306 -556.051387858376</f>
        <v>-1356.3109966917987</v>
      </c>
      <c r="O1132">
        <f>-684.275311475288 -232.075385120883 -522.816455046505</f>
        <v>-1439.1671516426759</v>
      </c>
      <c r="P1132">
        <f>-661.947740339297 -273.373495360982 -232.321700989854</f>
        <v>-1167.642936690133</v>
      </c>
      <c r="Q1132">
        <f>-491.549758335784 -104.865366886279 -257.229363430125</f>
        <v>-853.64448865218799</v>
      </c>
      <c r="R1132" t="s">
        <v>11536</v>
      </c>
      <c r="S1132" t="s">
        <v>11537</v>
      </c>
      <c r="T1132" t="s">
        <v>11538</v>
      </c>
      <c r="U1132" t="s">
        <v>11539</v>
      </c>
      <c r="V1132">
        <f>-639.290991027541 -139.859520894151 -94.5045456331386</f>
        <v>-873.65505755483059</v>
      </c>
      <c r="W1132" t="s">
        <v>11540</v>
      </c>
      <c r="X1132" t="s">
        <v>11541</v>
      </c>
      <c r="Y1132" t="s">
        <v>11542</v>
      </c>
    </row>
    <row r="1133" spans="1:25" x14ac:dyDescent="0.3">
      <c r="A1133">
        <v>56600</v>
      </c>
      <c r="B1133" t="s">
        <v>11543</v>
      </c>
      <c r="C1133">
        <f>-666.059222438466 -47.9708790212983 -97.3519454604215</f>
        <v>-811.38204692018576</v>
      </c>
      <c r="D1133">
        <f>-685.559824885232 -58.3841780414173 -211.051157386177</f>
        <v>-954.99516031282633</v>
      </c>
      <c r="E1133">
        <f>-694.956059383264 -63.9643243199057 -309.067552428017</f>
        <v>-1067.9879361311866</v>
      </c>
      <c r="F1133">
        <f>-701.041336382258 -67.9296304975799 -397.867889634644</f>
        <v>-1166.8388565144819</v>
      </c>
      <c r="G1133">
        <f>-704.339113100899 -70.8235657779599 -486.856539554552</f>
        <v>-1262.019218433411</v>
      </c>
      <c r="H1133">
        <f>-705.995152048045 -73.8191458629424 -611.392112807095</f>
        <v>-1391.2064107180825</v>
      </c>
      <c r="I1133">
        <f>-678.531227045995 -72.631648583586 -689.809892642513</f>
        <v>-1440.9727682720941</v>
      </c>
      <c r="J1133">
        <f>-708.834952304285 -45.0294843721074 -557.203561581015</f>
        <v>-1311.0679982574075</v>
      </c>
      <c r="K1133" t="s">
        <v>11544</v>
      </c>
      <c r="L1133" t="s">
        <v>11545</v>
      </c>
      <c r="M1133" t="s">
        <v>11546</v>
      </c>
      <c r="N1133">
        <f>-701.697913436004 -99.9724106307556 -555.976903529174</f>
        <v>-1357.6472275959336</v>
      </c>
      <c r="O1133">
        <f>-686.124289668765 -232.479142576154 -522.844134002385</f>
        <v>-1441.4475662473039</v>
      </c>
      <c r="P1133">
        <f>-665.639613295706 -272.598655962683 -232.048623668294</f>
        <v>-1170.2868929266829</v>
      </c>
      <c r="Q1133">
        <f>-495.54057538318 -104.063899989767 -258.752938731779</f>
        <v>-858.3574141047261</v>
      </c>
      <c r="R1133" t="s">
        <v>11547</v>
      </c>
      <c r="S1133" t="s">
        <v>11548</v>
      </c>
      <c r="T1133" t="s">
        <v>11549</v>
      </c>
      <c r="U1133" t="s">
        <v>11550</v>
      </c>
      <c r="V1133">
        <f>-640.013912392022 -140.238951685393 -94.4575597471137</f>
        <v>-874.71042382452868</v>
      </c>
      <c r="W1133" t="s">
        <v>11551</v>
      </c>
      <c r="X1133" t="s">
        <v>11552</v>
      </c>
      <c r="Y1133" t="s">
        <v>11553</v>
      </c>
    </row>
    <row r="1134" spans="1:25" x14ac:dyDescent="0.3">
      <c r="A1134">
        <v>56650</v>
      </c>
      <c r="B1134" t="s">
        <v>11554</v>
      </c>
      <c r="C1134">
        <f>-666.406061658933 -48.1359948607274 -97.3178956563061</f>
        <v>-811.85995217596644</v>
      </c>
      <c r="D1134">
        <f>-685.945452461906 -58.5252660573301 -211.012612267565</f>
        <v>-955.48333078680116</v>
      </c>
      <c r="E1134">
        <f>-695.314985579344 -64.0804721746542 -309.033114970554</f>
        <v>-1068.4285727245522</v>
      </c>
      <c r="F1134">
        <f>-701.351475963129 -68.0220822292129 -397.837812456837</f>
        <v>-1167.2113706491789</v>
      </c>
      <c r="G1134">
        <f>-704.575825139619 -70.8929318716089 -486.829958231971</f>
        <v>-1262.2987152431988</v>
      </c>
      <c r="H1134">
        <f>-706.103218549327 -73.8575632302914 -611.367849857452</f>
        <v>-1391.3286316370704</v>
      </c>
      <c r="I1134">
        <f>-678.585335928724 -72.6489308937114 -689.766404994099</f>
        <v>-1441.0006718165346</v>
      </c>
      <c r="J1134">
        <f>-708.951376754461 -45.0751866838757 -557.175774213372</f>
        <v>-1311.2023376517086</v>
      </c>
      <c r="K1134" t="s">
        <v>11555</v>
      </c>
      <c r="L1134" t="s">
        <v>11556</v>
      </c>
      <c r="M1134" t="s">
        <v>11557</v>
      </c>
      <c r="N1134">
        <f>-701.910917052727 -100.030760389809 -555.953985375016</f>
        <v>-1357.895662817552</v>
      </c>
      <c r="O1134">
        <f>-686.645202191554 -232.583132493769 -522.864812816775</f>
        <v>-1442.093147502098</v>
      </c>
      <c r="P1134">
        <f>-666.617582719305 -273.238935298104 -232.112082294697</f>
        <v>-1171.968600312106</v>
      </c>
      <c r="Q1134">
        <f>-497.242461508044 -104.031822058972 -259.165139890434</f>
        <v>-860.43942345744995</v>
      </c>
      <c r="R1134" t="s">
        <v>11558</v>
      </c>
      <c r="S1134" t="s">
        <v>11559</v>
      </c>
      <c r="T1134" t="s">
        <v>11560</v>
      </c>
      <c r="U1134" t="s">
        <v>11561</v>
      </c>
      <c r="V1134">
        <f>-640.45684608456 -140.413023629556 -94.4438810327539</f>
        <v>-875.31375074686991</v>
      </c>
      <c r="W1134" t="s">
        <v>11562</v>
      </c>
      <c r="X1134" t="s">
        <v>11563</v>
      </c>
      <c r="Y1134" t="s">
        <v>11564</v>
      </c>
    </row>
    <row r="1135" spans="1:25" x14ac:dyDescent="0.3">
      <c r="A1135">
        <v>56700</v>
      </c>
      <c r="B1135" t="s">
        <v>11565</v>
      </c>
      <c r="C1135">
        <f>-667.144292044107 -48.3755246871599 -97.2869246009844</f>
        <v>-812.80674133225136</v>
      </c>
      <c r="D1135">
        <f>-686.705692603002 -58.733961984809 -210.980708501619</f>
        <v>-956.42036308943</v>
      </c>
      <c r="E1135">
        <f>-696.002791747815 -64.2424639873534 -309.010747073339</f>
        <v>-1069.2560028085074</v>
      </c>
      <c r="F1135">
        <f>-701.936941381834 -68.1343475893748 -397.824510872166</f>
        <v>-1167.8957998433748</v>
      </c>
      <c r="G1135">
        <f>-705.021143468809 -70.950240907413 -486.823261882721</f>
        <v>-1262.794646258943</v>
      </c>
      <c r="H1135">
        <f>-706.313087285051 -73.8334774393943 -611.365869575964</f>
        <v>-1391.5124343004093</v>
      </c>
      <c r="I1135">
        <f>-678.707413917715 -72.5694489643254 -689.732679057908</f>
        <v>-1441.0095419399483</v>
      </c>
      <c r="J1135">
        <f>-709.204184808946 -45.0790826995913 -557.161225029464</f>
        <v>-1311.4444925380012</v>
      </c>
      <c r="K1135" t="s">
        <v>11566</v>
      </c>
      <c r="L1135" t="s">
        <v>11567</v>
      </c>
      <c r="M1135" t="s">
        <v>11568</v>
      </c>
      <c r="N1135">
        <f>-702.285070997193 -100.050299051543 -555.96047223671</f>
        <v>-1358.2958422854458</v>
      </c>
      <c r="O1135">
        <f>-687.436797390694 -232.692944490921 -523.07895626366</f>
        <v>-1443.2086981452749</v>
      </c>
      <c r="P1135">
        <f>-668.188804494074 -274.29381130193 -232.407135122876</f>
        <v>-1174.8897509188801</v>
      </c>
      <c r="Q1135">
        <f>-499.911657581629 -103.954675397858 -259.206443620257</f>
        <v>-863.07277659974397</v>
      </c>
      <c r="R1135" t="s">
        <v>11569</v>
      </c>
      <c r="S1135" t="s">
        <v>11570</v>
      </c>
      <c r="T1135" t="s">
        <v>11571</v>
      </c>
      <c r="U1135" t="s">
        <v>11572</v>
      </c>
      <c r="V1135">
        <f>-641.293299556964 -140.637419226467 -94.4001338770245</f>
        <v>-876.33085266045555</v>
      </c>
      <c r="W1135" t="s">
        <v>11573</v>
      </c>
      <c r="X1135" t="s">
        <v>11574</v>
      </c>
      <c r="Y1135" t="s">
        <v>11575</v>
      </c>
    </row>
    <row r="1136" spans="1:25" x14ac:dyDescent="0.3">
      <c r="A1136">
        <v>56750</v>
      </c>
      <c r="B1136" t="s">
        <v>11576</v>
      </c>
      <c r="C1136">
        <f>-667.462021311966 -48.4538690998991 -97.2624247636315</f>
        <v>-813.17831517549666</v>
      </c>
      <c r="D1136">
        <f>-687.019041687905 -58.8037085322396 -210.957793423173</f>
        <v>-956.78054364331763</v>
      </c>
      <c r="E1136">
        <f>-696.288577471515 -64.2971560042008 -308.991239721089</f>
        <v>-1069.5769731968048</v>
      </c>
      <c r="F1136">
        <f>-702.18804848417 -68.1729688406431 -397.80795159253</f>
        <v>-1168.1689689173431</v>
      </c>
      <c r="G1136">
        <f>-705.227736256172 -70.9704462793973 -486.80895197819</f>
        <v>-1263.0071345137592</v>
      </c>
      <c r="H1136">
        <f>-706.446771842872 -73.825570399639 -611.352716472049</f>
        <v>-1391.6250587145601</v>
      </c>
      <c r="I1136">
        <f>-678.799951612902 -72.5105107065463 -689.704248881669</f>
        <v>-1441.0147112011173</v>
      </c>
      <c r="J1136">
        <f>-709.363312592779 -45.0826089177474 -557.143604873801</f>
        <v>-1311.5895263843274</v>
      </c>
      <c r="K1136" t="s">
        <v>11577</v>
      </c>
      <c r="L1136" t="s">
        <v>11578</v>
      </c>
      <c r="M1136" t="s">
        <v>11579</v>
      </c>
      <c r="N1136">
        <f>-702.457304648475 -100.055801544489 -555.95089856544</f>
        <v>-1358.4640047584039</v>
      </c>
      <c r="O1136">
        <f>-687.736811283193 -232.750002347701 -523.195370343081</f>
        <v>-1443.682183973975</v>
      </c>
      <c r="P1136">
        <f>-668.783942102247 -275.256118873958 -232.63518929123</f>
        <v>-1176.6752502674351</v>
      </c>
      <c r="Q1136">
        <f>-500.564467795146 -104.798867817512 -259.042553590281</f>
        <v>-864.40588920293908</v>
      </c>
      <c r="R1136" t="s">
        <v>11580</v>
      </c>
      <c r="S1136" t="s">
        <v>11581</v>
      </c>
      <c r="T1136" t="s">
        <v>11582</v>
      </c>
      <c r="U1136" t="s">
        <v>11583</v>
      </c>
      <c r="V1136">
        <f>-641.637716466207 -140.682042368031 -94.4068030946393</f>
        <v>-876.72656192887735</v>
      </c>
      <c r="W1136" t="s">
        <v>11584</v>
      </c>
      <c r="X1136" t="s">
        <v>11585</v>
      </c>
      <c r="Y1136" t="s">
        <v>11586</v>
      </c>
    </row>
    <row r="1137" spans="1:25" x14ac:dyDescent="0.3">
      <c r="A1137">
        <v>56800</v>
      </c>
      <c r="B1137" t="s">
        <v>11587</v>
      </c>
      <c r="C1137">
        <f>-667.83878281229 -48.6725418568717 -97.2189965416906</f>
        <v>-813.73032121085225</v>
      </c>
      <c r="D1137">
        <f>-687.415261811406 -59.0565728897475 -210.907841148757</f>
        <v>-957.37967584991054</v>
      </c>
      <c r="E1137">
        <f>-696.651328526006 -64.5284679445986 -308.945671066487</f>
        <v>-1070.1254675370915</v>
      </c>
      <c r="F1137">
        <f>-702.498955300442 -68.3659383138404 -397.767451970409</f>
        <v>-1168.6323455846914</v>
      </c>
      <c r="G1137">
        <f>-705.464648684059 -71.1066558119082 -486.772667901184</f>
        <v>-1263.3439723971512</v>
      </c>
      <c r="H1137">
        <f>-706.556681020881 -73.8643016166523 -611.319950972981</f>
        <v>-1391.7409336105143</v>
      </c>
      <c r="I1137">
        <f>-678.807605203679 -72.3982628553144 -689.632557700487</f>
        <v>-1440.8384257594805</v>
      </c>
      <c r="J1137">
        <f>-709.536652701245 -45.1648582060654 -557.091066112142</f>
        <v>-1311.7925770194524</v>
      </c>
      <c r="K1137" t="s">
        <v>11588</v>
      </c>
      <c r="L1137" t="s">
        <v>11589</v>
      </c>
      <c r="M1137" t="s">
        <v>11590</v>
      </c>
      <c r="N1137">
        <f>-702.615621820466 -100.136889827234 -555.93458998355</f>
        <v>-1358.68710163125</v>
      </c>
      <c r="O1137">
        <f>-688.140081055219 -232.899257217132 -523.345756731345</f>
        <v>-1444.3850950036958</v>
      </c>
      <c r="P1137">
        <f>-669.980575973416 -276.00801636993 -232.823659118174</f>
        <v>-1178.81225146152</v>
      </c>
      <c r="Q1137">
        <f>-501.400088797468 -105.874781776819 -259.017879138739</f>
        <v>-866.29274971302596</v>
      </c>
      <c r="R1137" t="s">
        <v>11591</v>
      </c>
      <c r="S1137" t="s">
        <v>11592</v>
      </c>
      <c r="T1137" t="s">
        <v>11593</v>
      </c>
      <c r="U1137" t="s">
        <v>11594</v>
      </c>
      <c r="V1137">
        <f>-641.919210348567 -140.966624396878 -94.3767019788206</f>
        <v>-877.2625367242656</v>
      </c>
      <c r="W1137" t="s">
        <v>11595</v>
      </c>
      <c r="X1137" t="s">
        <v>11596</v>
      </c>
      <c r="Y1137" t="s">
        <v>11597</v>
      </c>
    </row>
    <row r="1138" spans="1:25" x14ac:dyDescent="0.3">
      <c r="A1138">
        <v>56850</v>
      </c>
      <c r="B1138" t="s">
        <v>11598</v>
      </c>
      <c r="C1138">
        <f>-667.875854248822 -48.8525643605694 -97.2239972786329</f>
        <v>-813.95241588802423</v>
      </c>
      <c r="D1138">
        <f>-687.497529076896 -59.255597870907 -210.903284597693</f>
        <v>-957.65641154549587</v>
      </c>
      <c r="E1138">
        <f>-696.751923694047 -64.7271987044612 -308.939381645224</f>
        <v>-1070.4185040437324</v>
      </c>
      <c r="F1138">
        <f>-702.607607667505 -68.5582104507102 -397.761038679874</f>
        <v>-1168.9268567980894</v>
      </c>
      <c r="G1138">
        <f>-705.572388684196 -71.2861457483361 -486.766720713889</f>
        <v>-1263.6252551464211</v>
      </c>
      <c r="H1138">
        <f>-706.653799292087 -74.0199604303209 -611.314590162047</f>
        <v>-1391.9883498844549</v>
      </c>
      <c r="I1138">
        <f>-678.853122775751 -72.4906938357351 -689.607817781288</f>
        <v>-1440.9516343927739</v>
      </c>
      <c r="J1138">
        <f>-709.648028004619 -45.3320689827785 -557.080404413364</f>
        <v>-1312.0605014007615</v>
      </c>
      <c r="K1138" t="s">
        <v>11599</v>
      </c>
      <c r="L1138" t="s">
        <v>11600</v>
      </c>
      <c r="M1138" t="s">
        <v>11601</v>
      </c>
      <c r="N1138">
        <f>-702.707707379282 -100.301903247026 -555.934063907845</f>
        <v>-1358.9436745341532</v>
      </c>
      <c r="O1138">
        <f>-688.251446950982 -233.075402791168 -523.382527895162</f>
        <v>-1444.7093776373119</v>
      </c>
      <c r="P1138">
        <f>-670.602211126727 -276.51237969814 -232.877839819569</f>
        <v>-1179.9924306444361</v>
      </c>
      <c r="Q1138">
        <f>-501.547142051446 -106.883375739488 -259.282575322281</f>
        <v>-867.713093113215</v>
      </c>
      <c r="R1138" t="s">
        <v>11602</v>
      </c>
      <c r="S1138" t="s">
        <v>11603</v>
      </c>
      <c r="T1138" t="s">
        <v>11604</v>
      </c>
      <c r="U1138" t="s">
        <v>11605</v>
      </c>
      <c r="V1138">
        <f>-641.887996752493 -141.117977175703 -94.379534865526</f>
        <v>-877.38550879372201</v>
      </c>
      <c r="W1138" t="s">
        <v>11606</v>
      </c>
      <c r="X1138" t="s">
        <v>11607</v>
      </c>
      <c r="Y1138" t="s">
        <v>11608</v>
      </c>
    </row>
    <row r="1139" spans="1:25" x14ac:dyDescent="0.3">
      <c r="A1139">
        <v>56900</v>
      </c>
      <c r="B1139" t="s">
        <v>11609</v>
      </c>
      <c r="C1139">
        <f>-667.997589883653 -49.330700823841 -97.2346455696513</f>
        <v>-814.56293627714524</v>
      </c>
      <c r="D1139">
        <f>-687.730523162509 -59.8016197914221 -210.888411389282</f>
        <v>-958.4205543432131</v>
      </c>
      <c r="E1139">
        <f>-697.101662009119 -65.2706388386875 -308.913649986171</f>
        <v>-1071.2859508339775</v>
      </c>
      <c r="F1139">
        <f>-703.070406650134 -69.0746468349726 -397.728838911756</f>
        <v>-1169.8738923968626</v>
      </c>
      <c r="G1139">
        <f>-706.154882459876 -71.7501104759174 -486.732108186481</f>
        <v>-1264.6371011222745</v>
      </c>
      <c r="H1139">
        <f>-707.410483111707 -74.3832236304611 -611.280381327343</f>
        <v>-1393.0740880695112</v>
      </c>
      <c r="I1139">
        <f>-679.4957799877 -72.7118843764788 -689.52998990166</f>
        <v>-1441.7376542658387</v>
      </c>
      <c r="J1139">
        <f>-710.372607808859 -45.7447871766346 -557.018374943954</f>
        <v>-1313.1357699294476</v>
      </c>
      <c r="K1139" t="s">
        <v>11610</v>
      </c>
      <c r="L1139" t="s">
        <v>11611</v>
      </c>
      <c r="M1139" t="s">
        <v>11612</v>
      </c>
      <c r="N1139">
        <f>-703.343316987519 -100.704484685077 -555.927317730812</f>
        <v>-1359.9751194034079</v>
      </c>
      <c r="O1139">
        <f>-688.742908573644 -233.478565280472 -523.444949529859</f>
        <v>-1445.6664233839749</v>
      </c>
      <c r="P1139">
        <f>-672.257960991437 -276.225798302843 -232.769554753432</f>
        <v>-1181.2533140477119</v>
      </c>
      <c r="Q1139">
        <f>-501.961443680831 -107.946240272759 -259.823978406404</f>
        <v>-869.73166235999406</v>
      </c>
      <c r="R1139" t="s">
        <v>11613</v>
      </c>
      <c r="S1139" t="s">
        <v>11614</v>
      </c>
      <c r="T1139" t="s">
        <v>11615</v>
      </c>
      <c r="U1139" t="s">
        <v>11616</v>
      </c>
      <c r="V1139">
        <f>-641.907111065239 -141.558577512949 -94.360108071668</f>
        <v>-877.82579664985599</v>
      </c>
      <c r="W1139" t="s">
        <v>11617</v>
      </c>
      <c r="X1139" t="s">
        <v>11618</v>
      </c>
      <c r="Y1139" t="s">
        <v>11619</v>
      </c>
    </row>
    <row r="1140" spans="1:25" x14ac:dyDescent="0.3">
      <c r="A1140">
        <v>56950</v>
      </c>
      <c r="B1140" t="s">
        <v>11620</v>
      </c>
      <c r="C1140">
        <f>-668.059314664082 -49.4950051802277 -97.2313489781177</f>
        <v>-814.7856688224274</v>
      </c>
      <c r="D1140">
        <f>-687.867853918157 -60.0212718094394 -210.866887673943</f>
        <v>-958.75601340153946</v>
      </c>
      <c r="E1140">
        <f>-697.318535165187 -65.4988870052853 -308.884005402507</f>
        <v>-1071.7014275729794</v>
      </c>
      <c r="F1140">
        <f>-703.364023063439 -69.2949278214526 -397.694385782828</f>
        <v>-1170.3533366677198</v>
      </c>
      <c r="G1140">
        <f>-706.530401322682 -71.9458990897183 -486.695391095755</f>
        <v>-1265.1716915081552</v>
      </c>
      <c r="H1140">
        <f>-707.904697474295 -74.5268293152521 -611.243600788652</f>
        <v>-1393.675127578199</v>
      </c>
      <c r="I1140">
        <f>-679.908186339433 -72.7849161155602 -689.462480448518</f>
        <v>-1442.1555829035112</v>
      </c>
      <c r="J1140">
        <f>-710.847559950289 -45.915184986937 -556.966340775259</f>
        <v>-1313.7290857124849</v>
      </c>
      <c r="K1140" t="s">
        <v>11621</v>
      </c>
      <c r="L1140" t="s">
        <v>11622</v>
      </c>
      <c r="M1140" t="s">
        <v>11623</v>
      </c>
      <c r="N1140">
        <f>-703.752181149736 -100.867038564281 -555.906008175356</f>
        <v>-1360.5252278893729</v>
      </c>
      <c r="O1140">
        <f>-688.957852736291 -233.622201483301 -523.446150487101</f>
        <v>-1446.0262047066931</v>
      </c>
      <c r="P1140">
        <f>-673.007485355972 -276.03344883406 -232.691856855566</f>
        <v>-1181.7327910455979</v>
      </c>
      <c r="Q1140">
        <f>-502.376197753095 -108.102456451886 -259.803473028244</f>
        <v>-870.28212723322508</v>
      </c>
      <c r="R1140" t="s">
        <v>11624</v>
      </c>
      <c r="S1140" t="s">
        <v>11625</v>
      </c>
      <c r="T1140" t="s">
        <v>11626</v>
      </c>
      <c r="U1140" t="s">
        <v>11627</v>
      </c>
      <c r="V1140">
        <f>-641.886190846262 -141.682604047957 -94.3531684305524</f>
        <v>-877.92196332477147</v>
      </c>
      <c r="W1140" t="s">
        <v>11628</v>
      </c>
      <c r="X1140" t="s">
        <v>11629</v>
      </c>
      <c r="Y1140" t="s">
        <v>11630</v>
      </c>
    </row>
    <row r="1141" spans="1:25" x14ac:dyDescent="0.3">
      <c r="A1141">
        <v>57000</v>
      </c>
      <c r="B1141" t="s">
        <v>11631</v>
      </c>
      <c r="C1141">
        <f>-668.271458526384 -49.8612462923966 -97.230145855572</f>
        <v>-815.36285067435256</v>
      </c>
      <c r="D1141">
        <f>-688.280516628624 -60.5057470731429 -210.819503764919</f>
        <v>-959.60576746668585</v>
      </c>
      <c r="E1141">
        <f>-697.922994500479 -66.0503588260096 -308.814111095626</f>
        <v>-1072.7874644221147</v>
      </c>
      <c r="F1141">
        <f>-704.14877837644 -69.8942774923505 -397.609936176257</f>
        <v>-1171.6529920450475</v>
      </c>
      <c r="G1141">
        <f>-707.502284015875 -72.5796208494835 -486.603197152529</f>
        <v>-1266.6851020178874</v>
      </c>
      <c r="H1141">
        <f>-709.144310015704 -75.194417852186 -611.147456177045</f>
        <v>-1395.486184044935</v>
      </c>
      <c r="I1141">
        <f>-681.079648725811 -73.3615288979704 -689.339781895689</f>
        <v>-1443.7809595194703</v>
      </c>
      <c r="J1141">
        <f>-712.00452096795 -46.5724482715304 -556.871137014156</f>
        <v>-1315.4481062536365</v>
      </c>
      <c r="K1141" t="s">
        <v>11632</v>
      </c>
      <c r="L1141" t="s">
        <v>11633</v>
      </c>
      <c r="M1141" t="s">
        <v>11634</v>
      </c>
      <c r="N1141">
        <f>-704.838886429415 -101.515070767504 -555.812018501095</f>
        <v>-1362.1659756980139</v>
      </c>
      <c r="O1141">
        <f>-689.818536193159 -234.241905853087 -523.326539396162</f>
        <v>-1447.3869814424081</v>
      </c>
      <c r="P1141">
        <f>-674.519372685601 -276.007301064843 -232.443809690536</f>
        <v>-1182.9704834409799</v>
      </c>
      <c r="Q1141">
        <f>-503.94317241617 -107.987513411854 -259.351503947097</f>
        <v>-871.28218977512097</v>
      </c>
      <c r="R1141" t="s">
        <v>11635</v>
      </c>
      <c r="S1141" t="s">
        <v>11636</v>
      </c>
      <c r="T1141" t="s">
        <v>11637</v>
      </c>
      <c r="U1141" t="s">
        <v>11638</v>
      </c>
      <c r="V1141">
        <f>-641.87626316098 -142.007523536891 -94.341123714494</f>
        <v>-878.22491041236492</v>
      </c>
      <c r="W1141" t="s">
        <v>11639</v>
      </c>
      <c r="X1141" t="s">
        <v>11640</v>
      </c>
      <c r="Y1141" t="s">
        <v>11641</v>
      </c>
    </row>
    <row r="1142" spans="1:25" x14ac:dyDescent="0.3">
      <c r="A1142">
        <v>57050</v>
      </c>
      <c r="B1142" t="s">
        <v>11642</v>
      </c>
      <c r="C1142">
        <f>-668.425521394771 -50.1792075035098 -97.2468736755367</f>
        <v>-815.85160257381744</v>
      </c>
      <c r="D1142">
        <f>-688.524000342296 -60.8693937049316 -210.81616925682</f>
        <v>-960.20956330404749</v>
      </c>
      <c r="E1142">
        <f>-698.247852209906 -66.4399274016191 -308.801191308555</f>
        <v>-1073.4889709200802</v>
      </c>
      <c r="F1142">
        <f>-704.548464964737 -70.3021800544605 -397.591021761741</f>
        <v>-1172.4416667809387</v>
      </c>
      <c r="G1142">
        <f>-707.977760684974 -73.0011709073408 -486.580934735708</f>
        <v>-1267.5598663280227</v>
      </c>
      <c r="H1142">
        <f>-709.72689253139 -75.6304405671676 -611.123419348901</f>
        <v>-1396.4807524474586</v>
      </c>
      <c r="I1142">
        <f>-681.63805932162 -73.7571258920623 -689.306213727629</f>
        <v>-1444.7013989413113</v>
      </c>
      <c r="J1142">
        <f>-712.546555110245 -47.0029944843286 -556.847917653267</f>
        <v>-1316.3974672478407</v>
      </c>
      <c r="K1142" t="s">
        <v>11643</v>
      </c>
      <c r="L1142" t="s">
        <v>11644</v>
      </c>
      <c r="M1142" t="s">
        <v>11645</v>
      </c>
      <c r="N1142">
        <f>-705.367614691198 -101.943889405605 -555.788939711095</f>
        <v>-1363.100443807898</v>
      </c>
      <c r="O1142">
        <f>-690.327803816994 -234.671392649994 -523.314509696384</f>
        <v>-1448.313706163372</v>
      </c>
      <c r="P1142">
        <f>-675.128853648207 -276.525606512237 -232.439305594144</f>
        <v>-1184.093765754588</v>
      </c>
      <c r="Q1142">
        <f>-505.111579840287 -107.927508659905 -259.265957264981</f>
        <v>-872.30504576517296</v>
      </c>
      <c r="R1142" t="s">
        <v>11646</v>
      </c>
      <c r="S1142" t="s">
        <v>11647</v>
      </c>
      <c r="T1142" t="s">
        <v>11648</v>
      </c>
      <c r="U1142" t="s">
        <v>11649</v>
      </c>
      <c r="V1142">
        <f>-641.94458212441 -142.427169684619 -94.3372890354981</f>
        <v>-878.70904084452707</v>
      </c>
      <c r="W1142" t="s">
        <v>11650</v>
      </c>
      <c r="X1142" t="s">
        <v>11651</v>
      </c>
      <c r="Y1142" t="s">
        <v>11652</v>
      </c>
    </row>
    <row r="1143" spans="1:25" x14ac:dyDescent="0.3">
      <c r="A1143">
        <v>57100</v>
      </c>
      <c r="B1143" t="s">
        <v>11653</v>
      </c>
      <c r="C1143">
        <f>-668.808137692959 -50.944455784025 -97.2614348263934</f>
        <v>-817.01402830337736</v>
      </c>
      <c r="D1143">
        <f>-689.015452949769 -61.6966473744753 -210.805681451636</f>
        <v>-961.51778177588039</v>
      </c>
      <c r="E1143">
        <f>-698.867260608976 -67.306311311638 -308.775624843677</f>
        <v>-1074.9491967642909</v>
      </c>
      <c r="F1143">
        <f>-705.297442365388 -71.1979607566986 -397.554834223125</f>
        <v>-1174.0502373452116</v>
      </c>
      <c r="G1143">
        <f>-708.869928136038 -73.920068547048 -486.538446359286</f>
        <v>-1269.3284430423719</v>
      </c>
      <c r="H1143">
        <f>-710.833188180848 -76.5738698181599 -611.077248453261</f>
        <v>-1398.4843064522688</v>
      </c>
      <c r="I1143">
        <f>-682.73313478501 -74.6653373726726 -689.255063397491</f>
        <v>-1446.6535355551737</v>
      </c>
      <c r="J1143">
        <f>-713.579377454724 -47.9383569150082 -556.802311765101</f>
        <v>-1318.3200461348331</v>
      </c>
      <c r="K1143" t="s">
        <v>11654</v>
      </c>
      <c r="L1143" t="s">
        <v>11655</v>
      </c>
      <c r="M1143" t="s">
        <v>11656</v>
      </c>
      <c r="N1143">
        <f>-706.359207232205 -102.873881915698 -555.745516491897</f>
        <v>-1364.9786056398</v>
      </c>
      <c r="O1143">
        <f>-691.172713343205 -235.583017643878 -523.298652945631</f>
        <v>-1450.0543839327142</v>
      </c>
      <c r="P1143">
        <f>-676.168989300294 -277.918676277025 -232.482947789839</f>
        <v>-1186.5706133671581</v>
      </c>
      <c r="Q1143">
        <f>-508.056944324636 -107.195220848079 -257.835212403685</f>
        <v>-873.08737757639994</v>
      </c>
      <c r="R1143" t="s">
        <v>11657</v>
      </c>
      <c r="S1143" t="s">
        <v>11658</v>
      </c>
      <c r="T1143" t="s">
        <v>11659</v>
      </c>
      <c r="U1143" t="s">
        <v>11660</v>
      </c>
      <c r="V1143">
        <f>-642.286429871835 -143.17668823092 -94.3363090135546</f>
        <v>-879.79942711630963</v>
      </c>
      <c r="W1143" t="s">
        <v>11661</v>
      </c>
      <c r="X1143" t="s">
        <v>11662</v>
      </c>
      <c r="Y1143" t="s">
        <v>11663</v>
      </c>
    </row>
    <row r="1144" spans="1:25" x14ac:dyDescent="0.3">
      <c r="A1144">
        <v>57150</v>
      </c>
      <c r="B1144" t="s">
        <v>11664</v>
      </c>
      <c r="C1144">
        <f>-669.105637340843 -51.1770089972513 -97.2628953102717</f>
        <v>-817.545541648366</v>
      </c>
      <c r="D1144">
        <f>-689.36796911081 -61.9464238834078 -210.795574385979</f>
        <v>-962.10996738019674</v>
      </c>
      <c r="E1144">
        <f>-699.288102298129 -67.5713470702472 -308.757870556342</f>
        <v>-1075.6173199247182</v>
      </c>
      <c r="F1144">
        <f>-705.788849897182 -71.4767340705648 -397.53134647843</f>
        <v>-1174.7969304461767</v>
      </c>
      <c r="G1144">
        <f>-709.440551992187 -74.2112766667615 -486.51127613296</f>
        <v>-1270.1631047919086</v>
      </c>
      <c r="H1144">
        <f>-711.523980408198 -76.8814152602333 -611.04780185802</f>
        <v>-1399.4531975264513</v>
      </c>
      <c r="I1144">
        <f>-683.45873492882 -74.9611370104183 -689.237882833512</f>
        <v>-1447.6577547727502</v>
      </c>
      <c r="J1144">
        <f>-714.235578269843 -48.2410552795147 -556.773703482796</f>
        <v>-1319.2503370321538</v>
      </c>
      <c r="K1144" t="s">
        <v>11665</v>
      </c>
      <c r="L1144" t="s">
        <v>11666</v>
      </c>
      <c r="M1144" t="s">
        <v>11667</v>
      </c>
      <c r="N1144">
        <f>-706.978853174323 -103.171915199523 -555.717199781975</f>
        <v>-1365.867968155821</v>
      </c>
      <c r="O1144">
        <f>-691.632954749674 -235.860469479935 -523.234378345302</f>
        <v>-1450.727802574911</v>
      </c>
      <c r="P1144">
        <f>-676.612773491852 -277.997929720192 -232.390731249131</f>
        <v>-1187.001434461175</v>
      </c>
      <c r="Q1144">
        <f>-509.759987520291 -105.942760575484 -257.04961125338</f>
        <v>-872.75235934915509</v>
      </c>
      <c r="R1144" t="s">
        <v>11668</v>
      </c>
      <c r="S1144" t="s">
        <v>11669</v>
      </c>
      <c r="T1144" t="s">
        <v>11670</v>
      </c>
      <c r="U1144" t="s">
        <v>11671</v>
      </c>
      <c r="V1144">
        <f>-642.597590197184 -143.328767119863 -94.3443272334184</f>
        <v>-880.27068455046538</v>
      </c>
      <c r="W1144" t="s">
        <v>11672</v>
      </c>
      <c r="X1144" t="s">
        <v>11673</v>
      </c>
      <c r="Y1144" t="s">
        <v>11674</v>
      </c>
    </row>
    <row r="1145" spans="1:25" x14ac:dyDescent="0.3">
      <c r="A1145">
        <v>57200</v>
      </c>
      <c r="B1145" t="s">
        <v>11675</v>
      </c>
      <c r="C1145">
        <f>-669.819434024353 -51.7297688101864 -97.2633130060914</f>
        <v>-818.81251584063079</v>
      </c>
      <c r="D1145">
        <f>-690.223842075851 -62.5442206874418 -210.766347168238</f>
        <v>-963.53440993153083</v>
      </c>
      <c r="E1145">
        <f>-700.31341184276 -68.2626813426689 -308.705899790479</f>
        <v>-1077.281992975908</v>
      </c>
      <c r="F1145">
        <f>-706.987488329004 -72.274123513115 -397.461810906155</f>
        <v>-1176.7234227482741</v>
      </c>
      <c r="G1145">
        <f>-710.833691337685 -75.1353298400629 -486.429652814473</f>
        <v>-1272.3986739922209</v>
      </c>
      <c r="H1145">
        <f>-713.211350285293 -78.0033042774573 -610.956443756719</f>
        <v>-1402.1710983194694</v>
      </c>
      <c r="I1145">
        <f>-685.279829036448 -76.0862669721103 -689.194310855769</f>
        <v>-1450.5604068643272</v>
      </c>
      <c r="J1145">
        <f>-715.824656080595 -49.2807421950906 -556.720897778769</f>
        <v>-1321.8262960544546</v>
      </c>
      <c r="K1145" t="s">
        <v>11676</v>
      </c>
      <c r="L1145" t="s">
        <v>11677</v>
      </c>
      <c r="M1145" t="s">
        <v>11678</v>
      </c>
      <c r="N1145">
        <f>-708.505285666291 -104.201741253657 -555.595714351594</f>
        <v>-1368.3027412715419</v>
      </c>
      <c r="O1145">
        <f>-692.788712808124 -236.7889682335 -522.901794953022</f>
        <v>-1452.479475994646</v>
      </c>
      <c r="P1145">
        <f>-677.978317463818 -277.095857544186 -231.788097896721</f>
        <v>-1186.8622729047249</v>
      </c>
      <c r="Q1145">
        <f>-512.813962659797 -103.369980315746 -256.097532478581</f>
        <v>-872.28147545412401</v>
      </c>
      <c r="R1145" t="s">
        <v>11679</v>
      </c>
      <c r="S1145" t="s">
        <v>11680</v>
      </c>
      <c r="T1145" t="s">
        <v>11681</v>
      </c>
      <c r="U1145" t="s">
        <v>11682</v>
      </c>
      <c r="V1145">
        <f>-643.203393210095 -143.933415417297 -94.3463965153397</f>
        <v>-881.48320514273166</v>
      </c>
      <c r="W1145" t="s">
        <v>11683</v>
      </c>
      <c r="X1145" t="s">
        <v>11684</v>
      </c>
      <c r="Y1145" t="s">
        <v>11685</v>
      </c>
    </row>
    <row r="1146" spans="1:25" x14ac:dyDescent="0.3">
      <c r="A1146">
        <v>57250</v>
      </c>
      <c r="B1146" t="s">
        <v>11686</v>
      </c>
      <c r="C1146">
        <f>-670.129854007007 -52.1201948287655 -97.2643167044012</f>
        <v>-819.51436554017369</v>
      </c>
      <c r="D1146">
        <f>-690.590717619732 -62.9765689353167 -210.753236269672</f>
        <v>-964.32052282472068</v>
      </c>
      <c r="E1146">
        <f>-700.772294580471 -68.7715528891208 -308.678786605252</f>
        <v>-1078.2226340748439</v>
      </c>
      <c r="F1146">
        <f>-707.547613533463 -72.86872114982 -397.423080418295</f>
        <v>-1177.839415101578</v>
      </c>
      <c r="G1146">
        <f>-711.513496773996 -75.8319228987734 -486.382173389551</f>
        <v>-1273.7275930623205</v>
      </c>
      <c r="H1146">
        <f>-714.078341700236 -78.8594604868274 -610.901582829952</f>
        <v>-1403.8393850170155</v>
      </c>
      <c r="I1146">
        <f>-686.233851686304 -76.9625428425879 -689.170983669156</f>
        <v>-1452.3673781980478</v>
      </c>
      <c r="J1146">
        <f>-716.61551158336 -50.0680197126044 -556.698846920441</f>
        <v>-1323.3823782164054</v>
      </c>
      <c r="K1146" t="s">
        <v>11687</v>
      </c>
      <c r="L1146" t="s">
        <v>11688</v>
      </c>
      <c r="M1146" t="s">
        <v>11689</v>
      </c>
      <c r="N1146">
        <f>-709.284001874882 -104.986258718841 -555.514652824866</f>
        <v>-1369.784913418589</v>
      </c>
      <c r="O1146">
        <f>-693.44277445375 -237.546838947131 -522.732148904056</f>
        <v>-1453.7217623049369</v>
      </c>
      <c r="P1146">
        <f>-678.501957417372 -277.243405770429 -231.54126312699</f>
        <v>-1187.286626314791</v>
      </c>
      <c r="Q1146">
        <f>-514.368203768844 -102.539409443031 -255.820359001977</f>
        <v>-872.7279722138519</v>
      </c>
      <c r="R1146" t="s">
        <v>11690</v>
      </c>
      <c r="S1146" t="s">
        <v>11691</v>
      </c>
      <c r="T1146" t="s">
        <v>11692</v>
      </c>
      <c r="U1146" t="s">
        <v>11693</v>
      </c>
      <c r="V1146">
        <f>-643.430486182149 -144.35053588617 -94.3442842245778</f>
        <v>-882.12530629289688</v>
      </c>
      <c r="W1146" t="s">
        <v>11694</v>
      </c>
      <c r="X1146" t="s">
        <v>11695</v>
      </c>
      <c r="Y1146" t="s">
        <v>11696</v>
      </c>
    </row>
    <row r="1147" spans="1:25" x14ac:dyDescent="0.3">
      <c r="A1147">
        <v>57300</v>
      </c>
      <c r="B1147" t="s">
        <v>11697</v>
      </c>
      <c r="C1147">
        <f>-670.547357421248 -52.8249987181 -97.2528043541347</f>
        <v>-820.62516049348267</v>
      </c>
      <c r="D1147">
        <f>-691.148782369021 -63.779799602881 -210.706674419913</f>
        <v>-965.63525639181501</v>
      </c>
      <c r="E1147">
        <f>-701.522618954805 -69.7099359237388 -308.604002367299</f>
        <v>-1079.8365572458429</v>
      </c>
      <c r="F1147">
        <f>-708.500801974366 -73.9505574661521 -397.325854023291</f>
        <v>-1179.7772134638092</v>
      </c>
      <c r="G1147">
        <f>-712.699131529683 -77.0782222416271 -486.268655679175</f>
        <v>-1276.0460094504851</v>
      </c>
      <c r="H1147">
        <f>-715.620108159491 -80.3573910421717 -610.773876643405</f>
        <v>-1406.7513758450677</v>
      </c>
      <c r="I1147">
        <f>-687.957951711244 -78.5352005320215 -689.10973472961</f>
        <v>-1455.6028869728755</v>
      </c>
      <c r="J1147">
        <f>-718.019782705466 -51.4588183730043 -556.62193479927</f>
        <v>-1326.1005358777402</v>
      </c>
      <c r="K1147" t="s">
        <v>11698</v>
      </c>
      <c r="L1147" t="s">
        <v>11699</v>
      </c>
      <c r="M1147" t="s">
        <v>11700</v>
      </c>
      <c r="N1147">
        <f>-710.649541074042 -106.369868670354 -555.348611165428</f>
        <v>-1372.3680209098238</v>
      </c>
      <c r="O1147">
        <f>-694.584250986695 -238.879183268024 -522.464491926897</f>
        <v>-1455.9279261816159</v>
      </c>
      <c r="P1147">
        <f>-679.129248821856 -277.820552199015 -231.198335520835</f>
        <v>-1188.148136541706</v>
      </c>
      <c r="Q1147">
        <f>-516.784715516993 -101.443076695207 -255.408969536224</f>
        <v>-873.63676174842385</v>
      </c>
      <c r="R1147" t="s">
        <v>11701</v>
      </c>
      <c r="S1147" t="s">
        <v>11702</v>
      </c>
      <c r="T1147" t="s">
        <v>11703</v>
      </c>
      <c r="U1147" t="s">
        <v>11704</v>
      </c>
      <c r="V1147">
        <f>-643.734264097843 -144.957647826774 -94.3148776411966</f>
        <v>-883.00678956581362</v>
      </c>
      <c r="W1147" t="s">
        <v>11705</v>
      </c>
      <c r="X1147" t="s">
        <v>11706</v>
      </c>
      <c r="Y1147" t="s">
        <v>11707</v>
      </c>
    </row>
    <row r="1148" spans="1:25" x14ac:dyDescent="0.3">
      <c r="A1148">
        <v>57350</v>
      </c>
      <c r="B1148" t="s">
        <v>11708</v>
      </c>
      <c r="C1148">
        <f>-670.764827621251 -53.0901056311848 -97.2398942824077</f>
        <v>-821.09482753484349</v>
      </c>
      <c r="D1148">
        <f>-691.432733957616 -64.0970329853114 -210.676789964586</f>
        <v>-966.20655690751346</v>
      </c>
      <c r="E1148">
        <f>-701.88040443431 -70.0784772977092 -308.563076743086</f>
        <v>-1080.5219584751053</v>
      </c>
      <c r="F1148">
        <f>-708.932251601221 -74.3690306705837 -397.276736923237</f>
        <v>-1180.5780191950416</v>
      </c>
      <c r="G1148">
        <f>-713.211118243456 -77.5494431147815 -486.213848371561</f>
        <v>-1276.9744097297985</v>
      </c>
      <c r="H1148">
        <f>-716.251825220295 -80.9056705908474 -610.714104118719</f>
        <v>-1407.8715999298615</v>
      </c>
      <c r="I1148">
        <f>-688.668785678166 -79.1148680007746 -689.078565060468</f>
        <v>-1456.8622187394087</v>
      </c>
      <c r="J1148">
        <f>-718.619286656715 -51.9763866835428 -556.577110993602</f>
        <v>-1327.1727843338599</v>
      </c>
      <c r="K1148" t="s">
        <v>11709</v>
      </c>
      <c r="L1148" t="s">
        <v>11710</v>
      </c>
      <c r="M1148" t="s">
        <v>11711</v>
      </c>
      <c r="N1148">
        <f>-711.208178814072 -106.881252878083 -555.278119895657</f>
        <v>-1373.3675515878122</v>
      </c>
      <c r="O1148">
        <f>-694.989932145622 -239.377185639084 -522.375357968854</f>
        <v>-1456.74247575356</v>
      </c>
      <c r="P1148">
        <f>-679.121469420899 -278.729597981404 -231.186800937444</f>
        <v>-1189.0378683397471</v>
      </c>
      <c r="Q1148">
        <f>-517.712799088506 -101.453143536124 -255.086969256893</f>
        <v>-874.252911881523</v>
      </c>
      <c r="R1148" t="s">
        <v>11712</v>
      </c>
      <c r="S1148" t="s">
        <v>11713</v>
      </c>
      <c r="T1148" t="s">
        <v>11714</v>
      </c>
      <c r="U1148" t="s">
        <v>11715</v>
      </c>
      <c r="V1148">
        <f>-643.897609934613 -145.161837515461 -94.3035132154051</f>
        <v>-883.36296066547914</v>
      </c>
      <c r="W1148" t="s">
        <v>11716</v>
      </c>
      <c r="X1148" t="s">
        <v>11717</v>
      </c>
      <c r="Y1148" t="s">
        <v>11718</v>
      </c>
    </row>
    <row r="1149" spans="1:25" x14ac:dyDescent="0.3">
      <c r="A1149">
        <v>57400</v>
      </c>
      <c r="B1149" t="s">
        <v>11719</v>
      </c>
      <c r="C1149">
        <f>-671.025272677608 -53.2519572120434 -97.2396104632483</f>
        <v>-821.51684035289964</v>
      </c>
      <c r="D1149">
        <f>-691.728538069071 -64.3185644129824 -210.664222474641</f>
        <v>-966.7113249566944</v>
      </c>
      <c r="E1149">
        <f>-702.231351660627 -70.3441797985649 -308.541883769306</f>
        <v>-1081.117415228498</v>
      </c>
      <c r="F1149">
        <f>-709.342356116375 -74.6718095995902 -397.249028476071</f>
        <v>-1181.2631941920363</v>
      </c>
      <c r="G1149">
        <f>-713.690081540139 -77.8862913368444 -486.181558128466</f>
        <v>-1277.7579310054493</v>
      </c>
      <c r="H1149">
        <f>-716.837250574659 -81.2864514783807 -610.677876602165</f>
        <v>-1408.8015786552048</v>
      </c>
      <c r="I1149">
        <f>-689.319058959237 -79.5054899812274 -689.06548939715</f>
        <v>-1457.8900383376144</v>
      </c>
      <c r="J1149">
        <f>-719.187939972019 -52.3418811193262 -556.548440492279</f>
        <v>-1328.0782615836242</v>
      </c>
      <c r="K1149" t="s">
        <v>11720</v>
      </c>
      <c r="L1149" t="s">
        <v>11721</v>
      </c>
      <c r="M1149" t="s">
        <v>11722</v>
      </c>
      <c r="N1149">
        <f>-711.71669968241 -107.238479387621 -555.238068119651</f>
        <v>-1374.1932471896819</v>
      </c>
      <c r="O1149">
        <f>-695.335980269927 -239.704180535115 -522.329503297872</f>
        <v>-1457.3696641029139</v>
      </c>
      <c r="P1149">
        <f>-679.176882374218 -279.172959472663 -231.172697246383</f>
        <v>-1189.5225390932642</v>
      </c>
      <c r="Q1149">
        <f>-518.55106130283 -101.132638482302 -254.664015243977</f>
        <v>-874.34771502910905</v>
      </c>
      <c r="R1149" t="s">
        <v>11723</v>
      </c>
      <c r="S1149" t="s">
        <v>11724</v>
      </c>
      <c r="T1149" t="s">
        <v>11725</v>
      </c>
      <c r="U1149" t="s">
        <v>11726</v>
      </c>
      <c r="V1149">
        <f>-644.078659892846 -145.306514255473 -94.2859575894726</f>
        <v>-883.67113173779148</v>
      </c>
      <c r="W1149" t="s">
        <v>11727</v>
      </c>
      <c r="X1149" t="s">
        <v>11728</v>
      </c>
      <c r="Y1149" t="s">
        <v>11729</v>
      </c>
    </row>
    <row r="1150" spans="1:25" x14ac:dyDescent="0.3">
      <c r="A1150">
        <v>57450</v>
      </c>
      <c r="B1150" t="s">
        <v>11730</v>
      </c>
      <c r="C1150">
        <f>-671.531325300358 -53.5051481555158 -97.2668795952574</f>
        <v>-822.30335305113124</v>
      </c>
      <c r="D1150">
        <f>-692.310311524557 -64.693645140235 -210.665649152616</f>
        <v>-967.66960581740807</v>
      </c>
      <c r="E1150">
        <f>-702.943947608454 -70.8457869801566 -308.521355199485</f>
        <v>-1082.3110897880956</v>
      </c>
      <c r="F1150">
        <f>-710.200408139793 -75.2964974833747 -397.210515964908</f>
        <v>-1182.7074215880757</v>
      </c>
      <c r="G1150">
        <f>-714.720936039703 -78.6407692436997 -486.129684850062</f>
        <v>-1279.4913901334646</v>
      </c>
      <c r="H1150">
        <f>-718.138677603434 -82.2290416911826 -610.613667148458</f>
        <v>-1410.9813864430746</v>
      </c>
      <c r="I1150">
        <f>-690.76434337246 -80.4583581108277 -689.051839092749</f>
        <v>-1460.2745405760365</v>
      </c>
      <c r="J1150">
        <f>-720.438264069955 -53.2118353718079 -556.520900999829</f>
        <v>-1330.1710004415918</v>
      </c>
      <c r="K1150" t="s">
        <v>11731</v>
      </c>
      <c r="L1150" t="s">
        <v>11732</v>
      </c>
      <c r="M1150" t="s">
        <v>11733</v>
      </c>
      <c r="N1150">
        <f>-712.831229320308 -108.088296192926 -555.147954678642</f>
        <v>-1376.067480191876</v>
      </c>
      <c r="O1150">
        <f>-695.963980858521 -240.461346685064 -522.115578058001</f>
        <v>-1458.540905601586</v>
      </c>
      <c r="P1150">
        <f>-679.527724353105 -279.789856090784 -230.955386447878</f>
        <v>-1190.2729668917671</v>
      </c>
      <c r="Q1150">
        <f>-519.690080803482 -100.952716449078 -253.760388056843</f>
        <v>-874.40318530940306</v>
      </c>
      <c r="R1150" t="s">
        <v>11734</v>
      </c>
      <c r="S1150" t="s">
        <v>11735</v>
      </c>
      <c r="T1150" t="s">
        <v>11736</v>
      </c>
      <c r="U1150" t="s">
        <v>11737</v>
      </c>
      <c r="V1150">
        <f>-644.404352862309 -145.560335288701 -94.2802323104833</f>
        <v>-884.24492046149328</v>
      </c>
      <c r="W1150" t="s">
        <v>11738</v>
      </c>
      <c r="X1150" t="s">
        <v>11739</v>
      </c>
      <c r="Y1150" t="s">
        <v>11740</v>
      </c>
    </row>
    <row r="1151" spans="1:25" x14ac:dyDescent="0.3">
      <c r="A1151">
        <v>57500</v>
      </c>
      <c r="B1151" t="s">
        <v>11741</v>
      </c>
      <c r="C1151">
        <f>-671.913019752787 -53.7700732334977 -97.2801248424408</f>
        <v>-822.96321782872553</v>
      </c>
      <c r="D1151">
        <f>-692.734430629764 -65.0719658117844 -210.659798729769</f>
        <v>-968.46619517131739</v>
      </c>
      <c r="E1151">
        <f>-703.479911362279 -71.3839491772087 -308.493155005039</f>
        <v>-1083.3570155445268</v>
      </c>
      <c r="F1151">
        <f>-710.868722807694 -76.0045476567263 -397.162791818998</f>
        <v>-1184.0360622834182</v>
      </c>
      <c r="G1151">
        <f>-715.55377088286 -79.5430661536855 -486.065971817684</f>
        <v>-1281.1628088542295</v>
      </c>
      <c r="H1151">
        <f>-719.235850440906 -83.4275979909883 -610.533485145704</f>
        <v>-1413.1969335775984</v>
      </c>
      <c r="I1151">
        <f>-692.020410227267 -81.7083089710382 -689.028017943602</f>
        <v>-1462.7567371419073</v>
      </c>
      <c r="J1151">
        <f>-721.463040071658 -54.2876086262531 -556.503671271799</f>
        <v>-1332.2543199697102</v>
      </c>
      <c r="K1151" t="s">
        <v>11742</v>
      </c>
      <c r="L1151" t="s">
        <v>11743</v>
      </c>
      <c r="M1151" t="s">
        <v>11744</v>
      </c>
      <c r="N1151">
        <f>-713.768091886301 -109.148797086384 -555.01907504434</f>
        <v>-1377.9359640170251</v>
      </c>
      <c r="O1151">
        <f>-696.62652814589 -241.422219063155 -521.743601571719</f>
        <v>-1459.7923487807639</v>
      </c>
      <c r="P1151">
        <f>-679.937874473128 -280.151865000357 -230.517290133656</f>
        <v>-1190.6070296071409</v>
      </c>
      <c r="Q1151">
        <f>-519.902711685529 -101.479775291945 -253.230473923286</f>
        <v>-874.61296090075996</v>
      </c>
      <c r="R1151" t="s">
        <v>11745</v>
      </c>
      <c r="S1151" t="s">
        <v>11746</v>
      </c>
      <c r="T1151" t="s">
        <v>11747</v>
      </c>
      <c r="U1151" t="s">
        <v>11748</v>
      </c>
      <c r="V1151">
        <f>-644.57329127902 -145.817765134239 -94.2748868976479</f>
        <v>-884.66594331090698</v>
      </c>
      <c r="W1151" t="s">
        <v>11749</v>
      </c>
      <c r="X1151" t="s">
        <v>11750</v>
      </c>
      <c r="Y1151" t="s">
        <v>11751</v>
      </c>
    </row>
    <row r="1152" spans="1:25" x14ac:dyDescent="0.3">
      <c r="A1152">
        <v>57550</v>
      </c>
      <c r="B1152" t="s">
        <v>11752</v>
      </c>
      <c r="C1152">
        <f>-672.003857326445 -53.9559648999468 -97.2931835236392</f>
        <v>-823.25300575003098</v>
      </c>
      <c r="D1152">
        <f>-692.848329157987 -65.322867230667 -210.66215625372</f>
        <v>-968.83335264237405</v>
      </c>
      <c r="E1152">
        <f>-703.647314338841 -71.7095637206928 -308.484732531449</f>
        <v>-1083.8416105909828</v>
      </c>
      <c r="F1152">
        <f>-711.098693667597 -76.4053602133722 -397.145215710318</f>
        <v>-1184.6492695912871</v>
      </c>
      <c r="G1152">
        <f>-715.860547960346 -80.0257929122106 -486.040902036246</f>
        <v>-1281.9272429088026</v>
      </c>
      <c r="H1152">
        <f>-719.664930264645 -84.0317292282004 -610.50093368953</f>
        <v>-1414.1975931823754</v>
      </c>
      <c r="I1152">
        <f>-692.532029998155 -82.3482916904334 -689.024818217302</f>
        <v>-1463.9051399058903</v>
      </c>
      <c r="J1152">
        <f>-721.860530343869 -54.8419925604344 -556.49665249452</f>
        <v>-1333.1991753988234</v>
      </c>
      <c r="K1152" t="s">
        <v>11753</v>
      </c>
      <c r="L1152" t="s">
        <v>11754</v>
      </c>
      <c r="M1152" t="s">
        <v>11755</v>
      </c>
      <c r="N1152">
        <f>-714.121158039413 -109.695728724928 -554.96772818599</f>
        <v>-1378.7846149503312</v>
      </c>
      <c r="O1152">
        <f>-696.862557985473 -241.934399759506 -521.591383715887</f>
        <v>-1460.3883414608658</v>
      </c>
      <c r="P1152">
        <f>-680.083674355072 -280.306932294837 -230.323061171323</f>
        <v>-1190.7136678212321</v>
      </c>
      <c r="Q1152">
        <f>-519.972305887828 -101.713041193708 -253.114339449405</f>
        <v>-874.79968653094102</v>
      </c>
      <c r="R1152" t="s">
        <v>11756</v>
      </c>
      <c r="S1152" t="s">
        <v>11757</v>
      </c>
      <c r="T1152" t="s">
        <v>11758</v>
      </c>
      <c r="U1152" t="s">
        <v>11759</v>
      </c>
      <c r="V1152">
        <f>-644.615473641217 -145.965046609689 -94.2597375299009</f>
        <v>-884.84025778080695</v>
      </c>
      <c r="W1152" t="s">
        <v>11760</v>
      </c>
      <c r="X1152" t="s">
        <v>11761</v>
      </c>
      <c r="Y1152" t="s">
        <v>11762</v>
      </c>
    </row>
    <row r="1153" spans="1:25" x14ac:dyDescent="0.3">
      <c r="A1153">
        <v>57600</v>
      </c>
      <c r="B1153" t="s">
        <v>11763</v>
      </c>
      <c r="C1153">
        <f>-672.299129106485 -54.3201864188729 -97.3253517218884</f>
        <v>-823.94466724724634</v>
      </c>
      <c r="D1153">
        <f>-693.173787358152 -65.7513471874356 -210.682354114683</f>
        <v>-969.60748866027063</v>
      </c>
      <c r="E1153">
        <f>-704.082584387737 -72.2762734673884 -308.483667966671</f>
        <v>-1084.8425258217965</v>
      </c>
      <c r="F1153">
        <f>-711.668225267107 -77.1294789350291 -397.124131984703</f>
        <v>-1185.9218361868391</v>
      </c>
      <c r="G1153">
        <f>-716.601599306541 -80.9385121708196 -486.002623047544</f>
        <v>-1283.5427345249045</v>
      </c>
      <c r="H1153">
        <f>-720.68493101516 -85.2390528743949 -610.44388285643</f>
        <v>-1416.3678667459849</v>
      </c>
      <c r="I1153">
        <f>-693.732511536139 -83.6611549339004 -689.032193178902</f>
        <v>-1466.4258596489415</v>
      </c>
      <c r="J1153">
        <f>-722.80484101076 -55.9279674380894 -556.502511815368</f>
        <v>-1335.2353202642175</v>
      </c>
      <c r="K1153" t="s">
        <v>11764</v>
      </c>
      <c r="L1153" t="s">
        <v>11765</v>
      </c>
      <c r="M1153" t="s">
        <v>11766</v>
      </c>
      <c r="N1153">
        <f>-714.971250461171 -110.76517278384 -554.864510069992</f>
        <v>-1380.6009333150032</v>
      </c>
      <c r="O1153">
        <f>-697.4336647204 -242.897060683484 -521.244551335491</f>
        <v>-1461.5752767393751</v>
      </c>
      <c r="P1153">
        <f>-680.726030597998 -280.073748768889 -229.817094815489</f>
        <v>-1190.616874182376</v>
      </c>
      <c r="Q1153">
        <f>-519.860544373336 -102.221737847171 -253.093608150129</f>
        <v>-875.1758903706359</v>
      </c>
      <c r="R1153" t="s">
        <v>11767</v>
      </c>
      <c r="S1153" t="s">
        <v>11768</v>
      </c>
      <c r="T1153" t="s">
        <v>11769</v>
      </c>
      <c r="U1153" t="s">
        <v>11770</v>
      </c>
      <c r="V1153">
        <f>-644.808189286008 -146.291501997593 -94.2494325927806</f>
        <v>-885.34912387638167</v>
      </c>
      <c r="W1153" t="s">
        <v>11771</v>
      </c>
      <c r="X1153" t="s">
        <v>11772</v>
      </c>
      <c r="Y1153" t="s">
        <v>11773</v>
      </c>
    </row>
    <row r="1154" spans="1:25" x14ac:dyDescent="0.3">
      <c r="A1154">
        <v>57650</v>
      </c>
      <c r="B1154" t="s">
        <v>11774</v>
      </c>
      <c r="C1154">
        <f>-672.462467555175 -54.5075794632805 -97.3321749560317</f>
        <v>-824.30222197448722</v>
      </c>
      <c r="D1154">
        <f>-693.337609907075 -65.9700175950939 -210.685831079372</f>
        <v>-969.99345858154106</v>
      </c>
      <c r="E1154">
        <f>-704.288109095138 -72.5592325121388 -308.478131450264</f>
        <v>-1085.3254730575409</v>
      </c>
      <c r="F1154">
        <f>-711.929170844354 -77.4848071135477 -397.109882807926</f>
        <v>-1186.5238607658277</v>
      </c>
      <c r="G1154">
        <f>-716.936163967971 -81.3795049843304 -485.980655645686</f>
        <v>-1284.2963245979875</v>
      </c>
      <c r="H1154">
        <f>-721.142065504941 -85.81292819185 -610.413288975288</f>
        <v>-1417.368282672079</v>
      </c>
      <c r="I1154">
        <f>-694.273447909045 -84.277260999145 -689.030995562831</f>
        <v>-1467.5817044710211</v>
      </c>
      <c r="J1154">
        <f>-723.239691542608 -56.4486514941832 -556.499897512728</f>
        <v>-1336.1882405495194</v>
      </c>
      <c r="K1154" t="s">
        <v>11775</v>
      </c>
      <c r="L1154" t="s">
        <v>11776</v>
      </c>
      <c r="M1154" t="s">
        <v>11777</v>
      </c>
      <c r="N1154">
        <f>-715.342818746828 -111.275393187964 -554.813290722336</f>
        <v>-1381.431502657128</v>
      </c>
      <c r="O1154">
        <f>-697.604902214788 -243.350784733502 -521.06010327985</f>
        <v>-1462.0157902281398</v>
      </c>
      <c r="P1154">
        <f>-680.912295505596 -279.846177924168 -229.545754859515</f>
        <v>-1190.3042282892791</v>
      </c>
      <c r="Q1154">
        <f>-519.825522950098 -102.212529961884 -252.958702496908</f>
        <v>-874.99675540889007</v>
      </c>
      <c r="R1154" t="s">
        <v>11778</v>
      </c>
      <c r="S1154" t="s">
        <v>11779</v>
      </c>
      <c r="T1154" t="s">
        <v>11780</v>
      </c>
      <c r="U1154" t="s">
        <v>11781</v>
      </c>
      <c r="V1154">
        <f>-644.876303415357 -146.505245370481 -94.2507537934358</f>
        <v>-885.63230257927387</v>
      </c>
      <c r="W1154" t="s">
        <v>11782</v>
      </c>
      <c r="X1154" t="s">
        <v>11783</v>
      </c>
      <c r="Y1154" t="s">
        <v>11784</v>
      </c>
    </row>
    <row r="1155" spans="1:25" x14ac:dyDescent="0.3">
      <c r="A1155">
        <v>57700</v>
      </c>
      <c r="B1155" t="s">
        <v>11785</v>
      </c>
      <c r="C1155">
        <f>-672.855360004178 -54.7343744179309 -97.3783377650188</f>
        <v>-824.96807218712775</v>
      </c>
      <c r="D1155">
        <f>-693.716255024191 -66.249713001436 -210.729184319582</f>
        <v>-970.69515234520907</v>
      </c>
      <c r="E1155">
        <f>-704.715856575092 -72.9038018658507 -308.511709614537</f>
        <v>-1086.1313680554797</v>
      </c>
      <c r="F1155">
        <f>-712.4266102279 -77.8951271964772 -397.133678129431</f>
        <v>-1187.4554155538083</v>
      </c>
      <c r="G1155">
        <f>-717.529036464906 -81.8608771886886 -485.995838504908</f>
        <v>-1285.3857521585026</v>
      </c>
      <c r="H1155">
        <f>-721.896237149768 -86.3977424505097 -610.419088581954</f>
        <v>-1418.7130681822318</v>
      </c>
      <c r="I1155">
        <f>-695.180136172211 -84.8592480007276 -689.08871566266</f>
        <v>-1469.1280998355985</v>
      </c>
      <c r="J1155">
        <f>-724.018918778458 -57.002366049348 -556.523785819988</f>
        <v>-1337.5450706477941</v>
      </c>
      <c r="K1155" t="s">
        <v>11786</v>
      </c>
      <c r="L1155" t="s">
        <v>11787</v>
      </c>
      <c r="M1155" t="s">
        <v>11788</v>
      </c>
      <c r="N1155">
        <f>-715.930019788188 -111.800130696034 -554.809530302</f>
        <v>-1382.5396807862221</v>
      </c>
      <c r="O1155">
        <f>-697.631781074665 -243.764418791458 -520.929206628831</f>
        <v>-1462.325406494954</v>
      </c>
      <c r="P1155">
        <f>-680.878815405679 -279.785174291202 -229.359155355307</f>
        <v>-1190.0231450521881</v>
      </c>
      <c r="Q1155">
        <f>-520.281745128405 -101.726847345311 -252.911243235765</f>
        <v>-874.91983570948094</v>
      </c>
      <c r="R1155" t="s">
        <v>11789</v>
      </c>
      <c r="S1155" t="s">
        <v>11790</v>
      </c>
      <c r="T1155" t="s">
        <v>11791</v>
      </c>
      <c r="U1155" t="s">
        <v>11792</v>
      </c>
      <c r="V1155">
        <f>-645.01855816341 -146.589242419376 -94.2940100534145</f>
        <v>-885.90181063620048</v>
      </c>
      <c r="W1155" t="s">
        <v>11793</v>
      </c>
      <c r="X1155" t="s">
        <v>11794</v>
      </c>
      <c r="Y1155" t="s">
        <v>11795</v>
      </c>
    </row>
    <row r="1156" spans="1:25" x14ac:dyDescent="0.3">
      <c r="A1156">
        <v>57750</v>
      </c>
      <c r="B1156" t="s">
        <v>11796</v>
      </c>
      <c r="C1156">
        <f>-673.200881056193 -55.5674050735129 -97.4452615684933</f>
        <v>-826.21354769819914</v>
      </c>
      <c r="D1156">
        <f>-694.009013358045 -67.1986907398341 -210.794021628681</f>
        <v>-972.00172572656004</v>
      </c>
      <c r="E1156">
        <f>-705.019086469728 -73.9055913817942 -308.571592878021</f>
        <v>-1087.4962707295433</v>
      </c>
      <c r="F1156">
        <f>-712.760457439878 -78.9278410352001 -397.189292993797</f>
        <v>-1188.8775914688752</v>
      </c>
      <c r="G1156">
        <f>-717.914343915318 -82.9046456562185 -486.047919179158</f>
        <v>-1286.8669087506944</v>
      </c>
      <c r="H1156">
        <f>-722.375211327332 -87.4364343250534 -610.468142420509</f>
        <v>-1420.2797880728945</v>
      </c>
      <c r="I1156">
        <f>-695.783966923387 -85.8003630180028 -689.178063450349</f>
        <v>-1470.7623933917389</v>
      </c>
      <c r="J1156">
        <f>-724.593944037763 -58.0636931791423 -556.564287935023</f>
        <v>-1339.2219251519282</v>
      </c>
      <c r="K1156" t="s">
        <v>11797</v>
      </c>
      <c r="L1156" t="s">
        <v>11798</v>
      </c>
      <c r="M1156" t="s">
        <v>11799</v>
      </c>
      <c r="N1156">
        <f>-716.230512462145 -112.820857323604 -554.869657819875</f>
        <v>-1383.9210276056242</v>
      </c>
      <c r="O1156">
        <f>-697.227073651445 -244.692029787868 -521.024679244623</f>
        <v>-1462.9437826839362</v>
      </c>
      <c r="P1156">
        <f>-680.504576557103 -280.200798907331 -229.390309722307</f>
        <v>-1190.0956851867409</v>
      </c>
      <c r="Q1156">
        <f>-520.632314493941 -101.483667748006 -252.883059596026</f>
        <v>-874.99904183797298</v>
      </c>
      <c r="R1156" t="s">
        <v>11800</v>
      </c>
      <c r="S1156" t="s">
        <v>11801</v>
      </c>
      <c r="T1156" t="s">
        <v>11802</v>
      </c>
      <c r="U1156" t="s">
        <v>11803</v>
      </c>
      <c r="V1156">
        <f>-644.971462170089 -147.451263250365 -94.3337475544935</f>
        <v>-886.75647297494754</v>
      </c>
      <c r="W1156" t="s">
        <v>11804</v>
      </c>
      <c r="X1156" t="s">
        <v>11805</v>
      </c>
      <c r="Y1156" t="s">
        <v>11806</v>
      </c>
    </row>
    <row r="1157" spans="1:25" x14ac:dyDescent="0.3">
      <c r="A1157">
        <v>57800</v>
      </c>
      <c r="B1157" t="s">
        <v>11807</v>
      </c>
      <c r="C1157">
        <f>-673.314488798357 -56.0115895518479 -97.4590387002281</f>
        <v>-826.78511705043309</v>
      </c>
      <c r="D1157">
        <f>-694.08791659214 -67.7012343029069 -210.808197653737</f>
        <v>-972.59734854878388</v>
      </c>
      <c r="E1157">
        <f>-705.094145378373 -74.4360933124269 -308.584243258624</f>
        <v>-1088.1144819494239</v>
      </c>
      <c r="F1157">
        <f>-712.841649456646 -79.475726704027 -397.200449424874</f>
        <v>-1189.5178255855471</v>
      </c>
      <c r="G1157">
        <f>-718.011437218357 -83.460840248355 -486.057828416078</f>
        <v>-1287.5301058827899</v>
      </c>
      <c r="H1157">
        <f>-722.504433061585 -87.9939065242322 -610.476775640013</f>
        <v>-1420.9751152258302</v>
      </c>
      <c r="I1157">
        <f>-695.958241993843 -86.2724326145026 -689.200036282249</f>
        <v>-1471.4307108905946</v>
      </c>
      <c r="J1157">
        <f>-724.788659603612 -58.632647325139 -556.569252707573</f>
        <v>-1339.9905596363242</v>
      </c>
      <c r="K1157" t="s">
        <v>11808</v>
      </c>
      <c r="L1157" t="s">
        <v>11809</v>
      </c>
      <c r="M1157" t="s">
        <v>11810</v>
      </c>
      <c r="N1157">
        <f>-716.266028571638 -113.365537460889 -554.882977259138</f>
        <v>-1384.5145432916649</v>
      </c>
      <c r="O1157">
        <f>-696.84638671934 -245.190118509713 -521.076160582631</f>
        <v>-1463.1126658116841</v>
      </c>
      <c r="P1157">
        <f>-679.966539756129 -280.811796275321 -229.464448434589</f>
        <v>-1190.242784466039</v>
      </c>
      <c r="Q1157">
        <f>-520.881058478387 -101.395245114887 -252.967307057139</f>
        <v>-875.24361065041296</v>
      </c>
      <c r="R1157" t="s">
        <v>11811</v>
      </c>
      <c r="S1157" t="s">
        <v>11812</v>
      </c>
      <c r="T1157" t="s">
        <v>11813</v>
      </c>
      <c r="U1157" t="s">
        <v>11814</v>
      </c>
      <c r="V1157">
        <f>-644.921456824349 -147.777585144289 -94.342007095099</f>
        <v>-887.04104906373698</v>
      </c>
      <c r="W1157" t="s">
        <v>11815</v>
      </c>
      <c r="X1157" t="s">
        <v>11816</v>
      </c>
      <c r="Y1157" t="s">
        <v>11817</v>
      </c>
    </row>
    <row r="1158" spans="1:25" x14ac:dyDescent="0.3">
      <c r="A1158">
        <v>57850</v>
      </c>
      <c r="B1158" t="s">
        <v>11818</v>
      </c>
      <c r="C1158">
        <f>-673.394178466873 -56.4597828000183 -97.4591803209852</f>
        <v>-827.31314158787643</v>
      </c>
      <c r="D1158">
        <f>-694.140509089503 -68.2082095484848 -210.807301303359</f>
        <v>-973.15601994134681</v>
      </c>
      <c r="E1158">
        <f>-705.152378714492 -74.9655137442094 -308.581135692924</f>
        <v>-1088.6990281516255</v>
      </c>
      <c r="F1158">
        <f>-712.915929280574 -80.0151379635872 -397.195315445361</f>
        <v>-1190.1263826895222</v>
      </c>
      <c r="G1158">
        <f>-718.112849876268 -83.9983424432126 -486.051182046758</f>
        <v>-1288.1623743662385</v>
      </c>
      <c r="H1158">
        <f>-722.654799199302 -88.515779103197 -610.468922449302</f>
        <v>-1421.6395007518011</v>
      </c>
      <c r="I1158">
        <f>-696.14050021156 -86.6835776496905 -689.200613951763</f>
        <v>-1472.0246918130135</v>
      </c>
      <c r="J1158">
        <f>-725.002545876143 -59.1745487667033 -556.553437227287</f>
        <v>-1340.7305318701333</v>
      </c>
      <c r="K1158" t="s">
        <v>11819</v>
      </c>
      <c r="L1158" t="s">
        <v>11820</v>
      </c>
      <c r="M1158" t="s">
        <v>11821</v>
      </c>
      <c r="N1158">
        <f>-716.309864668578 -113.881065954918 -554.884377336295</f>
        <v>-1385.075307959791</v>
      </c>
      <c r="O1158">
        <f>-696.439921210687 -245.647695677085 -521.118046635518</f>
        <v>-1463.20566352329</v>
      </c>
      <c r="P1158">
        <f>-679.411036425818 -281.192032050356 -229.505610718378</f>
        <v>-1190.108679194552</v>
      </c>
      <c r="Q1158">
        <f>-521.139325100991 -101.059291991464 -253.025008713175</f>
        <v>-875.22362580562992</v>
      </c>
      <c r="R1158" t="s">
        <v>11822</v>
      </c>
      <c r="S1158" t="s">
        <v>11823</v>
      </c>
      <c r="T1158" t="s">
        <v>11824</v>
      </c>
      <c r="U1158" t="s">
        <v>11825</v>
      </c>
      <c r="V1158">
        <f>-644.816160450894 -148.10805880729 -94.3395737186695</f>
        <v>-887.26379297685355</v>
      </c>
      <c r="W1158" t="s">
        <v>11826</v>
      </c>
      <c r="X1158" t="s">
        <v>11827</v>
      </c>
      <c r="Y1158" t="s">
        <v>11828</v>
      </c>
    </row>
    <row r="1159" spans="1:25" x14ac:dyDescent="0.3">
      <c r="A1159">
        <v>57900</v>
      </c>
      <c r="B1159" t="s">
        <v>11829</v>
      </c>
      <c r="C1159">
        <f>-673.692499871966 -57.5802657708325 -97.4358812369561</f>
        <v>-828.70864687975461</v>
      </c>
      <c r="D1159">
        <f>-694.411238847734 -69.4438168411605 -210.777085383057</f>
        <v>-974.63214107195154</v>
      </c>
      <c r="E1159">
        <f>-705.457267305476 -76.2410757337059 -308.544352274273</f>
        <v>-1090.242695313455</v>
      </c>
      <c r="F1159">
        <f>-713.273344430636 -81.3044162623344 -397.153062881831</f>
        <v>-1191.7308235748014</v>
      </c>
      <c r="G1159">
        <f>-718.545028926346 -85.2755819727122 -486.005022585042</f>
        <v>-1289.8256334841003</v>
      </c>
      <c r="H1159">
        <f>-723.213895027568 -89.747783603769 -610.419799031018</f>
        <v>-1423.3814776623549</v>
      </c>
      <c r="I1159">
        <f>-696.738080323766 -87.6658216096089 -689.158075720483</f>
        <v>-1473.5619776538579</v>
      </c>
      <c r="J1159">
        <f>-725.68506811481 -60.4549357761418 -556.483425034361</f>
        <v>-1342.6234289253127</v>
      </c>
      <c r="K1159" t="s">
        <v>11830</v>
      </c>
      <c r="L1159" t="s">
        <v>11831</v>
      </c>
      <c r="M1159" t="s">
        <v>11832</v>
      </c>
      <c r="N1159">
        <f>-716.633545824755 -115.104730158205 -554.85871177797</f>
        <v>-1386.59698776093</v>
      </c>
      <c r="O1159">
        <f>-695.841606770262 -246.744437246635 -521.150055503051</f>
        <v>-1463.7360995199481</v>
      </c>
      <c r="P1159">
        <f>-678.308948439083 -282.316012073785 -229.570807826088</f>
        <v>-1190.195768338956</v>
      </c>
      <c r="Q1159">
        <f>-521.942761265856 -100.53350168563 -253.14209255819</f>
        <v>-875.61835550967601</v>
      </c>
      <c r="R1159" t="s">
        <v>11833</v>
      </c>
      <c r="S1159" t="s">
        <v>11834</v>
      </c>
      <c r="T1159" t="s">
        <v>11835</v>
      </c>
      <c r="U1159" t="s">
        <v>11836</v>
      </c>
      <c r="V1159">
        <f>-644.724614149994 -149.270999099444 -94.3241571274357</f>
        <v>-888.31977037687363</v>
      </c>
      <c r="W1159" t="s">
        <v>11837</v>
      </c>
      <c r="X1159" t="s">
        <v>11838</v>
      </c>
      <c r="Y1159" t="s">
        <v>11839</v>
      </c>
    </row>
    <row r="1160" spans="1:25" x14ac:dyDescent="0.3">
      <c r="A1160">
        <v>57950</v>
      </c>
      <c r="B1160" t="s">
        <v>11840</v>
      </c>
      <c r="C1160">
        <f>-673.75263902435 -58.0380009058347 -97.4392832293647</f>
        <v>-829.22992315954934</v>
      </c>
      <c r="D1160">
        <f>-694.460368409073 -69.9602225411668 -210.776201999208</f>
        <v>-975.19679294944785</v>
      </c>
      <c r="E1160">
        <f>-705.509848514051 -76.7788062309082 -308.541605884366</f>
        <v>-1090.8302606293253</v>
      </c>
      <c r="F1160">
        <f>-713.333822886336 -81.8501598361606 -397.149234019852</f>
        <v>-1192.3332167423487</v>
      </c>
      <c r="G1160">
        <f>-718.617822166335 -85.8170075266601 -486.0007466452</f>
        <v>-1290.435576338195</v>
      </c>
      <c r="H1160">
        <f>-723.308978106636 -90.269410806821 -610.415227550364</f>
        <v>-1423.9936164638211</v>
      </c>
      <c r="I1160">
        <f>-696.832304775406 -88.0602810149362 -689.149796544053</f>
        <v>-1474.0423823343951</v>
      </c>
      <c r="J1160">
        <f>-725.859440915262 -60.9998889339452 -556.469893202907</f>
        <v>-1343.3292230521142</v>
      </c>
      <c r="K1160" t="s">
        <v>11841</v>
      </c>
      <c r="L1160" t="s">
        <v>11842</v>
      </c>
      <c r="M1160" t="s">
        <v>11843</v>
      </c>
      <c r="N1160">
        <f>-716.62986806943 -115.620452168149 -554.863111375533</f>
        <v>-1387.113431613112</v>
      </c>
      <c r="O1160">
        <f>-695.418917145084 -247.195737749914 -521.176900324514</f>
        <v>-1463.791555219512</v>
      </c>
      <c r="P1160">
        <f>-677.669683172311 -282.652320096861 -229.596664709867</f>
        <v>-1189.9186679790391</v>
      </c>
      <c r="Q1160">
        <f>-521.953282071456 -100.326800335845 -253.275916456218</f>
        <v>-875.55599886351888</v>
      </c>
      <c r="R1160" t="s">
        <v>11844</v>
      </c>
      <c r="S1160" t="s">
        <v>11845</v>
      </c>
      <c r="T1160" t="s">
        <v>11846</v>
      </c>
      <c r="U1160" t="s">
        <v>11847</v>
      </c>
      <c r="V1160">
        <f>-644.544436434317 -149.596572451467 -94.3295304362701</f>
        <v>-888.47053932205415</v>
      </c>
      <c r="W1160" t="s">
        <v>11848</v>
      </c>
      <c r="X1160" t="s">
        <v>11849</v>
      </c>
      <c r="Y1160" t="s">
        <v>11850</v>
      </c>
    </row>
    <row r="1161" spans="1:25" x14ac:dyDescent="0.3">
      <c r="A1161">
        <v>58000</v>
      </c>
      <c r="B1161" t="s">
        <v>11851</v>
      </c>
      <c r="C1161">
        <f>-673.792359995036 -59.132782114857 -97.4638904251763</f>
        <v>-830.3890325350693</v>
      </c>
      <c r="D1161">
        <f>-694.464552693988 -71.1825851048759 -210.793865874446</f>
        <v>-976.44100367330998</v>
      </c>
      <c r="E1161">
        <f>-705.48490118523 -78.0468070882732 -308.559295740124</f>
        <v>-1092.0910040136273</v>
      </c>
      <c r="F1161">
        <f>-713.281394824053 -83.1360561588376 -397.168302520891</f>
        <v>-1193.5857535037817</v>
      </c>
      <c r="G1161">
        <f>-718.536662640536 -87.0949246090597 -486.021869153788</f>
        <v>-1291.6534564033836</v>
      </c>
      <c r="H1161">
        <f>-723.186087182329 -91.5088937033336 -610.439357426569</f>
        <v>-1425.1343383122316</v>
      </c>
      <c r="I1161">
        <f>-696.699546512261 -89.0760035743581 -689.164094504779</f>
        <v>-1474.9396445913981</v>
      </c>
      <c r="J1161">
        <f>-725.915956725327 -62.2835172650457 -556.478856881336</f>
        <v>-1344.6783308717086</v>
      </c>
      <c r="K1161" t="s">
        <v>11852</v>
      </c>
      <c r="L1161" t="s">
        <v>11853</v>
      </c>
      <c r="M1161" t="s">
        <v>11854</v>
      </c>
      <c r="N1161">
        <f>-716.364282395046 -116.849342934536 -554.899938988079</f>
        <v>-1388.113564317661</v>
      </c>
      <c r="O1161">
        <f>-694.369374555725 -248.316639980338 -521.259396762269</f>
        <v>-1463.9454112983321</v>
      </c>
      <c r="P1161">
        <f>-676.124329267705 -283.922459278192 -229.727908813667</f>
        <v>-1189.774697359564</v>
      </c>
      <c r="Q1161">
        <f>-521.947488777994 -100.295825568842 -253.424836434149</f>
        <v>-875.668150780985</v>
      </c>
      <c r="R1161" t="s">
        <v>11855</v>
      </c>
      <c r="S1161" t="s">
        <v>11856</v>
      </c>
      <c r="T1161" t="s">
        <v>11857</v>
      </c>
      <c r="U1161" t="s">
        <v>11858</v>
      </c>
      <c r="V1161">
        <f>-644.21062582573 -150.539982761869 -94.3360634189776</f>
        <v>-889.08667200657646</v>
      </c>
      <c r="W1161" t="s">
        <v>11859</v>
      </c>
      <c r="X1161" t="s">
        <v>11860</v>
      </c>
      <c r="Y1161" t="s">
        <v>11861</v>
      </c>
    </row>
    <row r="1162" spans="1:25" x14ac:dyDescent="0.3">
      <c r="A1162">
        <v>58050</v>
      </c>
      <c r="B1162" t="s">
        <v>11862</v>
      </c>
      <c r="C1162">
        <f>-673.802154712914 -59.6913053181775 -97.4584660707368</f>
        <v>-830.95192610182824</v>
      </c>
      <c r="D1162">
        <f>-694.454478327503 -71.7814978776587 -210.787661071928</f>
        <v>-977.02363727708973</v>
      </c>
      <c r="E1162">
        <f>-705.445149544192 -78.6622640225285 -308.555312410742</f>
        <v>-1092.6627259774623</v>
      </c>
      <c r="F1162">
        <f>-713.209230890386 -83.7603623566567 -397.166824082395</f>
        <v>-1194.1364173294378</v>
      </c>
      <c r="G1162">
        <f>-718.426457127496 -87.7211453045938 -486.022406332238</f>
        <v>-1292.1700087643278</v>
      </c>
      <c r="H1162">
        <f>-723.016685769808 -92.1304517043957 -610.442321245501</f>
        <v>-1425.5894587197047</v>
      </c>
      <c r="I1162">
        <f>-696.517651557673 -89.6104970840845 -689.159968003842</f>
        <v>-1475.2881166455995</v>
      </c>
      <c r="J1162">
        <f>-725.841697279717 -62.919367291672 -556.478880391114</f>
        <v>-1345.2399449625029</v>
      </c>
      <c r="K1162" t="s">
        <v>11863</v>
      </c>
      <c r="L1162" t="s">
        <v>11864</v>
      </c>
      <c r="M1162" t="s">
        <v>11865</v>
      </c>
      <c r="N1162">
        <f>-716.151914150337 -117.460998728141 -554.903546278966</f>
        <v>-1388.5164591574439</v>
      </c>
      <c r="O1162">
        <f>-693.82746787225 -248.869736535192 -521.285478633922</f>
        <v>-1463.982683041364</v>
      </c>
      <c r="P1162">
        <f>-675.477418710771 -284.341379439828 -229.744318685231</f>
        <v>-1189.56311683583</v>
      </c>
      <c r="Q1162">
        <f>-521.593250131236 -100.479883738217 -253.52460137626</f>
        <v>-875.59773524571301</v>
      </c>
      <c r="R1162" t="s">
        <v>11866</v>
      </c>
      <c r="S1162" t="s">
        <v>11867</v>
      </c>
      <c r="T1162" t="s">
        <v>11868</v>
      </c>
      <c r="U1162" t="s">
        <v>11869</v>
      </c>
      <c r="V1162">
        <f>-644.043530316826 -151.076163327346 -94.3401145568246</f>
        <v>-889.45980820099658</v>
      </c>
      <c r="W1162" t="s">
        <v>11870</v>
      </c>
      <c r="X1162" t="s">
        <v>11871</v>
      </c>
      <c r="Y1162" t="s">
        <v>11872</v>
      </c>
    </row>
    <row r="1163" spans="1:25" x14ac:dyDescent="0.3">
      <c r="A1163">
        <v>58100</v>
      </c>
      <c r="B1163" t="s">
        <v>11873</v>
      </c>
      <c r="C1163">
        <f>-673.741685841387 -60.7593750195049 -97.4714037748151</f>
        <v>-831.97246463570707</v>
      </c>
      <c r="D1163">
        <f>-694.335045274666 -72.9446151376235 -210.801316259334</f>
        <v>-978.08097667162338</v>
      </c>
      <c r="E1163">
        <f>-705.252980959746 -79.8555606608636 -308.574926572152</f>
        <v>-1093.6834681927617</v>
      </c>
      <c r="F1163">
        <f>-712.940277468314 -84.9632589148159 -397.192430194801</f>
        <v>-1195.095966577931</v>
      </c>
      <c r="G1163">
        <f>-718.070255727725 -88.9140668271318 -486.053748241124</f>
        <v>-1293.0380707959807</v>
      </c>
      <c r="H1163">
        <f>-722.526586794503 -93.2891242168512 -610.479544505059</f>
        <v>-1426.2952555164134</v>
      </c>
      <c r="I1163">
        <f>-696.010671372799 -90.6217024850014 -689.1868415744</f>
        <v>-1475.8192154322005</v>
      </c>
      <c r="J1163">
        <f>-725.535765006999 -64.1154647589326 -556.505944617062</f>
        <v>-1346.1571743829936</v>
      </c>
      <c r="K1163" t="s">
        <v>11874</v>
      </c>
      <c r="L1163" t="s">
        <v>11875</v>
      </c>
      <c r="M1163" t="s">
        <v>11876</v>
      </c>
      <c r="N1163">
        <f>-715.595451981603 -118.612488387422 -554.945829586683</f>
        <v>-1389.153769955708</v>
      </c>
      <c r="O1163">
        <f>-692.627839735159 -249.912901635667 -521.309750247692</f>
        <v>-1463.8504916185179</v>
      </c>
      <c r="P1163">
        <f>-673.908195572061 -285.445243851461 -229.799449864906</f>
        <v>-1189.152889288428</v>
      </c>
      <c r="Q1163">
        <f>-520.683776684936 -101.030691043104 -253.5571072262</f>
        <v>-875.2715749542399</v>
      </c>
      <c r="R1163" t="s">
        <v>11877</v>
      </c>
      <c r="S1163" t="s">
        <v>11878</v>
      </c>
      <c r="T1163" t="s">
        <v>11879</v>
      </c>
      <c r="U1163" t="s">
        <v>11880</v>
      </c>
      <c r="V1163">
        <f>-643.611566228731 -152.051387748294 -94.3548598555675</f>
        <v>-890.01781383259254</v>
      </c>
      <c r="W1163" t="s">
        <v>11881</v>
      </c>
      <c r="X1163" t="s">
        <v>11882</v>
      </c>
      <c r="Y1163" t="s">
        <v>11883</v>
      </c>
    </row>
    <row r="1164" spans="1:25" x14ac:dyDescent="0.3">
      <c r="A1164">
        <v>58150</v>
      </c>
      <c r="B1164" t="s">
        <v>11884</v>
      </c>
      <c r="C1164">
        <f>-673.683006634569 -61.2573355868713 -97.4857340873286</f>
        <v>-832.42607630876887</v>
      </c>
      <c r="D1164">
        <f>-694.228596593077 -73.4834531786275 -210.819861100017</f>
        <v>-978.53191087172149</v>
      </c>
      <c r="E1164">
        <f>-705.081302652228 -80.4064113091636 -308.59997814633</f>
        <v>-1094.0876921077215</v>
      </c>
      <c r="F1164">
        <f>-712.699624491509 -85.5172724930692 -397.223235773295</f>
        <v>-1195.4401327578732</v>
      </c>
      <c r="G1164">
        <f>-717.749679907244 -89.4628649322701 -486.089306560535</f>
        <v>-1293.3018514000491</v>
      </c>
      <c r="H1164">
        <f>-722.083181106305 -93.8222977562191 -610.520142778206</f>
        <v>-1426.4256216407302</v>
      </c>
      <c r="I1164">
        <f>-695.553216069568 -91.0732295292967 -689.219782910847</f>
        <v>-1475.8462285097116</v>
      </c>
      <c r="J1164">
        <f>-725.213012657273 -64.6677166909776 -556.543083029331</f>
        <v>-1346.4238123775817</v>
      </c>
      <c r="K1164" t="s">
        <v>11885</v>
      </c>
      <c r="L1164" t="s">
        <v>11886</v>
      </c>
      <c r="M1164" t="s">
        <v>11887</v>
      </c>
      <c r="N1164">
        <f>-715.139198010831 -119.140300471306 -554.985541521732</f>
        <v>-1389.265040003869</v>
      </c>
      <c r="O1164">
        <f>-691.838048387999 -250.379483252621 -521.362978119956</f>
        <v>-1463.580509760576</v>
      </c>
      <c r="P1164">
        <f>-673.127926450815 -285.722675825922 -229.829105262901</f>
        <v>-1188.679707539638</v>
      </c>
      <c r="Q1164">
        <f>-519.941590984631 -101.28328708283 -253.638698274515</f>
        <v>-874.86357634197611</v>
      </c>
      <c r="R1164" t="s">
        <v>11888</v>
      </c>
      <c r="S1164" t="s">
        <v>11889</v>
      </c>
      <c r="T1164" t="s">
        <v>11890</v>
      </c>
      <c r="U1164" t="s">
        <v>11891</v>
      </c>
      <c r="V1164">
        <f>-643.349217936592 -152.413704685994 -94.365139763893</f>
        <v>-890.12806238647909</v>
      </c>
      <c r="W1164" t="s">
        <v>11892</v>
      </c>
      <c r="X1164" t="s">
        <v>11893</v>
      </c>
      <c r="Y1164" t="s">
        <v>11894</v>
      </c>
    </row>
    <row r="1165" spans="1:25" x14ac:dyDescent="0.3">
      <c r="A1165">
        <v>58200</v>
      </c>
      <c r="B1165" t="s">
        <v>11895</v>
      </c>
      <c r="C1165">
        <f>-673.746894752938 -62.3026860065756 -97.5280532622901</f>
        <v>-833.57763402180376</v>
      </c>
      <c r="D1165">
        <f>-694.185106251315 -74.6318714224444 -210.87044164824</f>
        <v>-979.68741932199941</v>
      </c>
      <c r="E1165">
        <f>-704.906858906459 -81.588818939932 -308.662613094056</f>
        <v>-1095.1582909404469</v>
      </c>
      <c r="F1165">
        <f>-712.388965509878 -86.7124395767094 -397.29667235297</f>
        <v>-1196.3980774395573</v>
      </c>
      <c r="G1165">
        <f>-717.28509254138 -90.6516550372869 -486.171698528187</f>
        <v>-1294.108446106854</v>
      </c>
      <c r="H1165">
        <f>-721.384295972245 -94.982100628129 -610.611429333139</f>
        <v>-1426.977825933513</v>
      </c>
      <c r="I1165">
        <f>-694.846728026796 -92.036417006555 -689.301351025666</f>
        <v>-1476.184496059017</v>
      </c>
      <c r="J1165">
        <f>-724.768611354456 -65.8685242188467 -556.627408621894</f>
        <v>-1347.2645441951968</v>
      </c>
      <c r="K1165" t="s">
        <v>11896</v>
      </c>
      <c r="L1165" t="s">
        <v>11897</v>
      </c>
      <c r="M1165" t="s">
        <v>11898</v>
      </c>
      <c r="N1165">
        <f>-714.392281659628 -120.284401496241 -555.075713013084</f>
        <v>-1389.7523961689531</v>
      </c>
      <c r="O1165">
        <f>-690.31804025322 -251.389698314751 -521.471946777935</f>
        <v>-1463.1796853459061</v>
      </c>
      <c r="P1165">
        <f>-671.452967925091 -286.657290214832 -229.938858249566</f>
        <v>-1188.049116389489</v>
      </c>
      <c r="Q1165">
        <f>-518.746930888771 -101.796891595072 -253.567593709433</f>
        <v>-874.111416193276</v>
      </c>
      <c r="R1165" t="s">
        <v>11899</v>
      </c>
      <c r="S1165" t="s">
        <v>11900</v>
      </c>
      <c r="T1165" t="s">
        <v>11901</v>
      </c>
      <c r="U1165" t="s">
        <v>11902</v>
      </c>
      <c r="V1165">
        <f>-642.944777922112 -153.385922916277 -94.3976293177451</f>
        <v>-890.72833015613412</v>
      </c>
      <c r="W1165" t="s">
        <v>11903</v>
      </c>
      <c r="X1165" t="s">
        <v>11904</v>
      </c>
      <c r="Y1165" t="s">
        <v>11905</v>
      </c>
    </row>
    <row r="1166" spans="1:25" x14ac:dyDescent="0.3">
      <c r="A1166">
        <v>58250</v>
      </c>
      <c r="B1166" t="s">
        <v>11906</v>
      </c>
      <c r="C1166">
        <f>-673.778868591367 -62.8469330921976 -97.5394910599115</f>
        <v>-834.16529274347602</v>
      </c>
      <c r="D1166">
        <f>-694.181274266647 -75.2409379837511 -210.881120569611</f>
        <v>-980.30333282000913</v>
      </c>
      <c r="E1166">
        <f>-704.845640902933 -82.2175350398893 -308.678238609066</f>
        <v>-1095.7414145518883</v>
      </c>
      <c r="F1166">
        <f>-712.263786800314 -87.3467436599169 -397.31745092761</f>
        <v>-1196.9279813878411</v>
      </c>
      <c r="G1166">
        <f>-717.083910111584 -91.2783737459361 -486.196784210899</f>
        <v>-1294.559068068419</v>
      </c>
      <c r="H1166">
        <f>-721.064163230916 -95.5843285064382 -610.641269309881</f>
        <v>-1427.2897610472351</v>
      </c>
      <c r="I1166">
        <f>-694.512786838664 -92.506722034389 -689.321576285336</f>
        <v>-1476.341085158389</v>
      </c>
      <c r="J1166">
        <f>-724.596208569355 -66.4998035793869 -556.651255155728</f>
        <v>-1347.7472673044699</v>
      </c>
      <c r="K1166" t="s">
        <v>11907</v>
      </c>
      <c r="L1166" t="s">
        <v>11908</v>
      </c>
      <c r="M1166" t="s">
        <v>11909</v>
      </c>
      <c r="N1166">
        <f>-714.029113029782 -120.879228050757 -555.1076039966</f>
        <v>-1390.0159450771389</v>
      </c>
      <c r="O1166">
        <f>-689.50301059986 -251.913567491401 -521.552026603057</f>
        <v>-1462.9686046943179</v>
      </c>
      <c r="P1166">
        <f>-670.628206648092 -287.048911726719 -230.003568499426</f>
        <v>-1187.6806868742369</v>
      </c>
      <c r="Q1166">
        <f>-518.091269672954 -102.045001334291 -253.602041318683</f>
        <v>-873.73831232592806</v>
      </c>
      <c r="R1166" t="s">
        <v>11910</v>
      </c>
      <c r="S1166" t="s">
        <v>11911</v>
      </c>
      <c r="T1166" t="s">
        <v>11912</v>
      </c>
      <c r="U1166" t="s">
        <v>11913</v>
      </c>
      <c r="V1166">
        <f>-642.704937815582 -153.895751398434 -94.4137237787278</f>
        <v>-891.0144129927437</v>
      </c>
      <c r="W1166" t="s">
        <v>11914</v>
      </c>
      <c r="X1166" t="s">
        <v>11915</v>
      </c>
      <c r="Y1166" t="s">
        <v>11916</v>
      </c>
    </row>
    <row r="1167" spans="1:25" x14ac:dyDescent="0.3">
      <c r="A1167">
        <v>58300</v>
      </c>
      <c r="B1167" t="s">
        <v>11917</v>
      </c>
      <c r="C1167">
        <f>-673.704030305993 -63.8599630659035 -97.5690584283732</f>
        <v>-835.13305180026964</v>
      </c>
      <c r="D1167">
        <f>-694.063783499174 -76.4027137714395 -210.902071506585</f>
        <v>-981.36856877719845</v>
      </c>
      <c r="E1167">
        <f>-704.645459179428 -83.4140630521761 -308.705629116309</f>
        <v>-1096.7651513479132</v>
      </c>
      <c r="F1167">
        <f>-711.967576302835 -88.5416070609933 -397.35288043919</f>
        <v>-1197.8620638030184</v>
      </c>
      <c r="G1167">
        <f>-716.67034250862 -92.4355466431969 -486.240289108069</f>
        <v>-1295.3461782598858</v>
      </c>
      <c r="H1167">
        <f>-720.462947425045 -96.6519834374942 -610.693638612776</f>
        <v>-1427.8085694753152</v>
      </c>
      <c r="I1167">
        <f>-693.86663160259 -93.2647744152207 -689.345930892452</f>
        <v>-1476.4773369102627</v>
      </c>
      <c r="J1167">
        <f>-724.281557929627 -67.6467612905499 -556.68043453871</f>
        <v>-1348.6087537588869</v>
      </c>
      <c r="K1167" t="s">
        <v>11918</v>
      </c>
      <c r="L1167" t="s">
        <v>11919</v>
      </c>
      <c r="M1167" t="s">
        <v>11920</v>
      </c>
      <c r="N1167">
        <f>-713.306440721424 -121.946378928626 -555.175225900195</f>
        <v>-1390.4280455502449</v>
      </c>
      <c r="O1167">
        <f>-687.767002825059 -252.804661107617 -521.694420899255</f>
        <v>-1462.266084831931</v>
      </c>
      <c r="P1167">
        <f>-668.606477322178 -287.902215190037 -230.160045866214</f>
        <v>-1186.668738378429</v>
      </c>
      <c r="Q1167">
        <f>-516.83576668834 -102.266799556263 -253.740196947633</f>
        <v>-872.84276319223591</v>
      </c>
      <c r="R1167" t="s">
        <v>11921</v>
      </c>
      <c r="S1167" t="s">
        <v>11922</v>
      </c>
      <c r="T1167" t="s">
        <v>11923</v>
      </c>
      <c r="U1167" t="s">
        <v>11924</v>
      </c>
      <c r="V1167">
        <f>-642.032012109126 -154.742059823436 -94.4344767550717</f>
        <v>-891.20854868763365</v>
      </c>
      <c r="W1167" t="s">
        <v>11925</v>
      </c>
      <c r="X1167" t="s">
        <v>11926</v>
      </c>
      <c r="Y1167" t="s">
        <v>11927</v>
      </c>
    </row>
    <row r="1168" spans="1:25" x14ac:dyDescent="0.3">
      <c r="A1168">
        <v>58350</v>
      </c>
      <c r="B1168" t="s">
        <v>11928</v>
      </c>
      <c r="C1168">
        <f>-673.644105647928 -64.3964509110926 -97.5873178799532</f>
        <v>-835.62787443897378</v>
      </c>
      <c r="D1168">
        <f>-693.986477279184 -77.0215385611525 -210.914346493074</f>
        <v>-981.92236233341055</v>
      </c>
      <c r="E1168">
        <f>-704.550088365507 -84.0531266316154 -308.718407794461</f>
        <v>-1097.3216227915834</v>
      </c>
      <c r="F1168">
        <f>-711.853443919925 -89.1803887626616 -397.367176842453</f>
        <v>-1198.4010095250396</v>
      </c>
      <c r="G1168">
        <f>-716.534266583582 -93.0546192066824 -486.256566503609</f>
        <v>-1295.8454522938734</v>
      </c>
      <c r="H1168">
        <f>-720.292919828328 -97.2222597476414 -610.712660131602</f>
        <v>-1428.2278397075713</v>
      </c>
      <c r="I1168">
        <f>-693.676562324662 -93.67565610566 -689.35121671786</f>
        <v>-1476.7034351481821</v>
      </c>
      <c r="J1168">
        <f>-724.233391196861 -68.259991616454 -556.685107928729</f>
        <v>-1349.1784907420442</v>
      </c>
      <c r="K1168" t="s">
        <v>11929</v>
      </c>
      <c r="L1168" t="s">
        <v>11930</v>
      </c>
      <c r="M1168" t="s">
        <v>11931</v>
      </c>
      <c r="N1168">
        <f>-713.044483070624 -122.516650009275 -555.206134672998</f>
        <v>-1390.7672677528972</v>
      </c>
      <c r="O1168">
        <f>-686.961868992822 -253.279826781476 -521.762514878133</f>
        <v>-1462.0042106524311</v>
      </c>
      <c r="P1168">
        <f>-667.647170427083 -288.290383628412 -230.227953415651</f>
        <v>-1186.1655074711459</v>
      </c>
      <c r="Q1168">
        <f>-516.300418709786 -102.333738064138 -254.000287541842</f>
        <v>-872.6344443157659</v>
      </c>
      <c r="R1168" t="s">
        <v>11932</v>
      </c>
      <c r="S1168" t="s">
        <v>11933</v>
      </c>
      <c r="T1168" t="s">
        <v>11934</v>
      </c>
      <c r="U1168" t="s">
        <v>11935</v>
      </c>
      <c r="V1168">
        <f>-641.688455244384 -155.213237262692 -94.4469527563455</f>
        <v>-891.34864526342153</v>
      </c>
      <c r="W1168" t="s">
        <v>11936</v>
      </c>
      <c r="X1168" t="s">
        <v>11937</v>
      </c>
      <c r="Y1168" t="s">
        <v>11938</v>
      </c>
    </row>
    <row r="1169" spans="1:25" x14ac:dyDescent="0.3">
      <c r="A1169">
        <v>58400</v>
      </c>
      <c r="B1169" t="s">
        <v>11939</v>
      </c>
      <c r="C1169">
        <f>-673.546156575138 -65.6180149703148 -97.6264695809887</f>
        <v>-836.79064112644141</v>
      </c>
      <c r="D1169">
        <f>-693.799108694264 -78.3540560747992 -210.957151915635</f>
        <v>-983.1103166846982</v>
      </c>
      <c r="E1169">
        <f>-704.3036215853 -85.4041181194509 -308.766248336474</f>
        <v>-1098.4739880412249</v>
      </c>
      <c r="F1169">
        <f>-711.558480682718 -90.520178504335 -397.419551234598</f>
        <v>-1199.498210421651</v>
      </c>
      <c r="G1169">
        <f>-716.19599392488 -94.3521180136488 -486.313197185588</f>
        <v>-1296.8613091241168</v>
      </c>
      <c r="H1169">
        <f>-719.898549172477 -98.427462850862 -610.773992883119</f>
        <v>-1429.100004906458</v>
      </c>
      <c r="I1169">
        <f>-693.24196977686 -94.5706523660563 -689.384262502073</f>
        <v>-1477.1968846449893</v>
      </c>
      <c r="J1169">
        <f>-724.066993990192 -69.5478205455472 -556.719352281692</f>
        <v>-1350.3341668174312</v>
      </c>
      <c r="K1169" t="s">
        <v>11940</v>
      </c>
      <c r="L1169" t="s">
        <v>11941</v>
      </c>
      <c r="M1169" t="s">
        <v>11942</v>
      </c>
      <c r="N1169">
        <f>-712.471470074323 -123.720312064185 -555.290363888837</f>
        <v>-1391.4821460273449</v>
      </c>
      <c r="O1169">
        <f>-685.378114092164 -254.296797729218 -521.906046268374</f>
        <v>-1461.580958089756</v>
      </c>
      <c r="P1169">
        <f>-665.691728631504 -288.992094927137 -230.358568832568</f>
        <v>-1185.042392391209</v>
      </c>
      <c r="Q1169">
        <f>-515.33637080565 -102.264654913129 -254.378134026624</f>
        <v>-871.97915974540297</v>
      </c>
      <c r="R1169" t="s">
        <v>11943</v>
      </c>
      <c r="S1169" t="s">
        <v>11944</v>
      </c>
      <c r="T1169" t="s">
        <v>11945</v>
      </c>
      <c r="U1169" t="s">
        <v>11946</v>
      </c>
      <c r="V1169">
        <f>-641.030756661104 -156.450709573906 -94.479128369615</f>
        <v>-891.96059460462493</v>
      </c>
      <c r="W1169" t="s">
        <v>11947</v>
      </c>
      <c r="X1169" t="s">
        <v>11948</v>
      </c>
      <c r="Y1169" t="s">
        <v>11949</v>
      </c>
    </row>
    <row r="1170" spans="1:25" x14ac:dyDescent="0.3">
      <c r="A1170">
        <v>58450</v>
      </c>
      <c r="B1170" t="s">
        <v>11950</v>
      </c>
      <c r="C1170">
        <f>-673.547823180279 -66.1458622714815 -97.6404052832647</f>
        <v>-837.33409073502526</v>
      </c>
      <c r="D1170">
        <f>-693.755781150835 -78.9376499686211 -210.972765101594</f>
        <v>-983.66619622105009</v>
      </c>
      <c r="E1170">
        <f>-704.221827775636 -85.992170264893 -308.78554041657</f>
        <v>-1098.9995384570991</v>
      </c>
      <c r="F1170">
        <f>-711.440834544331 -91.0959890082784 -397.442838552616</f>
        <v>-1199.9796621052253</v>
      </c>
      <c r="G1170">
        <f>-716.041319136312 -94.8983491155573 -486.339477924199</f>
        <v>-1297.2791461760683</v>
      </c>
      <c r="H1170">
        <f>-719.690607502763 -98.913357594033 -610.803730023447</f>
        <v>-1429.4076951202428</v>
      </c>
      <c r="I1170">
        <f>-693.03104131112 -94.9074909481924 -689.405524682365</f>
        <v>-1477.3440569416775</v>
      </c>
      <c r="J1170">
        <f>-723.976441519121 -70.0801547352337 -556.733590645641</f>
        <v>-1350.7901868999957</v>
      </c>
      <c r="K1170" t="s">
        <v>11951</v>
      </c>
      <c r="L1170" t="s">
        <v>11952</v>
      </c>
      <c r="M1170" t="s">
        <v>11953</v>
      </c>
      <c r="N1170">
        <f>-712.193045991804 -124.212902367359 -555.332663623384</f>
        <v>-1391.7386119825469</v>
      </c>
      <c r="O1170">
        <f>-684.617855807038 -254.683239257179 -521.94700301347</f>
        <v>-1461.248098077687</v>
      </c>
      <c r="P1170">
        <f>-664.756156938859 -289.395685341725 -230.413663320611</f>
        <v>-1184.5655056011951</v>
      </c>
      <c r="Q1170">
        <f>-515.077023742807 -102.092724522088 -254.175254986101</f>
        <v>-871.345003250996</v>
      </c>
      <c r="R1170" t="s">
        <v>11954</v>
      </c>
      <c r="S1170" t="s">
        <v>11955</v>
      </c>
      <c r="T1170" t="s">
        <v>11956</v>
      </c>
      <c r="U1170" t="s">
        <v>11957</v>
      </c>
      <c r="V1170">
        <f>-640.814205697227 -156.80887948455 -94.4836939938355</f>
        <v>-892.10677917561247</v>
      </c>
      <c r="W1170" t="s">
        <v>11958</v>
      </c>
      <c r="X1170" t="s">
        <v>11959</v>
      </c>
      <c r="Y1170" t="s">
        <v>11960</v>
      </c>
    </row>
    <row r="1171" spans="1:25" x14ac:dyDescent="0.3">
      <c r="A1171">
        <v>58500</v>
      </c>
      <c r="B1171" t="s">
        <v>11961</v>
      </c>
      <c r="C1171">
        <f>-673.594090625074 -67.2302464549693 -97.6722462317523</f>
        <v>-838.49658331179569</v>
      </c>
      <c r="D1171">
        <f>-693.65965911336 -80.0602441313358 -211.025570792249</f>
        <v>-984.74547403694487</v>
      </c>
      <c r="E1171">
        <f>-703.976627079534 -87.0706278686748 -308.857461777681</f>
        <v>-1099.9047167258898</v>
      </c>
      <c r="F1171">
        <f>-711.048272223939 -92.1059843637945 -397.530377452252</f>
        <v>-1200.6846340399854</v>
      </c>
      <c r="G1171">
        <f>-715.489220845034 -95.8080011818145 -486.439439529056</f>
        <v>-1297.7366615559044</v>
      </c>
      <c r="H1171">
        <f>-718.901850835214 -99.6497748969248 -610.915945739277</f>
        <v>-1429.4675714714158</v>
      </c>
      <c r="I1171">
        <f>-692.223222114187 -95.3764664094779 -689.497200212651</f>
        <v>-1477.096888736316</v>
      </c>
      <c r="J1171">
        <f>-723.460224858991 -70.9292803437738 -556.80811799835</f>
        <v>-1351.1976232011148</v>
      </c>
      <c r="K1171" t="s">
        <v>11962</v>
      </c>
      <c r="L1171" t="s">
        <v>11963</v>
      </c>
      <c r="M1171" t="s">
        <v>11964</v>
      </c>
      <c r="N1171">
        <f>-711.339968011534 -124.98918064075 -555.471811834495</f>
        <v>-1391.8009604867789</v>
      </c>
      <c r="O1171">
        <f>-682.956530526864 -255.328840125951 -522.229623635822</f>
        <v>-1460.5149942886369</v>
      </c>
      <c r="P1171">
        <f>-662.971364005032 -290.75380097586 -230.790234846486</f>
        <v>-1184.5153998273781</v>
      </c>
      <c r="Q1171">
        <f>-514.985892368912 -101.940769050918 -253.170000189928</f>
        <v>-870.09666160975803</v>
      </c>
      <c r="R1171" t="s">
        <v>11965</v>
      </c>
      <c r="S1171" t="s">
        <v>11966</v>
      </c>
      <c r="T1171" t="s">
        <v>11967</v>
      </c>
      <c r="U1171" t="s">
        <v>11968</v>
      </c>
      <c r="V1171">
        <f>-640.53030658727 -157.783174978496 -94.5056285093297</f>
        <v>-892.81911007509575</v>
      </c>
      <c r="W1171" t="s">
        <v>11969</v>
      </c>
      <c r="X1171" t="s">
        <v>11970</v>
      </c>
      <c r="Y1171" t="s">
        <v>11971</v>
      </c>
    </row>
    <row r="1172" spans="1:25" x14ac:dyDescent="0.3">
      <c r="A1172">
        <v>58550</v>
      </c>
      <c r="B1172" t="s">
        <v>11972</v>
      </c>
      <c r="C1172">
        <f>-673.658413330667 -67.7993140263293 -97.6648423946683</f>
        <v>-839.12256975166463</v>
      </c>
      <c r="D1172">
        <f>-693.612473331149 -80.6273274252546 -211.038178601204</f>
        <v>-985.27797935760759</v>
      </c>
      <c r="E1172">
        <f>-703.834580965045 -87.5852709200369 -308.883583648488</f>
        <v>-1100.3034355335699</v>
      </c>
      <c r="F1172">
        <f>-710.820190623402 -92.5532288040188 -397.567137841874</f>
        <v>-1200.9405572692949</v>
      </c>
      <c r="G1172">
        <f>-715.174225883032 -96.1667483989568 -486.484085285018</f>
        <v>-1297.8250595670067</v>
      </c>
      <c r="H1172">
        <f>-718.46507864305 -99.8619145863554 -610.968425706862</f>
        <v>-1429.2954189362674</v>
      </c>
      <c r="I1172">
        <f>-691.769926174554 -95.452808826527 -689.536589490921</f>
        <v>-1476.759324492002</v>
      </c>
      <c r="J1172">
        <f>-723.150619707011 -71.2217648868461 -556.828657176857</f>
        <v>-1351.201041770714</v>
      </c>
      <c r="K1172" t="s">
        <v>11973</v>
      </c>
      <c r="L1172" t="s">
        <v>11974</v>
      </c>
      <c r="M1172" t="s">
        <v>11975</v>
      </c>
      <c r="N1172">
        <f>-710.883279138988 -125.249922471194 -555.549337116987</f>
        <v>-1391.6825387271688</v>
      </c>
      <c r="O1172">
        <f>-682.155108064796 -255.545395471616 -522.429259048065</f>
        <v>-1460.1297625844768</v>
      </c>
      <c r="P1172">
        <f>-662.290099934377 -291.582035871132 -231.056754714955</f>
        <v>-1184.9288905204639</v>
      </c>
      <c r="Q1172">
        <f>-515.477860505151 -101.751248710332 -252.535045389474</f>
        <v>-869.76415460495707</v>
      </c>
      <c r="R1172" t="s">
        <v>11976</v>
      </c>
      <c r="S1172" t="s">
        <v>11977</v>
      </c>
      <c r="T1172" t="s">
        <v>11978</v>
      </c>
      <c r="U1172" t="s">
        <v>11979</v>
      </c>
      <c r="V1172">
        <f>-640.531261995085 -158.3724559037 -94.5062377598631</f>
        <v>-893.40995565864807</v>
      </c>
      <c r="W1172" t="s">
        <v>11980</v>
      </c>
      <c r="X1172" t="s">
        <v>11981</v>
      </c>
      <c r="Y1172" t="s">
        <v>11982</v>
      </c>
    </row>
    <row r="1173" spans="1:25" x14ac:dyDescent="0.3">
      <c r="A1173">
        <v>58600</v>
      </c>
      <c r="B1173" t="s">
        <v>11983</v>
      </c>
      <c r="C1173">
        <f>-673.649159119646 -68.6283816901321 -97.6231781423508</f>
        <v>-839.90071895212884</v>
      </c>
      <c r="D1173">
        <f>-693.382712941056 -81.4395426118306 -211.03688661364</f>
        <v>-985.85914216652657</v>
      </c>
      <c r="E1173">
        <f>-703.433265061214 -88.2794702549979 -308.908639169024</f>
        <v>-1100.6213744852359</v>
      </c>
      <c r="F1173">
        <f>-710.268795302513 -93.0987226608406 -397.612064042523</f>
        <v>-1200.9795820058766</v>
      </c>
      <c r="G1173">
        <f>-714.477611142074 -96.5199432268623 -486.543545321096</f>
        <v>-1297.5410996900323</v>
      </c>
      <c r="H1173">
        <f>-717.569694511094 -99.8991852918512 -611.041932737461</f>
        <v>-1428.5108125404063</v>
      </c>
      <c r="I1173">
        <f>-690.842082647993 -95.2160711812776 -689.583098251422</f>
        <v>-1475.6412520806925</v>
      </c>
      <c r="J1173">
        <f>-722.456447593129 -71.4227255256703 -556.833712183468</f>
        <v>-1350.7128853022673</v>
      </c>
      <c r="K1173" t="s">
        <v>11984</v>
      </c>
      <c r="L1173" t="s">
        <v>11985</v>
      </c>
      <c r="M1173" t="s">
        <v>11986</v>
      </c>
      <c r="N1173">
        <f>-709.961544392967 -125.401622277998 -555.679007487012</f>
        <v>-1391.0421741579771</v>
      </c>
      <c r="O1173">
        <f>-680.762735305614 -255.628616501201 -522.747000387356</f>
        <v>-1459.1383521941711</v>
      </c>
      <c r="P1173">
        <f>-661.497730981933 -292.073240178731 -231.384745712029</f>
        <v>-1184.9557168726931</v>
      </c>
      <c r="Q1173">
        <f>-516.157673823922 -101.008970528965 -251.917650612028</f>
        <v>-869.08429496491499</v>
      </c>
      <c r="R1173" t="s">
        <v>11987</v>
      </c>
      <c r="S1173" t="s">
        <v>11988</v>
      </c>
      <c r="T1173" t="s">
        <v>11989</v>
      </c>
      <c r="U1173" t="s">
        <v>11990</v>
      </c>
      <c r="V1173">
        <f>-640.35361785342 -158.934138372578 -94.5065527723292</f>
        <v>-893.79430899832721</v>
      </c>
      <c r="W1173" t="s">
        <v>11991</v>
      </c>
      <c r="X1173" t="s">
        <v>11992</v>
      </c>
      <c r="Y1173" t="s">
        <v>11993</v>
      </c>
    </row>
    <row r="1174" spans="1:25" x14ac:dyDescent="0.3">
      <c r="A1174">
        <v>58650</v>
      </c>
      <c r="B1174" t="s">
        <v>11994</v>
      </c>
      <c r="C1174">
        <f>-673.599115257037 -68.8056023652223 -97.6231662555944</f>
        <v>-840.0278838778537</v>
      </c>
      <c r="D1174">
        <f>-693.258397572328 -81.6212571137514 -211.049256927108</f>
        <v>-985.92891161318744</v>
      </c>
      <c r="E1174">
        <f>-703.243265546174 -88.4230018480607 -308.930345836434</f>
        <v>-1100.5966132306687</v>
      </c>
      <c r="F1174">
        <f>-710.01799781645 -93.1911305510571 -397.641175162428</f>
        <v>-1200.850303529935</v>
      </c>
      <c r="G1174">
        <f>-714.164534431222 -96.5435321642474 -486.578345371416</f>
        <v>-1297.2864119668855</v>
      </c>
      <c r="H1174">
        <f>-717.167662210785 -99.8077704247637 -611.081793345163</f>
        <v>-1428.0572259807118</v>
      </c>
      <c r="I1174">
        <f>-690.406014050051 -94.9960920866179 -689.603705744566</f>
        <v>-1475.0058118812349</v>
      </c>
      <c r="J1174">
        <f>-722.131448005305 -71.3904093748081 -556.849767180533</f>
        <v>-1350.3716245606461</v>
      </c>
      <c r="K1174" t="s">
        <v>11995</v>
      </c>
      <c r="L1174" t="s">
        <v>11996</v>
      </c>
      <c r="M1174" t="s">
        <v>11997</v>
      </c>
      <c r="N1174">
        <f>-709.560863115187 -125.352462970367 -555.738193588732</f>
        <v>-1390.651519674286</v>
      </c>
      <c r="O1174">
        <f>-680.187351713454 -255.55583179821 -522.830339674873</f>
        <v>-1458.5735231865369</v>
      </c>
      <c r="P1174">
        <f>-661.087978795067 -292.004024368884 -231.457811781287</f>
        <v>-1184.549814945238</v>
      </c>
      <c r="Q1174">
        <f>-516.252857408687 -100.541816903178 -251.850098775017</f>
        <v>-868.64477308688197</v>
      </c>
      <c r="R1174" t="s">
        <v>11998</v>
      </c>
      <c r="S1174" t="s">
        <v>11999</v>
      </c>
      <c r="T1174" t="s">
        <v>12000</v>
      </c>
      <c r="U1174" t="s">
        <v>12001</v>
      </c>
      <c r="V1174">
        <f>-640.244961827974 -158.980694056104 -94.5082355070316</f>
        <v>-893.73389139110952</v>
      </c>
      <c r="W1174" t="s">
        <v>12002</v>
      </c>
      <c r="X1174" t="s">
        <v>12003</v>
      </c>
      <c r="Y1174" t="s">
        <v>12004</v>
      </c>
    </row>
    <row r="1175" spans="1:25" x14ac:dyDescent="0.3">
      <c r="A1175">
        <v>58700</v>
      </c>
      <c r="B1175" t="s">
        <v>12005</v>
      </c>
      <c r="C1175">
        <f>-673.43732226765 -69.3163218177865 -97.6091432266311</f>
        <v>-840.36278731206755</v>
      </c>
      <c r="D1175">
        <f>-693.037861312708 -82.1304365674785 -211.045632447237</f>
        <v>-986.21393032742344</v>
      </c>
      <c r="E1175">
        <f>-702.943513422375 -88.8982115274009 -308.937160777323</f>
        <v>-1100.7788857270989</v>
      </c>
      <c r="F1175">
        <f>-709.634796891835 -93.6226810144456 -397.656614713167</f>
        <v>-1200.9140926194475</v>
      </c>
      <c r="G1175">
        <f>-713.686316351639 -96.9173058933484 -486.600226050943</f>
        <v>-1297.2038482959304</v>
      </c>
      <c r="H1175">
        <f>-716.544434965277 -100.086068363847 -611.109727786458</f>
        <v>-1427.740231115582</v>
      </c>
      <c r="I1175">
        <f>-689.685825834821 -95.0665851736078 -689.585364058333</f>
        <v>-1474.3377750667619</v>
      </c>
      <c r="J1175">
        <f>-721.633254747656 -71.724742358605 -556.85974656929</f>
        <v>-1350.217743675551</v>
      </c>
      <c r="K1175" t="s">
        <v>12006</v>
      </c>
      <c r="L1175" t="s">
        <v>12007</v>
      </c>
      <c r="M1175" t="s">
        <v>12008</v>
      </c>
      <c r="N1175">
        <f>-708.940136740925 -125.658716817911 -555.778553743138</f>
        <v>-1390.377407301974</v>
      </c>
      <c r="O1175">
        <f>-679.307964779629 -255.798170488447 -522.877266402353</f>
        <v>-1457.983401670429</v>
      </c>
      <c r="P1175">
        <f>-660.226553827375 -292.350688008787 -231.516714534617</f>
        <v>-1184.0939563707791</v>
      </c>
      <c r="Q1175">
        <f>-516.284238763636 -100.242567905431 -252.155407038123</f>
        <v>-868.68221370719004</v>
      </c>
      <c r="R1175" t="s">
        <v>12009</v>
      </c>
      <c r="S1175" t="s">
        <v>12010</v>
      </c>
      <c r="T1175" t="s">
        <v>12011</v>
      </c>
      <c r="U1175" t="s">
        <v>12012</v>
      </c>
      <c r="V1175">
        <f>-639.988233904482 -159.4954122879 -94.4804489399367</f>
        <v>-893.96409513231856</v>
      </c>
      <c r="W1175" t="s">
        <v>12013</v>
      </c>
      <c r="X1175" t="s">
        <v>12014</v>
      </c>
      <c r="Y1175" t="s">
        <v>12015</v>
      </c>
    </row>
    <row r="1176" spans="1:25" x14ac:dyDescent="0.3">
      <c r="A1176">
        <v>58750</v>
      </c>
      <c r="B1176" t="s">
        <v>12016</v>
      </c>
      <c r="C1176">
        <f>-673.319031462712 -69.7322666543525 -97.6012897519812</f>
        <v>-840.65258786904576</v>
      </c>
      <c r="D1176">
        <f>-692.915051795284 -82.5463659353284 -211.038548151026</f>
        <v>-986.49996588163833</v>
      </c>
      <c r="E1176">
        <f>-702.807686572208 -89.3000477035121 -308.93234155881</f>
        <v>-1101.0400758345299</v>
      </c>
      <c r="F1176">
        <f>-709.483210951801 -94.0064024225437 -397.654010189377</f>
        <v>-1201.1436235637216</v>
      </c>
      <c r="G1176">
        <f>-713.515276846259 -97.276888874884 -486.599379279853</f>
        <v>-1297.3915450009958</v>
      </c>
      <c r="H1176">
        <f>-716.341911062454 -100.405783161977 -611.110587885133</f>
        <v>-1427.8582821095638</v>
      </c>
      <c r="I1176">
        <f>-689.440965858234 -95.2984344998229 -689.566145329616</f>
        <v>-1474.3055456876727</v>
      </c>
      <c r="J1176">
        <f>-721.472529914531 -72.0683709527993 -556.852086714876</f>
        <v>-1350.3929875822064</v>
      </c>
      <c r="K1176" t="s">
        <v>12017</v>
      </c>
      <c r="L1176" t="s">
        <v>12018</v>
      </c>
      <c r="M1176" t="s">
        <v>12019</v>
      </c>
      <c r="N1176">
        <f>-708.72362985448 -125.989606634057 -555.786471779984</f>
        <v>-1390.4997082685209</v>
      </c>
      <c r="O1176">
        <f>-678.985701379554 -256.118594157663 -522.912227574787</f>
        <v>-1458.0165231120041</v>
      </c>
      <c r="P1176">
        <f>-659.828413424784 -292.725335328914 -231.563510898355</f>
        <v>-1184.117259652053</v>
      </c>
      <c r="Q1176">
        <f>-516.262263340865 -100.364534073113 -252.466469942129</f>
        <v>-869.09326735610705</v>
      </c>
      <c r="R1176" t="s">
        <v>12020</v>
      </c>
      <c r="S1176" t="s">
        <v>12021</v>
      </c>
      <c r="T1176" t="s">
        <v>12022</v>
      </c>
      <c r="U1176" t="s">
        <v>12023</v>
      </c>
      <c r="V1176">
        <f>-639.811325312385 -159.917549755909 -94.4702772903298</f>
        <v>-894.19915235862379</v>
      </c>
      <c r="W1176" t="s">
        <v>12024</v>
      </c>
      <c r="X1176" t="s">
        <v>12025</v>
      </c>
      <c r="Y1176" t="s">
        <v>12026</v>
      </c>
    </row>
    <row r="1177" spans="1:25" x14ac:dyDescent="0.3">
      <c r="A1177">
        <v>58800</v>
      </c>
      <c r="B1177" t="s">
        <v>12027</v>
      </c>
      <c r="C1177">
        <f>-673.08231900269 -70.5764852420816 -97.5695250293958</f>
        <v>-841.22832927416744</v>
      </c>
      <c r="D1177">
        <f>-692.708292104709 -83.4174163034161 -210.998606180019</f>
        <v>-987.1243145881441</v>
      </c>
      <c r="E1177">
        <f>-702.609279001819 -90.1355657054469 -308.893830435591</f>
        <v>-1101.6386751428568</v>
      </c>
      <c r="F1177">
        <f>-709.284455668875 -94.7866854894405 -397.61844797781</f>
        <v>-1201.6895891361255</v>
      </c>
      <c r="G1177">
        <f>-713.307454014137 -97.9787682126378 -486.567147549402</f>
        <v>-1297.8533697761768</v>
      </c>
      <c r="H1177">
        <f>-716.112212672508 -100.972997485163 -611.082163648754</f>
        <v>-1428.1673738064251</v>
      </c>
      <c r="I1177">
        <f>-689.182338486497 -95.6663845042453 -689.51463949064</f>
        <v>-1474.3633624813824</v>
      </c>
      <c r="J1177">
        <f>-721.291437514291 -72.7034833584833 -556.792937943077</f>
        <v>-1350.7878588158515</v>
      </c>
      <c r="K1177" t="s">
        <v>12028</v>
      </c>
      <c r="L1177" t="s">
        <v>12029</v>
      </c>
      <c r="M1177" t="s">
        <v>12030</v>
      </c>
      <c r="N1177">
        <f>-708.464466113272 -126.607310990816 -555.785579685985</f>
        <v>-1390.857356790073</v>
      </c>
      <c r="O1177">
        <f>-678.56110949498 -256.724908625269 -522.99387940812</f>
        <v>-1458.279897528369</v>
      </c>
      <c r="P1177">
        <f>-658.988599635639 -293.645127410242 -231.712254245651</f>
        <v>-1184.3459812915321</v>
      </c>
      <c r="Q1177">
        <f>-516.640558686684 -100.424672515231 -253.014427489636</f>
        <v>-870.079658691551</v>
      </c>
      <c r="R1177" t="s">
        <v>12031</v>
      </c>
      <c r="S1177" t="s">
        <v>12032</v>
      </c>
      <c r="T1177" t="s">
        <v>12033</v>
      </c>
      <c r="U1177" t="s">
        <v>12034</v>
      </c>
      <c r="V1177">
        <f>-639.521772544435 -160.758656927006 -94.431454580483</f>
        <v>-894.7118840519239</v>
      </c>
      <c r="W1177" t="s">
        <v>12035</v>
      </c>
      <c r="X1177" t="s">
        <v>12036</v>
      </c>
      <c r="Y1177" t="s">
        <v>12037</v>
      </c>
    </row>
    <row r="1178" spans="1:25" x14ac:dyDescent="0.3">
      <c r="A1178">
        <v>58850</v>
      </c>
      <c r="B1178" t="s">
        <v>12038</v>
      </c>
      <c r="C1178">
        <f>-672.968335201447 -71.3708725178483 -97.4957736563294</f>
        <v>-841.83498137562469</v>
      </c>
      <c r="D1178">
        <f>-692.605584764602 -84.1017299337082 -210.935272967086</f>
        <v>-987.64258766539615</v>
      </c>
      <c r="E1178">
        <f>-702.46084836775 -90.649420225116 -308.846763770616</f>
        <v>-1101.9570323634821</v>
      </c>
      <c r="F1178">
        <f>-709.071966994282 -95.1145608799702 -397.585612871223</f>
        <v>-1201.7721407454751</v>
      </c>
      <c r="G1178">
        <f>-713.007896799892 -98.0882909127542 -486.5458620146</f>
        <v>-1297.6420497272463</v>
      </c>
      <c r="H1178">
        <f>-715.66664783805 -100.743163513571 -611.071698623072</f>
        <v>-1427.4815099746932</v>
      </c>
      <c r="I1178">
        <f>-688.797773667804 -95.1704232706218 -689.506707009481</f>
        <v>-1473.4749039479068</v>
      </c>
      <c r="J1178">
        <f>-720.925497803354 -72.6255474234895 -556.711348618816</f>
        <v>-1350.2623938456595</v>
      </c>
      <c r="K1178" t="s">
        <v>12039</v>
      </c>
      <c r="L1178" t="s">
        <v>12040</v>
      </c>
      <c r="M1178" t="s">
        <v>12041</v>
      </c>
      <c r="N1178">
        <f>-708.067702468831 -126.524274714134 -555.836781045166</f>
        <v>-1390.4287582281311</v>
      </c>
      <c r="O1178">
        <f>-678.133894557306 -256.667929006828 -523.235744774941</f>
        <v>-1458.0375683390751</v>
      </c>
      <c r="P1178">
        <f>-658.450839877775 -294.153032429765 -232.033628850436</f>
        <v>-1184.6375011579762</v>
      </c>
      <c r="Q1178">
        <f>-516.232085390379 -100.935160276173 -254.205549827878</f>
        <v>-871.37279549442997</v>
      </c>
      <c r="R1178" t="s">
        <v>12042</v>
      </c>
      <c r="S1178" t="s">
        <v>12043</v>
      </c>
      <c r="T1178" t="s">
        <v>12044</v>
      </c>
      <c r="U1178" t="s">
        <v>12045</v>
      </c>
      <c r="V1178">
        <f>-639.442073823966 -161.658086258125 -94.4013471829975</f>
        <v>-895.50150726508843</v>
      </c>
      <c r="W1178" t="s">
        <v>12046</v>
      </c>
      <c r="X1178" t="s">
        <v>12047</v>
      </c>
      <c r="Y1178" t="s">
        <v>12048</v>
      </c>
    </row>
    <row r="1179" spans="1:25" x14ac:dyDescent="0.3">
      <c r="A1179">
        <v>58900</v>
      </c>
      <c r="B1179" t="s">
        <v>12049</v>
      </c>
      <c r="C1179">
        <f>-673.036697462915 -71.7678191768775 -97.4923083372624</f>
        <v>-842.29682497705494</v>
      </c>
      <c r="D1179">
        <f>-692.64280454307 -84.4646286644875 -210.940996807608</f>
        <v>-988.04843001516554</v>
      </c>
      <c r="E1179">
        <f>-702.452199849437 -90.9530996644226 -308.861034188889</f>
        <v>-1102.2663337027484</v>
      </c>
      <c r="F1179">
        <f>-709.014085170124 -95.3517102097869 -397.607015385981</f>
        <v>-1201.9728107658918</v>
      </c>
      <c r="G1179">
        <f>-712.892937157858 -98.2463843105165 -486.572288530015</f>
        <v>-1297.7116099983896</v>
      </c>
      <c r="H1179">
        <f>-715.463135359227 -100.777112418926 -611.102539498943</f>
        <v>-1427.3427872770958</v>
      </c>
      <c r="I1179">
        <f>-688.654480344009 -95.1086185063457 -689.551221164613</f>
        <v>-1473.3143200149677</v>
      </c>
      <c r="J1179">
        <f>-720.736427892181 -72.7078271168784 -556.718512365769</f>
        <v>-1350.1627673748285</v>
      </c>
      <c r="K1179" t="s">
        <v>12050</v>
      </c>
      <c r="L1179" t="s">
        <v>12051</v>
      </c>
      <c r="M1179" t="s">
        <v>12052</v>
      </c>
      <c r="N1179">
        <f>-707.927707088943 -126.619034003034 -555.887254561821</f>
        <v>-1390.4339956537979</v>
      </c>
      <c r="O1179">
        <f>-678.063719081066 -256.797565011806 -523.384337555371</f>
        <v>-1458.2456216482428</v>
      </c>
      <c r="P1179">
        <f>-658.281931065934 -294.684888378481 -232.241097280925</f>
        <v>-1185.2079167253401</v>
      </c>
      <c r="Q1179">
        <f>-516.23320584743 -101.356170686213 -254.536240497828</f>
        <v>-872.12561703147094</v>
      </c>
      <c r="R1179" t="s">
        <v>12053</v>
      </c>
      <c r="S1179" t="s">
        <v>12054</v>
      </c>
      <c r="T1179" t="s">
        <v>12055</v>
      </c>
      <c r="U1179" t="s">
        <v>12056</v>
      </c>
      <c r="V1179">
        <f>-639.675441886129 -162.174638106464 -94.3917010392912</f>
        <v>-896.24178103188422</v>
      </c>
      <c r="W1179" t="s">
        <v>12057</v>
      </c>
      <c r="X1179" t="s">
        <v>12058</v>
      </c>
      <c r="Y1179" t="s">
        <v>12059</v>
      </c>
    </row>
    <row r="1180" spans="1:25" x14ac:dyDescent="0.3">
      <c r="A1180">
        <v>58950</v>
      </c>
      <c r="B1180" t="s">
        <v>12060</v>
      </c>
      <c r="C1180">
        <f>-673.033171277149 -72.0667695671359 -97.4787190013978</f>
        <v>-842.57865984568275</v>
      </c>
      <c r="D1180">
        <f>-692.609845069336 -84.7232356583661 -210.937057137567</f>
        <v>-988.27013786526902</v>
      </c>
      <c r="E1180">
        <f>-702.379149663118 -91.1626708802019 -308.864335343335</f>
        <v>-1102.4061558866549</v>
      </c>
      <c r="F1180">
        <f>-708.899022390839 -95.5107949046453 -397.61582721863</f>
        <v>-1202.0256445141144</v>
      </c>
      <c r="G1180">
        <f>-712.729090080488 -98.3492366831888 -486.585033030179</f>
        <v>-1297.6633597938558</v>
      </c>
      <c r="H1180">
        <f>-715.22448490447 -100.796137206152 -611.118600238173</f>
        <v>-1427.1392223487951</v>
      </c>
      <c r="I1180">
        <f>-688.499062275765 -95.0548770133894 -689.590341812823</f>
        <v>-1473.1442811019774</v>
      </c>
      <c r="J1180">
        <f>-720.478418211734 -72.7512213478153 -556.720115094537</f>
        <v>-1349.9497546540865</v>
      </c>
      <c r="K1180" t="s">
        <v>12061</v>
      </c>
      <c r="L1180" t="s">
        <v>12062</v>
      </c>
      <c r="M1180" t="s">
        <v>12063</v>
      </c>
      <c r="N1180">
        <f>-707.774239364084 -126.687508123704 -555.914893007419</f>
        <v>-1390.3766404952071</v>
      </c>
      <c r="O1180">
        <f>-678.120147457282 -256.942496767974 -523.490134739815</f>
        <v>-1458.552778965071</v>
      </c>
      <c r="P1180">
        <f>-658.211748014352 -295.278890377585 -232.414153207035</f>
        <v>-1185.904791598972</v>
      </c>
      <c r="Q1180">
        <f>-516.334039920028 -101.83245974943 -254.774737924266</f>
        <v>-872.94123759372394</v>
      </c>
      <c r="R1180" t="s">
        <v>12064</v>
      </c>
      <c r="S1180" t="s">
        <v>12065</v>
      </c>
      <c r="T1180" t="s">
        <v>12066</v>
      </c>
      <c r="U1180" t="s">
        <v>12067</v>
      </c>
      <c r="V1180">
        <f>-639.831943825971 -162.36732150686 -94.3831780921346</f>
        <v>-896.58244342496562</v>
      </c>
      <c r="W1180" t="s">
        <v>12068</v>
      </c>
      <c r="X1180" t="s">
        <v>12069</v>
      </c>
      <c r="Y1180" t="s">
        <v>12070</v>
      </c>
    </row>
    <row r="1181" spans="1:25" x14ac:dyDescent="0.3">
      <c r="A1181">
        <v>59000</v>
      </c>
      <c r="B1181" t="s">
        <v>12071</v>
      </c>
      <c r="C1181">
        <f>-672.863226942993 -72.4515808365377 -97.4139282438009</f>
        <v>-842.72873602333163</v>
      </c>
      <c r="D1181">
        <f>-692.375370369345 -85.0520517420425 -210.889572486799</f>
        <v>-988.31699459818651</v>
      </c>
      <c r="E1181">
        <f>-702.071044463548 -91.4151550920849 -308.829106548385</f>
        <v>-1102.315306104018</v>
      </c>
      <c r="F1181">
        <f>-708.515665025609 -95.6827371156917 -397.590081375257</f>
        <v>-1201.7884835165578</v>
      </c>
      <c r="G1181">
        <f>-712.260706106308 -98.4324460828291 -486.565524021501</f>
        <v>-1297.258676210638</v>
      </c>
      <c r="H1181">
        <f>-714.625557788736 -100.747657292359 -611.104179571771</f>
        <v>-1426.4773946528662</v>
      </c>
      <c r="I1181">
        <f>-688.114461588655 -94.8841608590074 -689.639593192639</f>
        <v>-1472.6382156403015</v>
      </c>
      <c r="J1181">
        <f>-719.782838074328 -72.7246437892036 -556.685200438182</f>
        <v>-1349.1926823017136</v>
      </c>
      <c r="K1181" t="s">
        <v>12072</v>
      </c>
      <c r="L1181" t="s">
        <v>12073</v>
      </c>
      <c r="M1181" t="s">
        <v>12074</v>
      </c>
      <c r="N1181">
        <f>-707.386825018395 -126.73310819544 -555.916687266042</f>
        <v>-1390.036620479877</v>
      </c>
      <c r="O1181">
        <f>-678.278457646038 -257.141709247747 -523.607663446492</f>
        <v>-1459.027830340277</v>
      </c>
      <c r="P1181">
        <f>-658.355171254182 -296.507543105119 -232.670183039786</f>
        <v>-1187.532897399087</v>
      </c>
      <c r="Q1181">
        <f>-515.816212136722 -103.704677989912 -256.346600684185</f>
        <v>-875.86749081081894</v>
      </c>
      <c r="R1181" t="s">
        <v>12075</v>
      </c>
      <c r="S1181" t="s">
        <v>12076</v>
      </c>
      <c r="T1181" t="s">
        <v>12077</v>
      </c>
      <c r="U1181" t="s">
        <v>12078</v>
      </c>
      <c r="V1181">
        <f>-639.924104096594 -162.666292903889 -94.3410143120879</f>
        <v>-896.93141131257084</v>
      </c>
      <c r="W1181" t="s">
        <v>12079</v>
      </c>
      <c r="X1181" t="s">
        <v>12080</v>
      </c>
      <c r="Y1181" t="s">
        <v>12081</v>
      </c>
    </row>
    <row r="1182" spans="1:25" x14ac:dyDescent="0.3">
      <c r="A1182">
        <v>59050</v>
      </c>
      <c r="B1182" t="s">
        <v>12082</v>
      </c>
      <c r="C1182">
        <f>-672.770988977119 -72.556973355099 -97.3972897691015</f>
        <v>-842.72525210131948</v>
      </c>
      <c r="D1182">
        <f>-692.269086872037 -85.1384897821929 -210.877614043784</f>
        <v>-988.28519069801382</v>
      </c>
      <c r="E1182">
        <f>-701.945715946438 -91.4797879337691 -308.820422978296</f>
        <v>-1102.245926858503</v>
      </c>
      <c r="F1182">
        <f>-708.36982943887 -95.7259344043821 -397.583859473766</f>
        <v>-1201.679623317018</v>
      </c>
      <c r="G1182">
        <f>-712.089781400692 -98.454035210164 -486.561072842407</f>
        <v>-1297.104889453263</v>
      </c>
      <c r="H1182">
        <f>-714.415015829535 -100.740123591625 -611.100968402131</f>
        <v>-1426.2561078232911</v>
      </c>
      <c r="I1182">
        <f>-688.00615377208 -94.8171193290373 -689.666396070793</f>
        <v>-1472.4896691719102</v>
      </c>
      <c r="J1182">
        <f>-719.503738162599 -72.7101734180912 -556.679178221828</f>
        <v>-1348.8930898025183</v>
      </c>
      <c r="K1182" t="s">
        <v>12083</v>
      </c>
      <c r="L1182" t="s">
        <v>12084</v>
      </c>
      <c r="M1182" t="s">
        <v>12085</v>
      </c>
      <c r="N1182">
        <f>-707.279912199314 -126.757921384385 -555.915174436293</f>
        <v>-1389.953008019992</v>
      </c>
      <c r="O1182">
        <f>-678.440007282955 -257.247720049793 -523.673594507496</f>
        <v>-1459.3613218402438</v>
      </c>
      <c r="P1182">
        <f>-658.280914919687 -297.58547382488 -232.88557160084</f>
        <v>-1188.751960345407</v>
      </c>
      <c r="Q1182">
        <f>-515.148845901597 -105.430478083739 -258.193618004934</f>
        <v>-878.77294199027006</v>
      </c>
      <c r="R1182" t="s">
        <v>12086</v>
      </c>
      <c r="S1182" t="s">
        <v>12087</v>
      </c>
      <c r="T1182" t="s">
        <v>12088</v>
      </c>
      <c r="U1182" t="s">
        <v>12089</v>
      </c>
      <c r="V1182">
        <f>-639.999936423077 -162.752092076239 -94.3065188832505</f>
        <v>-897.05854738256653</v>
      </c>
      <c r="W1182" t="s">
        <v>12090</v>
      </c>
      <c r="X1182" t="s">
        <v>12091</v>
      </c>
      <c r="Y1182" t="s">
        <v>12092</v>
      </c>
    </row>
    <row r="1183" spans="1:25" x14ac:dyDescent="0.3">
      <c r="A1183">
        <v>59100</v>
      </c>
      <c r="B1183" t="s">
        <v>12093</v>
      </c>
      <c r="C1183">
        <f>-672.742563089432 -72.6668729944072 -97.411239335742</f>
        <v>-842.82067541958122</v>
      </c>
      <c r="D1183">
        <f>-692.216269927054 -85.2323490066235 -210.897450360405</f>
        <v>-988.34606929408255</v>
      </c>
      <c r="E1183">
        <f>-701.86882712709 -91.5566510695917 -308.84383677994</f>
        <v>-1102.2693149766217</v>
      </c>
      <c r="F1183">
        <f>-708.268231999293 -95.78718104207 -397.609617519475</f>
        <v>-1201.665030560838</v>
      </c>
      <c r="G1183">
        <f>-711.959376939173 -98.5030073393286 -486.588625849363</f>
        <v>-1297.0510101278646</v>
      </c>
      <c r="H1183">
        <f>-714.238653849409 -100.777418483478 -611.129557077755</f>
        <v>-1426.145629410642</v>
      </c>
      <c r="I1183">
        <f>-688.039294416317 -94.7823942074567 -689.759554357947</f>
        <v>-1472.5812429817206</v>
      </c>
      <c r="J1183">
        <f>-719.180480916651 -72.7155453012938 -556.710624564373</f>
        <v>-1348.606650782318</v>
      </c>
      <c r="K1183" t="s">
        <v>12094</v>
      </c>
      <c r="L1183" t="s">
        <v>12095</v>
      </c>
      <c r="M1183" t="s">
        <v>12096</v>
      </c>
      <c r="N1183">
        <f>-707.290757142858 -126.837661556564 -555.939728708485</f>
        <v>-1390.068147407907</v>
      </c>
      <c r="O1183">
        <f>-679.012411139025 -257.491678787754 -523.863898377718</f>
        <v>-1460.367988304497</v>
      </c>
      <c r="P1183">
        <f>-657.088434852992 -302.001525744678 -233.813255786072</f>
        <v>-1192.9032163837421</v>
      </c>
      <c r="Q1183">
        <f>-511.250549987876 -112.811797859321 -265.268402871185</f>
        <v>-889.33075071838198</v>
      </c>
      <c r="R1183" t="s">
        <v>12097</v>
      </c>
      <c r="S1183" t="s">
        <v>12098</v>
      </c>
      <c r="T1183" t="s">
        <v>12099</v>
      </c>
      <c r="U1183" t="s">
        <v>12100</v>
      </c>
      <c r="V1183">
        <f>-640.143446992257 -162.916114549984 -94.2709257155439</f>
        <v>-897.33048725778485</v>
      </c>
      <c r="W1183" t="s">
        <v>12101</v>
      </c>
      <c r="X1183" t="s">
        <v>12102</v>
      </c>
      <c r="Y1183" t="s">
        <v>12103</v>
      </c>
    </row>
    <row r="1184" spans="1:25" x14ac:dyDescent="0.3">
      <c r="A1184">
        <v>59150</v>
      </c>
      <c r="B1184" t="s">
        <v>12104</v>
      </c>
      <c r="C1184">
        <f>-672.874263766146 -72.6662506084626 -97.4276677407014</f>
        <v>-842.96818211531001</v>
      </c>
      <c r="D1184">
        <f>-692.290100156943 -85.2404891757385 -210.92277349618</f>
        <v>-988.4533628288616</v>
      </c>
      <c r="E1184">
        <f>-701.913305956925 -91.5686729716551 -308.871801300967</f>
        <v>-1102.3537802295471</v>
      </c>
      <c r="F1184">
        <f>-708.293618628066 -95.8017720915823 -397.63891953774</f>
        <v>-1201.7343102573882</v>
      </c>
      <c r="G1184">
        <f>-711.972771487287 -98.5202858543073 -486.618281293699</f>
        <v>-1297.1113386352934</v>
      </c>
      <c r="H1184">
        <f>-714.242067990466 -100.799139500758 -611.159330629817</f>
        <v>-1426.2005381210411</v>
      </c>
      <c r="I1184">
        <f>-688.156965775658 -94.7671075619055 -689.824481620964</f>
        <v>-1472.7485549585276</v>
      </c>
      <c r="J1184">
        <f>-719.125936308953 -72.7216885446046 -556.743170170137</f>
        <v>-1348.5907950236947</v>
      </c>
      <c r="K1184" t="s">
        <v>12105</v>
      </c>
      <c r="L1184" t="s">
        <v>12106</v>
      </c>
      <c r="M1184" t="s">
        <v>12107</v>
      </c>
      <c r="N1184">
        <f>-707.36092099 -126.870883721674 -555.966644729597</f>
        <v>-1390.1984494412709</v>
      </c>
      <c r="O1184">
        <f>-679.338849271132 -257.616077916286 -524.043234280843</f>
        <v>-1460.9981614682611</v>
      </c>
      <c r="P1184">
        <f>-655.532052296228 -306.015917463472 -234.764927212318</f>
        <v>-1196.3128969720181</v>
      </c>
      <c r="Q1184">
        <f>-508.887763172597 -118.253746937317 -270.705026001587</f>
        <v>-897.84653611150088</v>
      </c>
      <c r="R1184" t="s">
        <v>12108</v>
      </c>
      <c r="S1184" t="s">
        <v>12109</v>
      </c>
      <c r="T1184" t="s">
        <v>12110</v>
      </c>
      <c r="U1184" t="s">
        <v>12111</v>
      </c>
      <c r="V1184">
        <f>-640.310864528384 -162.860867749838 -94.2573219316822</f>
        <v>-897.42905420990417</v>
      </c>
      <c r="W1184" t="s">
        <v>12112</v>
      </c>
      <c r="X1184" t="s">
        <v>12113</v>
      </c>
      <c r="Y1184" t="s">
        <v>12114</v>
      </c>
    </row>
    <row r="1185" spans="1:25" x14ac:dyDescent="0.3">
      <c r="A1185">
        <v>59200</v>
      </c>
      <c r="B1185" t="s">
        <v>12115</v>
      </c>
      <c r="C1185">
        <f>-673.294923300138 -72.0708145150497 -97.5236613345941</f>
        <v>-842.88939914978175</v>
      </c>
      <c r="D1185">
        <f>-692.562411507321 -84.6223163734969 -211.046498405277</f>
        <v>-988.23122628609497</v>
      </c>
      <c r="E1185">
        <f>-702.100890668682 -90.9475876252559 -309.003933841519</f>
        <v>-1102.052412135457</v>
      </c>
      <c r="F1185">
        <f>-708.422140183262 -95.1840373001235 -397.77523335785</f>
        <v>-1201.3814108412355</v>
      </c>
      <c r="G1185">
        <f>-712.058694297804 -97.9130052967164 -486.755950589812</f>
        <v>-1296.7276501843323</v>
      </c>
      <c r="H1185">
        <f>-714.286408166812 -100.213844737643 -611.297427479877</f>
        <v>-1425.7976803843321</v>
      </c>
      <c r="I1185">
        <f>-688.406045629152 -93.9761318340759 -690.014205195201</f>
        <v>-1472.396382658429</v>
      </c>
      <c r="J1185">
        <f>-719.13612584004 -72.1154965134056 -556.889079534792</f>
        <v>-1348.1407018882376</v>
      </c>
      <c r="K1185" t="s">
        <v>12116</v>
      </c>
      <c r="L1185" t="s">
        <v>12117</v>
      </c>
      <c r="M1185" t="s">
        <v>12118</v>
      </c>
      <c r="N1185">
        <f>-707.475998734026 -126.287217949957 -556.096731914224</f>
        <v>-1389.8599485982072</v>
      </c>
      <c r="O1185">
        <f>-679.846255098436 -257.255020617555 -524.718044233964</f>
        <v>-1461.8193199499551</v>
      </c>
      <c r="P1185">
        <f>-650.590101716208 -316.919079821648 -238.05537034494</f>
        <v>-1205.564551882796</v>
      </c>
      <c r="Q1185">
        <f>-503.655214534826 -132.04252913717 -285.82193959446</f>
        <v>-921.51968326645601</v>
      </c>
      <c r="R1185" t="s">
        <v>12119</v>
      </c>
      <c r="S1185" t="s">
        <v>12120</v>
      </c>
      <c r="T1185" t="s">
        <v>12121</v>
      </c>
      <c r="U1185" t="s">
        <v>12122</v>
      </c>
      <c r="V1185">
        <f>-640.831579968532 -161.821900281114 -94.3053599292781</f>
        <v>-896.95884017892411</v>
      </c>
      <c r="W1185" t="s">
        <v>12123</v>
      </c>
      <c r="X1185" t="s">
        <v>12124</v>
      </c>
      <c r="Y1185" t="s">
        <v>12125</v>
      </c>
    </row>
    <row r="1186" spans="1:25" x14ac:dyDescent="0.3">
      <c r="A1186">
        <v>59250</v>
      </c>
      <c r="B1186" t="s">
        <v>12126</v>
      </c>
      <c r="C1186">
        <f>-673.588031287174 -71.8686141388469 -97.582745042897</f>
        <v>-843.03939046891787</v>
      </c>
      <c r="D1186">
        <f>-692.798756341778 -84.4013543897165 -211.117309339195</f>
        <v>-988.31742007068954</v>
      </c>
      <c r="E1186">
        <f>-702.301663313566 -90.6961082387959 -309.08015382553</f>
        <v>-1102.0779253778919</v>
      </c>
      <c r="F1186">
        <f>-708.595222836722 -94.8992347645135 -397.855067107805</f>
        <v>-1201.3495247090405</v>
      </c>
      <c r="G1186">
        <f>-712.209296913632 -97.5886653039172 -486.837779406912</f>
        <v>-1296.6357416244612</v>
      </c>
      <c r="H1186">
        <f>-714.410055114211 -99.8277037393455 -611.38097380683</f>
        <v>-1425.6187326603863</v>
      </c>
      <c r="I1186">
        <f>-688.598288144294 -93.4127294060777 -690.105913204687</f>
        <v>-1472.1169307550585</v>
      </c>
      <c r="J1186">
        <f>-719.277436185834 -71.7576510514587 -556.959466329911</f>
        <v>-1347.9945535672036</v>
      </c>
      <c r="K1186" t="s">
        <v>12127</v>
      </c>
      <c r="L1186" t="s">
        <v>12128</v>
      </c>
      <c r="M1186" t="s">
        <v>12129</v>
      </c>
      <c r="N1186">
        <f>-707.605628342804 -125.927310307719 -556.191891256257</f>
        <v>-1389.7248299067801</v>
      </c>
      <c r="O1186">
        <f>-680.035791476094 -256.986982730519 -525.20693375735</f>
        <v>-1462.2297079639629</v>
      </c>
      <c r="P1186">
        <f>-647.222131890997 -323.680987113964 -240.485327662276</f>
        <v>-1211.3884466672371</v>
      </c>
      <c r="Q1186">
        <f>-502.128719782918 -138.957496734724 -294.113266310605</f>
        <v>-935.19948282824703</v>
      </c>
      <c r="R1186" t="s">
        <v>12130</v>
      </c>
      <c r="S1186" t="s">
        <v>12131</v>
      </c>
      <c r="T1186" t="s">
        <v>12132</v>
      </c>
      <c r="U1186" t="s">
        <v>12133</v>
      </c>
      <c r="V1186">
        <f>-641.094636131996 -161.649563185429 -94.3324477776947</f>
        <v>-897.07664709511971</v>
      </c>
      <c r="W1186" t="s">
        <v>12134</v>
      </c>
      <c r="X1186" t="s">
        <v>12135</v>
      </c>
      <c r="Y1186" t="s">
        <v>12136</v>
      </c>
    </row>
    <row r="1187" spans="1:25" x14ac:dyDescent="0.3">
      <c r="A1187">
        <v>59300</v>
      </c>
      <c r="B1187" t="s">
        <v>12137</v>
      </c>
      <c r="C1187">
        <f>-673.839953583934 -72.2368295646972 -97.6019741933191</f>
        <v>-843.67875734195025</v>
      </c>
      <c r="D1187">
        <f>-692.954323121382 -84.8358345823224 -211.145496409498</f>
        <v>-988.93565411320242</v>
      </c>
      <c r="E1187">
        <f>-702.407075924737 -91.030638016538 -309.119619924232</f>
        <v>-1102.557333865507</v>
      </c>
      <c r="F1187">
        <f>-708.664775572523 -95.081639605798 -397.904020647726</f>
        <v>-1201.650435826047</v>
      </c>
      <c r="G1187">
        <f>-712.250637389698 -97.5557724159828 -486.894196457378</f>
        <v>-1296.7006062630587</v>
      </c>
      <c r="H1187">
        <f>-714.418630270939 -99.4283673266423 -611.443816019065</f>
        <v>-1425.2908136166463</v>
      </c>
      <c r="I1187">
        <f>-688.701336599745 -92.5751588651794 -690.162956982537</f>
        <v>-1471.4394524474615</v>
      </c>
      <c r="J1187">
        <f>-719.369857884436 -71.5336533015025 -556.939956919665</f>
        <v>-1347.8434681056033</v>
      </c>
      <c r="K1187" t="s">
        <v>12138</v>
      </c>
      <c r="L1187" t="s">
        <v>12139</v>
      </c>
      <c r="M1187" t="s">
        <v>12140</v>
      </c>
      <c r="N1187">
        <f>-707.559312963998 -125.675178559825 -556.331498193255</f>
        <v>-1389.5659897170781</v>
      </c>
      <c r="O1187">
        <f>-679.981396292508 -257.000750153871 -526.502030296495</f>
        <v>-1463.4841767428738</v>
      </c>
      <c r="P1187">
        <f>-639.713362524158 -338.571793096664 -246.652323065656</f>
        <v>-1224.937478686478</v>
      </c>
      <c r="Q1187">
        <f>-500.274685611623 -152.891499846753 -310.92174946689</f>
        <v>-964.08793492526604</v>
      </c>
      <c r="R1187" t="s">
        <v>12141</v>
      </c>
      <c r="S1187" t="s">
        <v>12142</v>
      </c>
      <c r="T1187" t="s">
        <v>12143</v>
      </c>
      <c r="U1187" t="s">
        <v>12144</v>
      </c>
      <c r="V1187">
        <f>-640.978989093347 -162.070594887966 -94.3712342161275</f>
        <v>-897.42081819744044</v>
      </c>
      <c r="W1187" t="s">
        <v>12145</v>
      </c>
      <c r="X1187" t="s">
        <v>12146</v>
      </c>
      <c r="Y1187" t="s">
        <v>12147</v>
      </c>
    </row>
    <row r="1188" spans="1:25" x14ac:dyDescent="0.3">
      <c r="A1188">
        <v>59350</v>
      </c>
      <c r="B1188" t="s">
        <v>12148</v>
      </c>
      <c r="C1188">
        <f>-673.859506160665 -72.4803169296458 -97.6103141059181</f>
        <v>-843.95013719622887</v>
      </c>
      <c r="D1188">
        <f>-692.961159992124 -85.1431770124086 -211.148873090842</f>
        <v>-989.25321009537458</v>
      </c>
      <c r="E1188">
        <f>-702.44377767152 -91.2849157238213 -309.123370660894</f>
        <v>-1102.8520640562353</v>
      </c>
      <c r="F1188">
        <f>-708.742407529757 -95.2451918095214 -397.909044715723</f>
        <v>-1201.8966440550014</v>
      </c>
      <c r="G1188">
        <f>-712.382202897664 -97.5848342851561 -486.900741340379</f>
        <v>-1296.8677785231991</v>
      </c>
      <c r="H1188">
        <f>-714.638274439737 -99.2225543880686 -611.452039578331</f>
        <v>-1425.3128684061367</v>
      </c>
      <c r="I1188">
        <f>-688.982080847725 -92.1532320907415 -690.171877745973</f>
        <v>-1471.3071906844395</v>
      </c>
      <c r="J1188">
        <f>-719.620840875972 -71.4459379576592 -556.890564871101</f>
        <v>-1347.9573437047322</v>
      </c>
      <c r="K1188" t="s">
        <v>12149</v>
      </c>
      <c r="L1188" t="s">
        <v>12150</v>
      </c>
      <c r="M1188" t="s">
        <v>12151</v>
      </c>
      <c r="N1188">
        <f>-707.670171226416 -125.557826860559 -556.395611902341</f>
        <v>-1389.6236099893158</v>
      </c>
      <c r="O1188">
        <f>-679.919579686643 -256.992714822834 -527.209371769246</f>
        <v>-1464.1216662787231</v>
      </c>
      <c r="P1188">
        <f>-636.257306942434 -345.728897022112 -250.061957010868</f>
        <v>-1232.0481609754138</v>
      </c>
      <c r="Q1188">
        <f>-500.662150856335 -158.703511282554 -318.518843162693</f>
        <v>-977.88450530158195</v>
      </c>
      <c r="R1188" t="s">
        <v>12152</v>
      </c>
      <c r="S1188" t="s">
        <v>12153</v>
      </c>
      <c r="T1188" t="s">
        <v>12154</v>
      </c>
      <c r="U1188" t="s">
        <v>12155</v>
      </c>
      <c r="V1188">
        <f>-640.832565496305 -162.212464818487 -94.3715432688577</f>
        <v>-897.41657358364978</v>
      </c>
      <c r="W1188" t="s">
        <v>12156</v>
      </c>
      <c r="X1188" t="s">
        <v>12157</v>
      </c>
      <c r="Y1188" t="s">
        <v>12158</v>
      </c>
    </row>
    <row r="1189" spans="1:25" x14ac:dyDescent="0.3">
      <c r="A1189">
        <v>59400</v>
      </c>
      <c r="B1189" t="s">
        <v>12159</v>
      </c>
      <c r="C1189">
        <f>-673.806571705926 -73.3453854012541 -97.6195137467878</f>
        <v>-844.77147085396791</v>
      </c>
      <c r="D1189">
        <f>-692.946436796246 -86.1249998383614 -211.138614659294</f>
        <v>-990.21005129390142</v>
      </c>
      <c r="E1189">
        <f>-702.611286509712 -92.1705363154545 -309.101395686043</f>
        <v>-1103.8832185112096</v>
      </c>
      <c r="F1189">
        <f>-709.131024443961 -95.9642652259195 -397.878277851841</f>
        <v>-1202.9735675217214</v>
      </c>
      <c r="G1189">
        <f>-713.047254997691 -98.053590662211 -486.864471038429</f>
        <v>-1297.965316698331</v>
      </c>
      <c r="H1189">
        <f>-715.745591456782 -99.2513302778677 -611.412033787426</f>
        <v>-1426.4089555220758</v>
      </c>
      <c r="I1189">
        <f>-690.288268561815 -91.7785134857847 -690.159087161422</f>
        <v>-1472.2258692090218</v>
      </c>
      <c r="J1189">
        <f>-720.688061367588 -71.7021125566382 -556.731802920852</f>
        <v>-1349.1219768450783</v>
      </c>
      <c r="K1189" t="s">
        <v>12160</v>
      </c>
      <c r="L1189" t="s">
        <v>12161</v>
      </c>
      <c r="M1189" t="s">
        <v>12162</v>
      </c>
      <c r="N1189">
        <f>-708.428406961591 -125.746586596976 -556.477648977223</f>
        <v>-1390.6526425357902</v>
      </c>
      <c r="O1189">
        <f>-679.993287684685 -257.264179514369 -528.40133215048</f>
        <v>-1465.6587993495341</v>
      </c>
      <c r="P1189">
        <f>-630.955214767946 -356.579392437691 -255.778981445719</f>
        <v>-1243.313588651356</v>
      </c>
      <c r="Q1189">
        <f>-502.89117905397 -166.827315427767 -330.909400515435</f>
        <v>-1000.627894997172</v>
      </c>
      <c r="R1189" t="s">
        <v>12163</v>
      </c>
      <c r="S1189" t="s">
        <v>12164</v>
      </c>
      <c r="T1189" t="s">
        <v>12165</v>
      </c>
      <c r="U1189" t="s">
        <v>12166</v>
      </c>
      <c r="V1189">
        <f>-640.444083028945 -163.061940475121 -94.3599817125368</f>
        <v>-897.86600521660273</v>
      </c>
      <c r="W1189" t="s">
        <v>12167</v>
      </c>
      <c r="X1189" t="s">
        <v>12168</v>
      </c>
      <c r="Y1189" t="s">
        <v>12169</v>
      </c>
    </row>
    <row r="1190" spans="1:25" x14ac:dyDescent="0.3">
      <c r="A1190">
        <v>59450</v>
      </c>
      <c r="B1190" t="s">
        <v>12170</v>
      </c>
      <c r="C1190">
        <f>-673.717057243107 -74.1781374536472 -97.6276037888093</f>
        <v>-845.5227984855635</v>
      </c>
      <c r="D1190">
        <f>-692.871338697853 -87.0269563080412 -211.136447568774</f>
        <v>-991.03474257466826</v>
      </c>
      <c r="E1190">
        <f>-702.62924814237 -93.0533457788679 -309.091190488619</f>
        <v>-1104.7737844098569</v>
      </c>
      <c r="F1190">
        <f>-709.264519277368 -96.7972393151899 -397.861586794602</f>
        <v>-1203.9233453871598</v>
      </c>
      <c r="G1190">
        <f>-713.326989914573 -98.8023990773504 -486.843136304836</f>
        <v>-1298.9725252967594</v>
      </c>
      <c r="H1190">
        <f>-716.26175336519 -99.8450769188826 -611.386834014396</f>
        <v>-1427.4936642984685</v>
      </c>
      <c r="I1190">
        <f>-690.925283475998 -92.1774433845121 -690.154091557871</f>
        <v>-1473.256818418381</v>
      </c>
      <c r="J1190">
        <f>-721.168748034326 -72.3794078204 -556.661329192629</f>
        <v>-1350.209485047355</v>
      </c>
      <c r="K1190" t="s">
        <v>12171</v>
      </c>
      <c r="L1190" t="s">
        <v>12172</v>
      </c>
      <c r="M1190" t="s">
        <v>12173</v>
      </c>
      <c r="N1190">
        <f>-708.772021898715 -126.393029393937 -556.501299392128</f>
        <v>-1391.6663506847799</v>
      </c>
      <c r="O1190">
        <f>-679.931925418434 -257.896798129811 -528.793551950398</f>
        <v>-1466.6222754986429</v>
      </c>
      <c r="P1190">
        <f>-629.547825165132 -360.357554809844 -257.584282420095</f>
        <v>-1247.489662395071</v>
      </c>
      <c r="Q1190">
        <f>-504.421502043588 -169.814525466272 -335.607936813829</f>
        <v>-1009.8439643236891</v>
      </c>
      <c r="R1190" t="s">
        <v>12174</v>
      </c>
      <c r="S1190" t="s">
        <v>12175</v>
      </c>
      <c r="T1190" t="s">
        <v>12176</v>
      </c>
      <c r="U1190" t="s">
        <v>12177</v>
      </c>
      <c r="V1190">
        <f>-640.177289471312 -164.045783184479 -94.3458361846696</f>
        <v>-898.56890884046049</v>
      </c>
      <c r="W1190" t="s">
        <v>12178</v>
      </c>
      <c r="X1190" t="s">
        <v>12179</v>
      </c>
      <c r="Y1190" t="s">
        <v>12180</v>
      </c>
    </row>
    <row r="1191" spans="1:25" x14ac:dyDescent="0.3">
      <c r="A1191">
        <v>59500</v>
      </c>
      <c r="B1191" t="s">
        <v>12181</v>
      </c>
      <c r="C1191">
        <f>-673.458743763896 -76.0207657766805 -97.5790626195527</f>
        <v>-847.05857216012919</v>
      </c>
      <c r="D1191">
        <f>-692.69721275734 -89.0135632412712 -211.057257973123</f>
        <v>-992.76803397173421</v>
      </c>
      <c r="E1191">
        <f>-702.676328546875 -95.0731353729673 -308.987577782161</f>
        <v>-1106.7370417020034</v>
      </c>
      <c r="F1191">
        <f>-709.569488051058 -98.8096031161363 -397.738636529425</f>
        <v>-1206.1177276966191</v>
      </c>
      <c r="G1191">
        <f>-713.947548019326 -100.766839629208 -486.706418681106</f>
        <v>-1301.4208063296401</v>
      </c>
      <c r="H1191">
        <f>-717.382929406276 -101.698377194759 -611.238024723577</f>
        <v>-1430.319331324612</v>
      </c>
      <c r="I1191">
        <f>-692.329532659856 -93.7431103590939 -690.067413129709</f>
        <v>-1476.1400561486589</v>
      </c>
      <c r="J1191">
        <f>-722.157216145753 -74.3019448911662 -556.466349997082</f>
        <v>-1352.9255110340011</v>
      </c>
      <c r="K1191" t="s">
        <v>12182</v>
      </c>
      <c r="L1191" t="s">
        <v>12183</v>
      </c>
      <c r="M1191" t="s">
        <v>12184</v>
      </c>
      <c r="N1191">
        <f>-709.585164132424 -128.275059884733 -556.409347582235</f>
        <v>-1394.2695715993918</v>
      </c>
      <c r="O1191">
        <f>-680.139323624639 -259.741388243794 -529.119547295948</f>
        <v>-1469.0002591643811</v>
      </c>
      <c r="P1191">
        <f>-627.917713865724 -364.703870370048 -259.217696137082</f>
        <v>-1251.8392803728539</v>
      </c>
      <c r="Q1191">
        <f>-506.214315017098 -174.291380991625 -342.777745221035</f>
        <v>-1023.283441229758</v>
      </c>
      <c r="R1191" t="s">
        <v>12185</v>
      </c>
      <c r="S1191" t="s">
        <v>12186</v>
      </c>
      <c r="T1191" t="s">
        <v>12187</v>
      </c>
      <c r="U1191" t="s">
        <v>12188</v>
      </c>
      <c r="V1191">
        <f>-639.76636148416 -165.683315561189 -94.2752565822212</f>
        <v>-899.72493362757029</v>
      </c>
      <c r="W1191" t="s">
        <v>12189</v>
      </c>
      <c r="X1191" t="s">
        <v>12190</v>
      </c>
      <c r="Y1191" t="s">
        <v>12191</v>
      </c>
    </row>
    <row r="1192" spans="1:25" x14ac:dyDescent="0.3">
      <c r="A1192">
        <v>59550</v>
      </c>
      <c r="B1192" t="s">
        <v>12192</v>
      </c>
      <c r="C1192">
        <f>-673.307607320832 -76.9394338125333 -97.5193979444008</f>
        <v>-847.76643907776599</v>
      </c>
      <c r="D1192">
        <f>-692.611073289281 -89.993068057141 -210.979541786866</f>
        <v>-993.58368313328799</v>
      </c>
      <c r="E1192">
        <f>-702.68552154618 -96.0997791366462 -308.897193539737</f>
        <v>-1107.6824942225633</v>
      </c>
      <c r="F1192">
        <f>-709.681326969391 -99.8758613482566 -397.638566898818</f>
        <v>-1207.1957552164656</v>
      </c>
      <c r="G1192">
        <f>-714.17875201822 -101.868411227983 -486.599483344034</f>
        <v>-1302.646646590237</v>
      </c>
      <c r="H1192">
        <f>-717.798874291474 -102.843952287913 -611.125636939183</f>
        <v>-1431.7684635185701</v>
      </c>
      <c r="I1192">
        <f>-692.84376834158 -94.7813115365484 -689.975227214728</f>
        <v>-1477.6003070928564</v>
      </c>
      <c r="J1192">
        <f>-722.531287833348 -75.4372820697261 -556.355308752645</f>
        <v>-1354.323878655719</v>
      </c>
      <c r="K1192" t="s">
        <v>12193</v>
      </c>
      <c r="L1192" t="s">
        <v>12194</v>
      </c>
      <c r="M1192" t="s">
        <v>12195</v>
      </c>
      <c r="N1192">
        <f>-709.880466794287 -129.391982051342 -556.300408643509</f>
        <v>-1395.572857489138</v>
      </c>
      <c r="O1192">
        <f>-680.133968411742 -260.81243878458 -529.107882908867</f>
        <v>-1470.054290105189</v>
      </c>
      <c r="P1192">
        <f>-627.380757474105 -365.565188418786 -259.227894528824</f>
        <v>-1252.1738404217151</v>
      </c>
      <c r="Q1192">
        <f>-505.95288760764 -175.955793068002 -344.985706633716</f>
        <v>-1026.8943873093581</v>
      </c>
      <c r="R1192" t="s">
        <v>12196</v>
      </c>
      <c r="S1192" t="s">
        <v>12197</v>
      </c>
      <c r="T1192" t="s">
        <v>12198</v>
      </c>
      <c r="U1192" t="s">
        <v>12199</v>
      </c>
      <c r="V1192">
        <f>-639.612223699573 -166.4026193051 -94.2162873631069</f>
        <v>-900.23113036777977</v>
      </c>
      <c r="W1192" t="s">
        <v>12200</v>
      </c>
      <c r="X1192" t="s">
        <v>12201</v>
      </c>
      <c r="Y1192" t="s">
        <v>12202</v>
      </c>
    </row>
    <row r="1193" spans="1:25" x14ac:dyDescent="0.3">
      <c r="A1193">
        <v>59600</v>
      </c>
      <c r="B1193" t="s">
        <v>12203</v>
      </c>
      <c r="C1193">
        <f>-672.98616260206 -79.0195340027042 -97.4014098802306</f>
        <v>-849.40710648499476</v>
      </c>
      <c r="D1193">
        <f>-692.389125077314 -92.2605489095656 -210.822835221712</f>
        <v>-995.47250920859165</v>
      </c>
      <c r="E1193">
        <f>-702.637433528279 -98.4575042366041 -308.716813981077</f>
        <v>-1109.81175174596</v>
      </c>
      <c r="F1193">
        <f>-709.825707655345 -102.285064650258 -397.440552998362</f>
        <v>-1209.5513253039649</v>
      </c>
      <c r="G1193">
        <f>-714.551211585634 -104.295965486601 -486.389264198672</f>
        <v>-1305.2364412709069</v>
      </c>
      <c r="H1193">
        <f>-718.527357404282 -105.260598960187 -610.904709900551</f>
        <v>-1434.6926662650199</v>
      </c>
      <c r="I1193">
        <f>-693.768970643637 -96.9109221544961 -689.78644496697</f>
        <v>-1480.4663377651032</v>
      </c>
      <c r="J1193">
        <f>-723.205236809293 -77.88280418973 -556.115178105032</f>
        <v>-1357.2032191040548</v>
      </c>
      <c r="K1193" t="s">
        <v>12204</v>
      </c>
      <c r="L1193" t="s">
        <v>12205</v>
      </c>
      <c r="M1193" t="s">
        <v>12206</v>
      </c>
      <c r="N1193">
        <f>-710.35012072096 -131.789283208937 -556.108058265899</f>
        <v>-1398.2474621957961</v>
      </c>
      <c r="O1193">
        <f>-679.920003307227 -263.081820156443 -529.017195367578</f>
        <v>-1472.0190188312481</v>
      </c>
      <c r="P1193">
        <f>-627.319214794475 -365.293609908426 -258.134967303151</f>
        <v>-1250.7477920060519</v>
      </c>
      <c r="Q1193">
        <f>-504.275972401618 -178.252240635541 -347.167341826164</f>
        <v>-1029.695554863323</v>
      </c>
      <c r="R1193" t="s">
        <v>12207</v>
      </c>
      <c r="S1193" t="s">
        <v>12208</v>
      </c>
      <c r="T1193" t="s">
        <v>12209</v>
      </c>
      <c r="U1193" t="s">
        <v>12210</v>
      </c>
      <c r="V1193">
        <f>-639.235175052446 -168.406555371156 -94.0451651523284</f>
        <v>-901.68689557593041</v>
      </c>
      <c r="W1193" t="s">
        <v>12211</v>
      </c>
      <c r="X1193" t="s">
        <v>12212</v>
      </c>
      <c r="Y1193" t="s">
        <v>12213</v>
      </c>
    </row>
    <row r="1194" spans="1:25" x14ac:dyDescent="0.3">
      <c r="A1194">
        <v>59650</v>
      </c>
      <c r="B1194" t="s">
        <v>12214</v>
      </c>
      <c r="C1194">
        <f>-672.860485902297 -80.0575223542276 -97.3639062025974</f>
        <v>-850.28191445912194</v>
      </c>
      <c r="D1194">
        <f>-692.297823949224 -93.3986681001372 -210.767696218941</f>
        <v>-996.46418826830222</v>
      </c>
      <c r="E1194">
        <f>-702.620856433127 -99.6274831634762 -308.651810567429</f>
        <v>-1110.9001501640321</v>
      </c>
      <c r="F1194">
        <f>-709.894063838504 -103.462020078697 -397.368379515337</f>
        <v>-1210.724463432538</v>
      </c>
      <c r="G1194">
        <f>-714.721379109402 -105.456784291423 -486.312094388173</f>
        <v>-1306.490257788998</v>
      </c>
      <c r="H1194">
        <f>-718.857291225572 -106.373929218536 -610.822505853893</f>
        <v>-1436.053726298001</v>
      </c>
      <c r="I1194">
        <f>-694.202991845038 -97.8547722596641 -689.718792066963</f>
        <v>-1481.7765561716651</v>
      </c>
      <c r="J1194">
        <f>-723.521511694054 -79.0307462938385 -556.014645753588</f>
        <v>-1358.5669037414805</v>
      </c>
      <c r="K1194" t="s">
        <v>12215</v>
      </c>
      <c r="L1194" t="s">
        <v>12216</v>
      </c>
      <c r="M1194" t="s">
        <v>12217</v>
      </c>
      <c r="N1194">
        <f>-710.553010709074 -132.909997408156 -556.048562542485</f>
        <v>-1399.5115706597148</v>
      </c>
      <c r="O1194">
        <f>-679.767414317567 -264.135134407369 -529.014163204666</f>
        <v>-1472.9167119296021</v>
      </c>
      <c r="P1194">
        <f>-628.127071494822 -364.333314204216 -257.196473307467</f>
        <v>-1249.6568590065049</v>
      </c>
      <c r="Q1194">
        <f>-503.679548918833 -178.984307715317 -347.802598466201</f>
        <v>-1030.4664551003509</v>
      </c>
      <c r="R1194" t="s">
        <v>12218</v>
      </c>
      <c r="S1194" t="s">
        <v>12219</v>
      </c>
      <c r="T1194" t="s">
        <v>12220</v>
      </c>
      <c r="U1194" t="s">
        <v>12221</v>
      </c>
      <c r="V1194">
        <f>-638.997299092963 -169.349202348784 -93.9651592059248</f>
        <v>-902.31166064767183</v>
      </c>
      <c r="W1194" t="s">
        <v>12222</v>
      </c>
      <c r="X1194" t="s">
        <v>12223</v>
      </c>
      <c r="Y1194" t="s">
        <v>12224</v>
      </c>
    </row>
    <row r="1195" spans="1:25" x14ac:dyDescent="0.3">
      <c r="A1195">
        <v>59700</v>
      </c>
      <c r="B1195" t="s">
        <v>12225</v>
      </c>
      <c r="C1195">
        <f>-672.638853086614 -81.9766604199192 -97.3479535373539</f>
        <v>-851.96346704388702</v>
      </c>
      <c r="D1195">
        <f>-692.045317211967 -95.451326570507 -210.741315609134</f>
        <v>-998.237959391608</v>
      </c>
      <c r="E1195">
        <f>-702.464859934775 -101.740618436053 -308.61117332915</f>
        <v>-1112.8166516999779</v>
      </c>
      <c r="F1195">
        <f>-709.872729668539 -105.60816154397 -397.315266761357</f>
        <v>-1212.796157973866</v>
      </c>
      <c r="G1195">
        <f>-714.882598070121 -107.612400488366 -486.248583860136</f>
        <v>-1308.7435824186232</v>
      </c>
      <c r="H1195">
        <f>-719.322878389747 -108.516351852221 -610.748682030146</f>
        <v>-1438.587912272114</v>
      </c>
      <c r="I1195">
        <f>-694.871377843464 -99.6525244011707 -689.669999261215</f>
        <v>-1484.1939015058497</v>
      </c>
      <c r="J1195">
        <f>-723.942554108 -81.2007217259234 -555.923378635412</f>
        <v>-1361.0666544693354</v>
      </c>
      <c r="K1195" t="s">
        <v>12226</v>
      </c>
      <c r="L1195" t="s">
        <v>12227</v>
      </c>
      <c r="M1195" t="s">
        <v>12228</v>
      </c>
      <c r="N1195">
        <f>-710.795292226983 -135.036569941897 -556.001377862614</f>
        <v>-1401.8332400314939</v>
      </c>
      <c r="O1195">
        <f>-679.385645027711 -266.112003600023 -528.986329938284</f>
        <v>-1474.4839785660179</v>
      </c>
      <c r="P1195">
        <f>-630.071731515479 -361.755884480647 -255.103977710985</f>
        <v>-1246.931593707111</v>
      </c>
      <c r="Q1195">
        <f>-502.647384268784 -180.321190069614 -349.419064270434</f>
        <v>-1032.3876386088318</v>
      </c>
      <c r="R1195" t="s">
        <v>12229</v>
      </c>
      <c r="S1195" t="s">
        <v>12230</v>
      </c>
      <c r="T1195" t="s">
        <v>12231</v>
      </c>
      <c r="U1195" t="s">
        <v>12232</v>
      </c>
      <c r="V1195">
        <f>-638.520392814116 -171.205146841551 -93.8839168044422</f>
        <v>-903.60945646010919</v>
      </c>
      <c r="W1195" t="s">
        <v>12233</v>
      </c>
      <c r="X1195" t="s">
        <v>12234</v>
      </c>
      <c r="Y1195" t="s">
        <v>12235</v>
      </c>
    </row>
    <row r="1196" spans="1:25" x14ac:dyDescent="0.3">
      <c r="A1196">
        <v>59750</v>
      </c>
      <c r="B1196" t="s">
        <v>12236</v>
      </c>
      <c r="C1196">
        <f>-672.553428582085 -82.8025941286667 -97.3331581496036</f>
        <v>-852.68918086035524</v>
      </c>
      <c r="D1196">
        <f>-691.928065981668 -96.3166833450127 -210.727219737284</f>
        <v>-998.97196906396482</v>
      </c>
      <c r="E1196">
        <f>-702.376255821998 -102.640754851858 -308.591928516904</f>
        <v>-1113.6089391907599</v>
      </c>
      <c r="F1196">
        <f>-709.832590680473 -106.540094204709 -397.29049771201</f>
        <v>-1213.663182597192</v>
      </c>
      <c r="G1196">
        <f>-714.913666916221 -108.574972037666 -486.219112495721</f>
        <v>-1309.7077514496082</v>
      </c>
      <c r="H1196">
        <f>-719.477195774779 -109.520408238461 -610.714380044413</f>
        <v>-1439.7119840576529</v>
      </c>
      <c r="I1196">
        <f>-695.115069944587 -100.513656655323 -689.647304061365</f>
        <v>-1485.2760306612749</v>
      </c>
      <c r="J1196">
        <f>-724.08774320788 -82.1974247458838 -555.891774387354</f>
        <v>-1362.1769423411179</v>
      </c>
      <c r="K1196" t="s">
        <v>12237</v>
      </c>
      <c r="L1196" t="s">
        <v>12238</v>
      </c>
      <c r="M1196" t="s">
        <v>12239</v>
      </c>
      <c r="N1196">
        <f>-710.850430568663 -136.011231878153 -555.968448855299</f>
        <v>-1402.830111302115</v>
      </c>
      <c r="O1196">
        <f>-679.163685261641 -267.01099437665 -528.916546986954</f>
        <v>-1475.0912266252451</v>
      </c>
      <c r="P1196">
        <f>-630.929067967526 -360.678662695103 -254.160255773484</f>
        <v>-1245.767986436113</v>
      </c>
      <c r="Q1196">
        <f>-502.201510088408 -181.263201694224 -350.545855335899</f>
        <v>-1034.0105671185311</v>
      </c>
      <c r="R1196" t="s">
        <v>12240</v>
      </c>
      <c r="S1196" t="s">
        <v>12241</v>
      </c>
      <c r="T1196" t="s">
        <v>12242</v>
      </c>
      <c r="U1196" t="s">
        <v>12243</v>
      </c>
      <c r="V1196">
        <f>-638.330138567282 -171.936565238581 -93.8695325123967</f>
        <v>-904.13623631825976</v>
      </c>
      <c r="W1196" t="s">
        <v>12244</v>
      </c>
      <c r="X1196" t="s">
        <v>12245</v>
      </c>
      <c r="Y1196" t="s">
        <v>12246</v>
      </c>
    </row>
    <row r="1197" spans="1:25" x14ac:dyDescent="0.3">
      <c r="A1197">
        <v>59800</v>
      </c>
      <c r="B1197" t="s">
        <v>12247</v>
      </c>
      <c r="C1197">
        <f>-672.449886439581 -84.2859524749856 -97.3392344551686</f>
        <v>-854.07507336973515</v>
      </c>
      <c r="D1197">
        <f>-691.779192162251 -97.8474875117263 -210.735371232515</f>
        <v>-1000.3620509064923</v>
      </c>
      <c r="E1197">
        <f>-702.221775916915 -104.213793749354 -308.598023048104</f>
        <v>-1115.0335927143728</v>
      </c>
      <c r="F1197">
        <f>-709.685892990144 -108.153152070286 -397.294121550425</f>
        <v>-1215.1331666108549</v>
      </c>
      <c r="G1197">
        <f>-714.788069511171 -110.228558952516 -486.220520909689</f>
        <v>-1311.237149373376</v>
      </c>
      <c r="H1197">
        <f>-719.395214857455 -111.230679847136 -610.713858040969</f>
        <v>-1441.33975274556</v>
      </c>
      <c r="I1197">
        <f>-695.094009551203 -101.983749016101 -689.637687627498</f>
        <v>-1486.7154461948021</v>
      </c>
      <c r="J1197">
        <f>-724.061466177641 -83.9012183485495 -555.899238587115</f>
        <v>-1363.8619231133055</v>
      </c>
      <c r="K1197" t="s">
        <v>12248</v>
      </c>
      <c r="L1197" t="s">
        <v>12249</v>
      </c>
      <c r="M1197" t="s">
        <v>12250</v>
      </c>
      <c r="N1197">
        <f>-710.674360903825 -137.678132181968 -555.961765755569</f>
        <v>-1404.3142588413621</v>
      </c>
      <c r="O1197">
        <f>-678.51537191779 -268.560286747871 -528.884273654945</f>
        <v>-1475.959932320606</v>
      </c>
      <c r="P1197">
        <f>-631.266134354557 -359.896068417313 -253.173394601046</f>
        <v>-1244.335597372916</v>
      </c>
      <c r="Q1197">
        <f>-501.131609573065 -183.654232894609 -353.446343656533</f>
        <v>-1038.2321861242069</v>
      </c>
      <c r="R1197" t="s">
        <v>12251</v>
      </c>
      <c r="S1197" t="s">
        <v>12252</v>
      </c>
      <c r="T1197" t="s">
        <v>12253</v>
      </c>
      <c r="U1197" t="s">
        <v>12254</v>
      </c>
      <c r="V1197">
        <f>-638.019897002292 -173.347776215051 -93.8446394458143</f>
        <v>-905.21231266315738</v>
      </c>
      <c r="W1197" t="s">
        <v>12255</v>
      </c>
      <c r="X1197" t="s">
        <v>12256</v>
      </c>
      <c r="Y1197" t="s">
        <v>12257</v>
      </c>
    </row>
    <row r="1198" spans="1:25" x14ac:dyDescent="0.3">
      <c r="A1198">
        <v>59850</v>
      </c>
      <c r="B1198" t="s">
        <v>12258</v>
      </c>
      <c r="C1198">
        <f>-672.418325547646 -84.9958840129118 -97.3416999929213</f>
        <v>-854.75590955347911</v>
      </c>
      <c r="D1198">
        <f>-691.727334069171 -98.5911063475869 -210.737234898889</f>
        <v>-1001.0556753156469</v>
      </c>
      <c r="E1198">
        <f>-702.141818647224 -104.965214778339 -308.602388636855</f>
        <v>-1115.7094220624181</v>
      </c>
      <c r="F1198">
        <f>-709.575590144088 -108.903520205641 -397.301039366219</f>
        <v>-1215.780149715948</v>
      </c>
      <c r="G1198">
        <f>-714.642163884121 -110.969682041947 -486.229763735012</f>
        <v>-1311.8416096610799</v>
      </c>
      <c r="H1198">
        <f>-719.194308355687 -111.950508318747 -610.72517603836</f>
        <v>-1441.8699927127941</v>
      </c>
      <c r="I1198">
        <f>-694.86996890267 -102.604863237842 -689.63035339455</f>
        <v>-1487.105185535062</v>
      </c>
      <c r="J1198">
        <f>-723.913180005309 -84.6375064411109 -555.90697209131</f>
        <v>-1364.4576585377299</v>
      </c>
      <c r="K1198" t="s">
        <v>12259</v>
      </c>
      <c r="L1198" t="s">
        <v>12260</v>
      </c>
      <c r="M1198" t="s">
        <v>12261</v>
      </c>
      <c r="N1198">
        <f>-710.469084419723 -138.400291114174 -555.974890095519</f>
        <v>-1404.844265629416</v>
      </c>
      <c r="O1198">
        <f>-678.096478953483 -269.239962754992 -528.92373783552</f>
        <v>-1476.260179543995</v>
      </c>
      <c r="P1198">
        <f>-630.581500390056 -360.358026149511 -253.186650907491</f>
        <v>-1244.1261774470579</v>
      </c>
      <c r="Q1198">
        <f>-500.24362751593 -185.128223514641 -354.958023313753</f>
        <v>-1040.329874344324</v>
      </c>
      <c r="R1198" t="s">
        <v>12262</v>
      </c>
      <c r="S1198" t="s">
        <v>12263</v>
      </c>
      <c r="T1198" t="s">
        <v>12264</v>
      </c>
      <c r="U1198" t="s">
        <v>12265</v>
      </c>
      <c r="V1198">
        <f>-637.893208392406 -174.090657413974 -93.8277541805162</f>
        <v>-905.81161998689618</v>
      </c>
      <c r="W1198" t="s">
        <v>12266</v>
      </c>
      <c r="X1198" t="s">
        <v>12267</v>
      </c>
      <c r="Y1198" t="s">
        <v>12268</v>
      </c>
    </row>
    <row r="1199" spans="1:25" x14ac:dyDescent="0.3">
      <c r="A1199">
        <v>59900</v>
      </c>
      <c r="B1199" t="s">
        <v>12269</v>
      </c>
      <c r="C1199">
        <f>-672.387912193302 -86.349715305468 -97.4334822157099</f>
        <v>-856.17110971447983</v>
      </c>
      <c r="D1199">
        <f>-691.676766072004 -100.006502764765 -210.825163905355</f>
        <v>-1002.508432742124</v>
      </c>
      <c r="E1199">
        <f>-702.040695165751 -106.335842180341 -308.698430877576</f>
        <v>-1117.0749682236681</v>
      </c>
      <c r="F1199">
        <f>-709.41386663196 -110.195544196416 -397.405638707864</f>
        <v>-1217.01504953624</v>
      </c>
      <c r="G1199">
        <f>-714.404512449986 -112.143848500503 -486.341237341689</f>
        <v>-1312.8895982921781</v>
      </c>
      <c r="H1199">
        <f>-718.833182480177 -112.919521234412 -610.842673507556</f>
        <v>-1442.5953772221451</v>
      </c>
      <c r="I1199">
        <f>-694.40842646262 -103.345581319036 -689.689366667263</f>
        <v>-1487.443374448919</v>
      </c>
      <c r="J1199">
        <f>-723.669848112579 -85.7129094457521 -555.981712887957</f>
        <v>-1365.3644704462881</v>
      </c>
      <c r="K1199" t="s">
        <v>12270</v>
      </c>
      <c r="L1199" t="s">
        <v>12271</v>
      </c>
      <c r="M1199" t="s">
        <v>12272</v>
      </c>
      <c r="N1199">
        <f>-710.098763958094 -139.443437640709 -556.12975268987</f>
        <v>-1405.6719542886731</v>
      </c>
      <c r="O1199">
        <f>-677.376415569365 -270.24376962737 -529.303521630978</f>
        <v>-1476.923706827713</v>
      </c>
      <c r="P1199">
        <f>-628.537246392735 -362.149855223749 -254.059588966839</f>
        <v>-1244.746690583323</v>
      </c>
      <c r="Q1199">
        <f>-498.376394870074 -188.379889089415 -358.52489630781</f>
        <v>-1045.2811802672991</v>
      </c>
      <c r="R1199" t="s">
        <v>12273</v>
      </c>
      <c r="S1199" t="s">
        <v>12274</v>
      </c>
      <c r="T1199" t="s">
        <v>12275</v>
      </c>
      <c r="U1199" t="s">
        <v>12276</v>
      </c>
      <c r="V1199">
        <f>-637.789482062096 -175.291518781978 -93.8519128727052</f>
        <v>-906.93291371677913</v>
      </c>
      <c r="W1199" t="s">
        <v>12277</v>
      </c>
      <c r="X1199" t="s">
        <v>12278</v>
      </c>
      <c r="Y1199" t="s">
        <v>12279</v>
      </c>
    </row>
    <row r="1200" spans="1:25" x14ac:dyDescent="0.3">
      <c r="A1200">
        <v>59950</v>
      </c>
      <c r="B1200" t="s">
        <v>12280</v>
      </c>
      <c r="C1200">
        <f>-672.443999281332 -86.8576547416046 -97.4313405872205</f>
        <v>-856.73299461015711</v>
      </c>
      <c r="D1200">
        <f>-691.717228538048 -100.523296486762 -210.824573898832</f>
        <v>-1003.0650989236419</v>
      </c>
      <c r="E1200">
        <f>-702.054093559264 -106.80042278929 -308.704093172401</f>
        <v>-1117.5586095209549</v>
      </c>
      <c r="F1200">
        <f>-709.396094934692 -110.589405962027 -397.416926732617</f>
        <v>-1217.402427629336</v>
      </c>
      <c r="G1200">
        <f>-714.348101997589 -112.443402765066 -486.356788660345</f>
        <v>-1313.148293423</v>
      </c>
      <c r="H1200">
        <f>-718.715254860084 -113.06173935993 -610.861282963101</f>
        <v>-1442.638277183115</v>
      </c>
      <c r="I1200">
        <f>-694.232756643662 -103.348412437405 -689.672954559214</f>
        <v>-1487.254123640281</v>
      </c>
      <c r="J1200">
        <f>-723.60935278478 -85.9321369410852 -555.967234251173</f>
        <v>-1365.5087239770382</v>
      </c>
      <c r="K1200" t="s">
        <v>12281</v>
      </c>
      <c r="L1200" t="s">
        <v>12282</v>
      </c>
      <c r="M1200" t="s">
        <v>12283</v>
      </c>
      <c r="N1200">
        <f>-709.977611578522 -139.647086132377 -556.178620095883</f>
        <v>-1405.8033178067822</v>
      </c>
      <c r="O1200">
        <f>-677.106016459061 -270.439441876323 -529.51431287011</f>
        <v>-1477.0597712054939</v>
      </c>
      <c r="P1200">
        <f>-627.575511230482 -363.146631208926 -254.663027852658</f>
        <v>-1245.3851702920661</v>
      </c>
      <c r="Q1200">
        <f>-497.639167521433 -189.901561531502 -360.273529071848</f>
        <v>-1047.814258124783</v>
      </c>
      <c r="R1200" t="s">
        <v>12284</v>
      </c>
      <c r="S1200" t="s">
        <v>12285</v>
      </c>
      <c r="T1200" t="s">
        <v>12286</v>
      </c>
      <c r="U1200" t="s">
        <v>12287</v>
      </c>
      <c r="V1200">
        <f>-637.780146202399 -175.70370423056 -93.8465141656002</f>
        <v>-907.33036459855919</v>
      </c>
      <c r="W1200" t="s">
        <v>12288</v>
      </c>
      <c r="X1200" t="s">
        <v>12289</v>
      </c>
      <c r="Y1200" t="s">
        <v>12290</v>
      </c>
    </row>
    <row r="1201" spans="1:25" x14ac:dyDescent="0.3">
      <c r="A1201">
        <v>60000</v>
      </c>
      <c r="B1201" t="s">
        <v>12291</v>
      </c>
      <c r="C1201">
        <f>-672.540539489848 -87.7917488953633 -97.3823771473457</f>
        <v>-857.71466553255698</v>
      </c>
      <c r="D1201">
        <f>-691.766341944571 -101.480713381842 -210.780913559416</f>
        <v>-1004.027968885829</v>
      </c>
      <c r="E1201">
        <f>-702.075564502921 -107.657780753792 -308.669706084093</f>
        <v>-1118.4030513408059</v>
      </c>
      <c r="F1201">
        <f>-709.395590073905 -111.308657954533 -397.390222258537</f>
        <v>-1218.0944702869751</v>
      </c>
      <c r="G1201">
        <f>-714.32744359575 -112.97567930547 -486.334741978533</f>
        <v>-1313.6378648797529</v>
      </c>
      <c r="H1201">
        <f>-718.667294782098 -113.281641353354 -610.841340420105</f>
        <v>-1442.7902765555568</v>
      </c>
      <c r="I1201">
        <f>-694.07988348055 -103.258617429652 -689.581643863275</f>
        <v>-1486.920144773477</v>
      </c>
      <c r="J1201">
        <f>-723.626810239935 -86.3034694202422 -555.878630170524</f>
        <v>-1365.8089098307014</v>
      </c>
      <c r="K1201" t="s">
        <v>12292</v>
      </c>
      <c r="L1201" t="s">
        <v>12293</v>
      </c>
      <c r="M1201" t="s">
        <v>12294</v>
      </c>
      <c r="N1201">
        <f>-709.888376495378 -139.990582284315 -556.225646227941</f>
        <v>-1406.1046050076338</v>
      </c>
      <c r="O1201">
        <f>-676.83340522983 -270.809350522503 -529.948551410346</f>
        <v>-1477.591307162679</v>
      </c>
      <c r="P1201">
        <f>-626.27760710168 -364.886516739405 -255.750141000461</f>
        <v>-1246.9142648415461</v>
      </c>
      <c r="Q1201">
        <f>-496.645136251202 -192.692417014083 -363.432481369335</f>
        <v>-1052.7700346346201</v>
      </c>
      <c r="R1201" t="s">
        <v>12295</v>
      </c>
      <c r="S1201" t="s">
        <v>12296</v>
      </c>
      <c r="T1201" t="s">
        <v>12297</v>
      </c>
      <c r="U1201" t="s">
        <v>12298</v>
      </c>
      <c r="V1201">
        <f>-637.74661587403 -176.521377150652 -93.8148955764555</f>
        <v>-908.08288860113748</v>
      </c>
      <c r="W1201" t="s">
        <v>12299</v>
      </c>
      <c r="X1201" t="s">
        <v>12300</v>
      </c>
      <c r="Y1201" t="s">
        <v>12301</v>
      </c>
    </row>
    <row r="1202" spans="1:25" x14ac:dyDescent="0.3">
      <c r="A1202">
        <v>60050</v>
      </c>
      <c r="B1202" t="s">
        <v>12302</v>
      </c>
      <c r="C1202">
        <f>-672.57571895996 -88.1883588995897 -97.3485567967637</f>
        <v>-858.11263465631339</v>
      </c>
      <c r="D1202">
        <f>-691.799413008288 -101.882066597012 -210.746745636638</f>
        <v>-1004.428225241938</v>
      </c>
      <c r="E1202">
        <f>-702.117428793617 -108.014487710594 -308.637420448276</f>
        <v>-1118.769336952487</v>
      </c>
      <c r="F1202">
        <f>-709.44848886019 -111.605388626407 -397.359503928179</f>
        <v>-1218.413381414776</v>
      </c>
      <c r="G1202">
        <f>-714.39437155865 -113.192594894502 -486.304748809299</f>
        <v>-1313.891715262451</v>
      </c>
      <c r="H1202">
        <f>-718.756015836501 -113.366135737925 -610.810886092207</f>
        <v>-1442.933037666633</v>
      </c>
      <c r="I1202">
        <f>-694.128326250278 -103.170065795772 -689.516379430058</f>
        <v>-1486.814771476108</v>
      </c>
      <c r="J1202">
        <f>-723.725794561669 -86.4516301634578 -555.818039134601</f>
        <v>-1365.9954638597278</v>
      </c>
      <c r="K1202" t="s">
        <v>12303</v>
      </c>
      <c r="L1202" t="s">
        <v>12304</v>
      </c>
      <c r="M1202" t="s">
        <v>12305</v>
      </c>
      <c r="N1202">
        <f>-709.947489221682 -140.128000161544 -556.225846342416</f>
        <v>-1406.301335725642</v>
      </c>
      <c r="O1202">
        <f>-676.823652224227 -270.958811629958 -530.092716187954</f>
        <v>-1477.8751800421389</v>
      </c>
      <c r="P1202">
        <f>-625.920690312572 -365.470117065023 -256.107944737084</f>
        <v>-1247.4987521146788</v>
      </c>
      <c r="Q1202">
        <f>-496.215389690841 -193.762714497869 -364.477747756622</f>
        <v>-1054.4558519453319</v>
      </c>
      <c r="R1202" t="s">
        <v>12306</v>
      </c>
      <c r="S1202" t="s">
        <v>12307</v>
      </c>
      <c r="T1202" t="s">
        <v>12308</v>
      </c>
      <c r="U1202" t="s">
        <v>12309</v>
      </c>
      <c r="V1202">
        <f>-637.741716257485 -176.85991008855 -93.7942177858098</f>
        <v>-908.3958441318448</v>
      </c>
      <c r="W1202" t="s">
        <v>12310</v>
      </c>
      <c r="X1202" t="s">
        <v>12311</v>
      </c>
      <c r="Y1202" t="s">
        <v>12312</v>
      </c>
    </row>
    <row r="1203" spans="1:25" x14ac:dyDescent="0.3">
      <c r="A1203">
        <v>60100</v>
      </c>
      <c r="B1203" t="s">
        <v>12313</v>
      </c>
      <c r="C1203">
        <f>-672.75337554295 -88.8841513165655 -97.2941459209059</f>
        <v>-858.93167278042142</v>
      </c>
      <c r="D1203">
        <f>-692.014505548641 -102.558519922608 -210.688260964791</f>
        <v>-1005.2612864360399</v>
      </c>
      <c r="E1203">
        <f>-702.37380468956 -108.602510055798 -308.580140753623</f>
        <v>-1119.556455498981</v>
      </c>
      <c r="F1203">
        <f>-709.744910784814 -112.084357359531 -397.303242802983</f>
        <v>-1219.132510947328</v>
      </c>
      <c r="G1203">
        <f>-714.733059685933 -113.532678912351 -486.248446382006</f>
        <v>-1314.5141849802899</v>
      </c>
      <c r="H1203">
        <f>-719.156170348026 -113.480052428486 -610.752581149573</f>
        <v>-1443.3888039260851</v>
      </c>
      <c r="I1203">
        <f>-694.451691260791 -102.943416154691 -689.388920838373</f>
        <v>-1486.784028253855</v>
      </c>
      <c r="J1203">
        <f>-724.133437230053 -86.6744005256967 -555.707209628344</f>
        <v>-1366.5150473840936</v>
      </c>
      <c r="K1203" t="s">
        <v>12314</v>
      </c>
      <c r="L1203" t="s">
        <v>12315</v>
      </c>
      <c r="M1203" t="s">
        <v>12316</v>
      </c>
      <c r="N1203">
        <f>-710.286237371565 -140.332075421759 -556.221734555254</f>
        <v>-1406.8400473485781</v>
      </c>
      <c r="O1203">
        <f>-677.01067541647 -271.164674607899 -530.283609744717</f>
        <v>-1478.4589597690861</v>
      </c>
      <c r="P1203">
        <f>-625.825022281856 -366.246415335703 -256.548927452481</f>
        <v>-1248.62036507004</v>
      </c>
      <c r="Q1203">
        <f>-495.64025765215 -195.033255190711 -365.125384040886</f>
        <v>-1055.7988968837469</v>
      </c>
      <c r="R1203">
        <f>-707.805311168609 -0.37505374534976 -102.879345307373</f>
        <v>-811.05971022133178</v>
      </c>
      <c r="S1203" t="s">
        <v>12317</v>
      </c>
      <c r="T1203" t="s">
        <v>12318</v>
      </c>
      <c r="U1203" t="s">
        <v>12319</v>
      </c>
      <c r="V1203">
        <f>-637.846664004828 -177.606453800434 -93.7617572017139</f>
        <v>-909.21487500697583</v>
      </c>
      <c r="W1203" t="s">
        <v>12320</v>
      </c>
      <c r="X1203" t="s">
        <v>12321</v>
      </c>
      <c r="Y1203" t="s">
        <v>12322</v>
      </c>
    </row>
    <row r="1204" spans="1:25" x14ac:dyDescent="0.3">
      <c r="A1204">
        <v>60150</v>
      </c>
      <c r="B1204" t="s">
        <v>12323</v>
      </c>
      <c r="C1204">
        <f>-672.852641627578 -89.2201564029272 -97.2720282031003</f>
        <v>-859.34482623360543</v>
      </c>
      <c r="D1204">
        <f>-692.154740551249 -102.878854714919 -210.6611233502</f>
        <v>-1005.694718616368</v>
      </c>
      <c r="E1204">
        <f>-702.534155319126 -108.87396412505 -308.553860078938</f>
        <v>-1119.9619795231138</v>
      </c>
      <c r="F1204">
        <f>-709.917065080575 -112.29746743147 -397.278218346969</f>
        <v>-1219.492750859014</v>
      </c>
      <c r="G1204">
        <f>-714.910275872453 -113.673138026239 -486.224285534222</f>
        <v>-1314.807699432914</v>
      </c>
      <c r="H1204">
        <f>-719.333429674472 -113.503537849107 -610.728219851368</f>
        <v>-1443.5651873749471</v>
      </c>
      <c r="I1204">
        <f>-694.598446036636 -102.806724131553 -689.333492287764</f>
        <v>-1486.7386624559531</v>
      </c>
      <c r="J1204">
        <f>-724.322650482935 -86.7525503061288 -555.65727082667</f>
        <v>-1366.7324716157339</v>
      </c>
      <c r="K1204" t="s">
        <v>12324</v>
      </c>
      <c r="L1204" t="s">
        <v>12325</v>
      </c>
      <c r="M1204" t="s">
        <v>12326</v>
      </c>
      <c r="N1204">
        <f>-710.451273535241 -140.403532985458 -556.223142570286</f>
        <v>-1407.0779490909849</v>
      </c>
      <c r="O1204">
        <f>-677.159132555352 -271.244699604116 -530.356375175396</f>
        <v>-1478.7602073348639</v>
      </c>
      <c r="P1204">
        <f>-626.02921211022 -366.38611475906 -256.631972950159</f>
        <v>-1249.0472998194391</v>
      </c>
      <c r="Q1204">
        <f>-495.404715105873 -195.352590226968 -364.963073504878</f>
        <v>-1055.7203788377192</v>
      </c>
      <c r="R1204">
        <f>-707.92458197068 -0.667262004256145 -102.846357085717</f>
        <v>-811.43820106065323</v>
      </c>
      <c r="S1204" t="s">
        <v>12327</v>
      </c>
      <c r="T1204" t="s">
        <v>12328</v>
      </c>
      <c r="U1204" t="s">
        <v>12329</v>
      </c>
      <c r="V1204">
        <f>-637.919515060149 -178.027350774197 -93.7574892624485</f>
        <v>-909.70435509679453</v>
      </c>
      <c r="W1204" t="s">
        <v>12330</v>
      </c>
      <c r="X1204" t="s">
        <v>12331</v>
      </c>
      <c r="Y1204" t="s">
        <v>12332</v>
      </c>
    </row>
    <row r="1205" spans="1:25" x14ac:dyDescent="0.3">
      <c r="A1205">
        <v>60200</v>
      </c>
      <c r="B1205" t="s">
        <v>12333</v>
      </c>
      <c r="C1205">
        <f>-673.041468987726 -89.5931213896774 -97.23873112174</f>
        <v>-859.87332149914346</v>
      </c>
      <c r="D1205">
        <f>-692.388321661726 -103.199664515563 -210.626436054586</f>
        <v>-1006.214422231875</v>
      </c>
      <c r="E1205">
        <f>-702.774568812753 -109.067378596468 -308.526198203418</f>
        <v>-1120.368145612639</v>
      </c>
      <c r="F1205">
        <f>-710.150070335107 -112.341943777177 -397.256772684009</f>
        <v>-1219.748786796293</v>
      </c>
      <c r="G1205">
        <f>-715.122023537511 -113.5345324912 -486.206708104098</f>
        <v>-1314.863264132809</v>
      </c>
      <c r="H1205">
        <f>-719.500188748702 -113.073446431069 -610.711510653583</f>
        <v>-1443.2851458333539</v>
      </c>
      <c r="I1205">
        <f>-694.716985160012 -102.078843436961 -689.260492969093</f>
        <v>-1486.0563215660659</v>
      </c>
      <c r="J1205">
        <f>-724.533784689185 -86.4577922925787 -555.579015206963</f>
        <v>-1366.5705921887268</v>
      </c>
      <c r="K1205" t="s">
        <v>12334</v>
      </c>
      <c r="L1205" t="s">
        <v>12335</v>
      </c>
      <c r="M1205" t="s">
        <v>12336</v>
      </c>
      <c r="N1205">
        <f>-710.613516712383 -140.094760556192 -556.267041526414</f>
        <v>-1406.9753187949891</v>
      </c>
      <c r="O1205">
        <f>-677.229946689739 -270.941508599668 -530.534921742262</f>
        <v>-1478.706377031669</v>
      </c>
      <c r="P1205">
        <f>-626.697152128153 -365.852406683871 -256.61970756305</f>
        <v>-1249.1692663750739</v>
      </c>
      <c r="Q1205">
        <f>-495.006562204586 -195.097522302307 -364.09642187372</f>
        <v>-1054.200506380613</v>
      </c>
      <c r="R1205">
        <f>-708.149241924955 -0.959533007114715 -102.777245676354</f>
        <v>-811.88602060842379</v>
      </c>
      <c r="S1205" t="s">
        <v>12337</v>
      </c>
      <c r="T1205" t="s">
        <v>12338</v>
      </c>
      <c r="U1205" t="s">
        <v>12339</v>
      </c>
      <c r="V1205">
        <f>-638.069840566056 -178.3809742635 -93.7632749534498</f>
        <v>-910.21408978300576</v>
      </c>
      <c r="W1205" t="s">
        <v>12340</v>
      </c>
      <c r="X1205" t="s">
        <v>12341</v>
      </c>
      <c r="Y1205" t="s">
        <v>12342</v>
      </c>
    </row>
    <row r="1206" spans="1:25" x14ac:dyDescent="0.3">
      <c r="A1206">
        <v>60250</v>
      </c>
      <c r="B1206" t="s">
        <v>12343</v>
      </c>
      <c r="C1206">
        <f>-673.311107111435 -89.7255075450091 -97.2052455713596</f>
        <v>-860.24186022780373</v>
      </c>
      <c r="D1206">
        <f>-692.685308961796 -103.243923386637 -210.598850212263</f>
        <v>-1006.5280825606959</v>
      </c>
      <c r="E1206">
        <f>-703.071170169797 -108.974443156924 -308.506740127957</f>
        <v>-1120.552353454678</v>
      </c>
      <c r="F1206">
        <f>-710.436750376424 -112.099466432026 -397.243633373836</f>
        <v>-1219.7798501822861</v>
      </c>
      <c r="G1206">
        <f>-715.389463716529 -113.115749461207 -486.196834556998</f>
        <v>-1314.7020477347339</v>
      </c>
      <c r="H1206">
        <f>-719.73092662163 -112.379866023578 -610.701441848767</f>
        <v>-1442.812234493975</v>
      </c>
      <c r="I1206">
        <f>-694.920501216319 -101.127529642133 -689.20537366672</f>
        <v>-1485.2534045251721</v>
      </c>
      <c r="J1206">
        <f>-724.825626568198 -85.8977029932187 -555.510403660015</f>
        <v>-1366.2337332214315</v>
      </c>
      <c r="K1206" t="s">
        <v>12344</v>
      </c>
      <c r="L1206" t="s">
        <v>12345</v>
      </c>
      <c r="M1206" t="s">
        <v>12346</v>
      </c>
      <c r="N1206">
        <f>-710.815424955521 -139.509673666425 -556.315811207852</f>
        <v>-1406.6409098297981</v>
      </c>
      <c r="O1206">
        <f>-677.309584570711 -270.345907556829 -530.703437359882</f>
        <v>-1478.3589294874218</v>
      </c>
      <c r="P1206">
        <f>-627.659171248302 -364.864881473468 -256.491439812665</f>
        <v>-1249.015492534435</v>
      </c>
      <c r="Q1206">
        <f>-495.002705792263 -194.24072046828 -362.983387532407</f>
        <v>-1052.22681379295</v>
      </c>
      <c r="R1206">
        <f>-708.413687216367 -0.99420286091231 -102.684747742845</f>
        <v>-812.09263782012431</v>
      </c>
      <c r="S1206" t="s">
        <v>12347</v>
      </c>
      <c r="T1206" t="s">
        <v>12348</v>
      </c>
      <c r="U1206" t="s">
        <v>12349</v>
      </c>
      <c r="V1206">
        <f>-638.354165686887 -178.649301966886 -93.7766016601979</f>
        <v>-910.7800693139709</v>
      </c>
      <c r="W1206" t="s">
        <v>12350</v>
      </c>
      <c r="X1206" t="s">
        <v>12351</v>
      </c>
      <c r="Y1206" t="s">
        <v>12352</v>
      </c>
    </row>
    <row r="1207" spans="1:25" x14ac:dyDescent="0.3">
      <c r="A1207">
        <v>60300</v>
      </c>
      <c r="B1207" t="s">
        <v>12353</v>
      </c>
      <c r="C1207">
        <f>-673.457618156327 -89.765114193094 -97.181687320775</f>
        <v>-860.40441967019603</v>
      </c>
      <c r="D1207">
        <f>-692.834135679723 -103.250749180781 -210.578821465956</f>
        <v>-1006.66370632646</v>
      </c>
      <c r="E1207">
        <f>-703.20782307626 -108.915254224368 -308.491802858929</f>
        <v>-1120.6148801595571</v>
      </c>
      <c r="F1207">
        <f>-710.556451775191 -111.965016957138 -397.232714063493</f>
        <v>-1219.7541827958221</v>
      </c>
      <c r="G1207">
        <f>-715.486269790535 -112.890384193724 -486.188079453071</f>
        <v>-1314.56473343733</v>
      </c>
      <c r="H1207">
        <f>-719.789591403428 -112.01057907911 -610.693256601312</f>
        <v>-1442.4934270838498</v>
      </c>
      <c r="I1207">
        <f>-694.970257744444 -100.648523136 -689.178429946052</f>
        <v>-1484.797210826496</v>
      </c>
      <c r="J1207">
        <f>-724.921658541112 -85.5977192038411 -555.472585374661</f>
        <v>-1365.991963119614</v>
      </c>
      <c r="K1207" t="s">
        <v>12354</v>
      </c>
      <c r="L1207" t="s">
        <v>12355</v>
      </c>
      <c r="M1207" t="s">
        <v>12356</v>
      </c>
      <c r="N1207">
        <f>-710.870059938502 -139.197820611361 -556.336909973321</f>
        <v>-1406.4047905231841</v>
      </c>
      <c r="O1207">
        <f>-677.311768982489 -270.033543569107 -530.785639213439</f>
        <v>-1478.130951765035</v>
      </c>
      <c r="P1207">
        <f>-628.00652501863 -364.438232239236 -256.472001591884</f>
        <v>-1248.9167588497501</v>
      </c>
      <c r="Q1207">
        <f>-494.956860170712 -193.788947490513 -362.431785675368</f>
        <v>-1051.177593336593</v>
      </c>
      <c r="R1207">
        <f>-708.569826435143 -0.975675388041054 -102.640157452395</f>
        <v>-812.18565927557904</v>
      </c>
      <c r="S1207" t="s">
        <v>12357</v>
      </c>
      <c r="T1207" t="s">
        <v>12358</v>
      </c>
      <c r="U1207" t="s">
        <v>12359</v>
      </c>
      <c r="V1207">
        <f>-638.469045907283 -178.748554469805 -93.779816799403</f>
        <v>-910.9974171764909</v>
      </c>
      <c r="W1207" t="s">
        <v>12360</v>
      </c>
      <c r="X1207" t="s">
        <v>12361</v>
      </c>
      <c r="Y1207" t="s">
        <v>12362</v>
      </c>
    </row>
    <row r="1208" spans="1:25" x14ac:dyDescent="0.3">
      <c r="A1208">
        <v>60350</v>
      </c>
      <c r="B1208" t="s">
        <v>12363</v>
      </c>
      <c r="C1208">
        <f>-673.70797271776 -89.6707035071458 -97.1451875197216</f>
        <v>-860.52386374462742</v>
      </c>
      <c r="D1208">
        <f>-693.084111200068 -103.097049191659 -210.549402625568</f>
        <v>-1006.730563017295</v>
      </c>
      <c r="E1208">
        <f>-703.396260137341 -108.635693466854 -308.476159545099</f>
        <v>-1120.5081131492939</v>
      </c>
      <c r="F1208">
        <f>-710.664200756141 -111.542185414551 -397.22851935593</f>
        <v>-1219.4349055266221</v>
      </c>
      <c r="G1208">
        <f>-715.488271361802 -112.293918228587 -486.191329896963</f>
        <v>-1313.973519487352</v>
      </c>
      <c r="H1208">
        <f>-719.616556429458 -111.139452639213 -610.700164737431</f>
        <v>-1441.456173806102</v>
      </c>
      <c r="I1208">
        <f>-694.752577436929 -99.5773062915707 -689.142055017429</f>
        <v>-1483.4719387459286</v>
      </c>
      <c r="J1208">
        <f>-724.87990729053 -84.8626486709079 -555.426866402884</f>
        <v>-1365.1694223643219</v>
      </c>
      <c r="K1208" t="s">
        <v>12364</v>
      </c>
      <c r="L1208" t="s">
        <v>12365</v>
      </c>
      <c r="M1208" t="s">
        <v>12366</v>
      </c>
      <c r="N1208">
        <f>-710.720034352681 -138.43253529268 -556.393090368552</f>
        <v>-1405.5456600139128</v>
      </c>
      <c r="O1208">
        <f>-676.966530765697 -269.236898416283 -530.950328022061</f>
        <v>-1477.1537572040411</v>
      </c>
      <c r="P1208">
        <f>-628.315438309404 -363.335682032425 -256.414814383643</f>
        <v>-1248.0659347254721</v>
      </c>
      <c r="Q1208">
        <f>-494.736965517564 -192.640058191596 -361.632041497852</f>
        <v>-1049.0090652070121</v>
      </c>
      <c r="R1208">
        <f>-708.924696558214 -0.835436081871421 -102.551579936268</f>
        <v>-812.31171257635344</v>
      </c>
      <c r="S1208" t="s">
        <v>12367</v>
      </c>
      <c r="T1208" t="s">
        <v>12368</v>
      </c>
      <c r="U1208" t="s">
        <v>12369</v>
      </c>
      <c r="V1208">
        <f>-638.612231060991 -178.662474198241 -93.7967083122318</f>
        <v>-911.07141357146372</v>
      </c>
      <c r="W1208" t="s">
        <v>12370</v>
      </c>
      <c r="X1208" t="s">
        <v>12371</v>
      </c>
      <c r="Y1208" t="s">
        <v>12372</v>
      </c>
    </row>
    <row r="1209" spans="1:25" x14ac:dyDescent="0.3">
      <c r="A1209">
        <v>60400</v>
      </c>
      <c r="B1209" t="s">
        <v>12373</v>
      </c>
      <c r="C1209">
        <f>-673.869904227371 -89.5916994502652 -97.1313168584378</f>
        <v>-860.59292053607396</v>
      </c>
      <c r="D1209">
        <f>-693.238792086685 -102.988591649829 -210.540291959517</f>
        <v>-1006.7676756960309</v>
      </c>
      <c r="E1209">
        <f>-703.516743829165 -108.485915526957 -308.472917970688</f>
        <v>-1120.47557732681</v>
      </c>
      <c r="F1209">
        <f>-710.742399148288 -111.349167818105 -397.230010171026</f>
        <v>-1219.3215771374189</v>
      </c>
      <c r="G1209">
        <f>-715.512488440866 -112.051681887998 -486.196275034611</f>
        <v>-1313.7604453634751</v>
      </c>
      <c r="H1209">
        <f>-719.553691377578 -110.82220016581 -610.707296064489</f>
        <v>-1441.0831876078771</v>
      </c>
      <c r="I1209">
        <f>-694.651759370671 -99.1687696827053 -689.123539667101</f>
        <v>-1482.9440687204774</v>
      </c>
      <c r="J1209">
        <f>-724.879932933871 -84.5849899046834 -555.421181291799</f>
        <v>-1364.8861041303535</v>
      </c>
      <c r="K1209" t="s">
        <v>12374</v>
      </c>
      <c r="L1209" t="s">
        <v>12375</v>
      </c>
      <c r="M1209" t="s">
        <v>12376</v>
      </c>
      <c r="N1209">
        <f>-710.670976715142 -138.141445204663 -556.411074302337</f>
        <v>-1405.2234962221421</v>
      </c>
      <c r="O1209">
        <f>-676.798946032232 -268.927826976063 -531.018710485552</f>
        <v>-1476.7454834938471</v>
      </c>
      <c r="P1209">
        <f>-628.441129222365 -362.839642494713 -256.367550329655</f>
        <v>-1247.648322046733</v>
      </c>
      <c r="Q1209">
        <f>-494.603537860336 -192.158301592661 -361.278255621056</f>
        <v>-1048.0400950740532</v>
      </c>
      <c r="R1209">
        <f>-709.167499535649 -0.736220516517506 -102.509230064886</f>
        <v>-812.41295011705245</v>
      </c>
      <c r="S1209" t="s">
        <v>12377</v>
      </c>
      <c r="T1209" t="s">
        <v>12378</v>
      </c>
      <c r="U1209" t="s">
        <v>12379</v>
      </c>
      <c r="V1209">
        <f>-638.706018236104 -178.625316593496 -93.8143759649812</f>
        <v>-911.14571079458119</v>
      </c>
      <c r="W1209" t="s">
        <v>12380</v>
      </c>
      <c r="X1209" t="s">
        <v>12381</v>
      </c>
      <c r="Y1209" t="s">
        <v>12382</v>
      </c>
    </row>
    <row r="1210" spans="1:25" x14ac:dyDescent="0.3">
      <c r="A1210">
        <v>60450</v>
      </c>
      <c r="B1210" t="s">
        <v>12383</v>
      </c>
      <c r="C1210">
        <f>-674.031270379795 -89.5203993601019 -97.1100081023516</f>
        <v>-860.66167784224854</v>
      </c>
      <c r="D1210">
        <f>-693.40943578267 -102.903471255441 -210.518935316598</f>
        <v>-1006.831842354709</v>
      </c>
      <c r="E1210">
        <f>-703.680692800629 -108.365340204398 -308.4543713273</f>
        <v>-1120.500404332327</v>
      </c>
      <c r="F1210">
        <f>-710.893761799786 -111.187213990624 -397.213890914748</f>
        <v>-1219.294866705158</v>
      </c>
      <c r="G1210">
        <f>-715.645232375246 -111.838859578725 -486.181437268567</f>
        <v>-1313.665529222538</v>
      </c>
      <c r="H1210">
        <f>-719.653416919386 -110.528257607052 -610.692537838267</f>
        <v>-1440.8742123647048</v>
      </c>
      <c r="I1210">
        <f>-694.721451701596 -98.7787472742225 -689.084929998432</f>
        <v>-1482.5851289742504</v>
      </c>
      <c r="J1210">
        <f>-725.019300950929 -84.3337370272091 -555.39006705776</f>
        <v>-1364.7431050358982</v>
      </c>
      <c r="K1210" t="s">
        <v>12384</v>
      </c>
      <c r="L1210" t="s">
        <v>12385</v>
      </c>
      <c r="M1210" t="s">
        <v>12386</v>
      </c>
      <c r="N1210">
        <f>-710.759913422749 -137.876291409374 -556.412729086266</f>
        <v>-1405.0489339183891</v>
      </c>
      <c r="O1210">
        <f>-676.761665178457 -268.636030562725 -531.053772058001</f>
        <v>-1476.4514677991829</v>
      </c>
      <c r="P1210">
        <f>-628.603451143974 -362.388754673412 -256.313138979169</f>
        <v>-1247.3053447965549</v>
      </c>
      <c r="Q1210">
        <f>-494.472022710161 -191.805082708783 -361.007402744319</f>
        <v>-1047.2845081632631</v>
      </c>
      <c r="R1210">
        <f>-709.40806333673 -0.657594930156847 -102.462179448493</f>
        <v>-812.52783771537986</v>
      </c>
      <c r="S1210" t="s">
        <v>12387</v>
      </c>
      <c r="T1210" t="s">
        <v>12388</v>
      </c>
      <c r="U1210" t="s">
        <v>12389</v>
      </c>
      <c r="V1210">
        <f>-638.829067997513 -178.547450689719 -93.8244396579619</f>
        <v>-911.20095834519384</v>
      </c>
      <c r="W1210" t="s">
        <v>12390</v>
      </c>
      <c r="X1210" t="s">
        <v>12391</v>
      </c>
      <c r="Y1210" t="s">
        <v>12392</v>
      </c>
    </row>
    <row r="1211" spans="1:25" x14ac:dyDescent="0.3">
      <c r="A1211">
        <v>60500</v>
      </c>
      <c r="B1211" t="s">
        <v>12393</v>
      </c>
      <c r="C1211">
        <f>-674.250715118377 -89.4723401821427 -97.0619107050387</f>
        <v>-860.78496600555843</v>
      </c>
      <c r="D1211">
        <f>-693.658370092489 -102.86993569691 -210.464138046535</f>
        <v>-1006.9924438359341</v>
      </c>
      <c r="E1211">
        <f>-703.960539247724 -108.289518797132 -308.39854875212</f>
        <v>-1120.6486067969761</v>
      </c>
      <c r="F1211">
        <f>-711.203107902291 -111.051346641357 -397.157648134293</f>
        <v>-1219.412102677941</v>
      </c>
      <c r="G1211">
        <f>-715.985092878093 -111.620487286053 -486.124065287328</f>
        <v>-1313.729645451474</v>
      </c>
      <c r="H1211">
        <f>-720.037375563786 -110.170613825739 -610.632259817779</f>
        <v>-1440.8402492073039</v>
      </c>
      <c r="I1211">
        <f>-695.042152064912 -98.2282384453786 -688.975367307406</f>
        <v>-1482.2457578176966</v>
      </c>
      <c r="J1211">
        <f>-725.430248874025 -84.0505298584926 -555.297216600206</f>
        <v>-1364.7779953327235</v>
      </c>
      <c r="K1211" t="s">
        <v>12394</v>
      </c>
      <c r="L1211" t="s">
        <v>12395</v>
      </c>
      <c r="M1211" t="s">
        <v>12396</v>
      </c>
      <c r="N1211">
        <f>-711.078205715165 -137.566848940656 -556.387535272719</f>
        <v>-1405.0325899285399</v>
      </c>
      <c r="O1211">
        <f>-676.836328184505 -268.276576905713 -531.099280537567</f>
        <v>-1476.2121856277849</v>
      </c>
      <c r="P1211">
        <f>-629.135072485777 -361.739329287314 -256.180293783772</f>
        <v>-1247.054695556863</v>
      </c>
      <c r="Q1211">
        <f>-494.54931973719 -191.167459635692 -360.308684511048</f>
        <v>-1046.0254638839301</v>
      </c>
      <c r="R1211">
        <f>-709.793903438239 -0.613764622701638 -102.395030073979</f>
        <v>-812.80269813491964</v>
      </c>
      <c r="S1211" t="s">
        <v>12397</v>
      </c>
      <c r="T1211" t="s">
        <v>12398</v>
      </c>
      <c r="U1211" t="s">
        <v>12399</v>
      </c>
      <c r="V1211">
        <f>-638.831115802619 -178.569023141552 -93.8088131888727</f>
        <v>-911.20895213304368</v>
      </c>
      <c r="W1211" t="s">
        <v>12400</v>
      </c>
      <c r="X1211" t="s">
        <v>12401</v>
      </c>
      <c r="Y1211" t="s">
        <v>12402</v>
      </c>
    </row>
    <row r="1212" spans="1:25" x14ac:dyDescent="0.3">
      <c r="A1212">
        <v>60550</v>
      </c>
      <c r="B1212" t="s">
        <v>12403</v>
      </c>
      <c r="C1212">
        <f>-674.338787711264 -89.5673051497163 -97.0392873824488</f>
        <v>-860.9453802434291</v>
      </c>
      <c r="D1212">
        <f>-693.769669886103 -102.985341535917 -210.435194673667</f>
        <v>-1007.190206095687</v>
      </c>
      <c r="E1212">
        <f>-704.101204530014 -108.397600496387 -308.366803176136</f>
        <v>-1120.865608202537</v>
      </c>
      <c r="F1212">
        <f>-711.373730408809 -111.143111324662 -397.124032301392</f>
        <v>-1219.6408740348629</v>
      </c>
      <c r="G1212">
        <f>-716.188832372907 -111.685809569189 -486.088960332807</f>
        <v>-1313.963602274903</v>
      </c>
      <c r="H1212">
        <f>-720.290231921866 -110.188350162291 -610.594889740006</f>
        <v>-1441.0734718241631</v>
      </c>
      <c r="I1212">
        <f>-695.263617133262 -98.1639362152839 -688.915438818192</f>
        <v>-1482.342992166738</v>
      </c>
      <c r="J1212">
        <f>-725.681069629083 -84.0946271208963 -555.247178188346</f>
        <v>-1365.0228749383255</v>
      </c>
      <c r="K1212" t="s">
        <v>12404</v>
      </c>
      <c r="L1212" t="s">
        <v>12405</v>
      </c>
      <c r="M1212" t="s">
        <v>12406</v>
      </c>
      <c r="N1212">
        <f>-711.289868962699 -137.599810038204 -556.364795022998</f>
        <v>-1405.2544740239009</v>
      </c>
      <c r="O1212">
        <f>-676.925223044151 -268.283247614437 -531.112994665132</f>
        <v>-1476.3214653237201</v>
      </c>
      <c r="P1212">
        <f>-629.576829484449 -361.616670123317 -256.088923051089</f>
        <v>-1247.282422658855</v>
      </c>
      <c r="Q1212">
        <f>-494.723774693475 -190.975473199711 -359.757215857294</f>
        <v>-1045.45646375048</v>
      </c>
      <c r="R1212">
        <f>-709.940548408572 -0.674451456914539 -102.366492917547</f>
        <v>-812.98149278303356</v>
      </c>
      <c r="S1212" t="s">
        <v>12407</v>
      </c>
      <c r="T1212" t="s">
        <v>12408</v>
      </c>
      <c r="U1212" t="s">
        <v>12409</v>
      </c>
      <c r="V1212">
        <f>-638.882434663444 -178.681317824163 -93.7910830544721</f>
        <v>-911.35483554207906</v>
      </c>
      <c r="W1212" t="s">
        <v>12410</v>
      </c>
      <c r="X1212" t="s">
        <v>12411</v>
      </c>
      <c r="Y1212" t="s">
        <v>12412</v>
      </c>
    </row>
    <row r="1213" spans="1:25" x14ac:dyDescent="0.3">
      <c r="A1213">
        <v>60600</v>
      </c>
      <c r="B1213" t="s">
        <v>12413</v>
      </c>
      <c r="C1213">
        <f>-674.397802373227 -89.5715001295773 -97.0062721124858</f>
        <v>-860.97557461529016</v>
      </c>
      <c r="D1213">
        <f>-693.909520603445 -103.037570810581 -210.382604070603</f>
        <v>-1007.3296954846289</v>
      </c>
      <c r="E1213">
        <f>-704.324762817812 -108.437756438589 -308.306084207544</f>
        <v>-1121.068603463945</v>
      </c>
      <c r="F1213">
        <f>-711.67745307417 -111.151241189059 -397.057506401983</f>
        <v>-1219.8862006652121</v>
      </c>
      <c r="G1213">
        <f>-716.577400533955 -111.639764109365 -486.018226456277</f>
        <v>-1314.2353910995971</v>
      </c>
      <c r="H1213">
        <f>-720.801419312911 -110.0433116242 -610.518866810577</f>
        <v>-1441.3635977476879</v>
      </c>
      <c r="I1213">
        <f>-695.707530730397 -97.8846843043157 -688.797148032209</f>
        <v>-1482.3893630669218</v>
      </c>
      <c r="J1213">
        <f>-726.173259334451 -84.0033908656028 -555.143992341225</f>
        <v>-1365.3206425412789</v>
      </c>
      <c r="K1213" t="s">
        <v>12414</v>
      </c>
      <c r="L1213" t="s">
        <v>12415</v>
      </c>
      <c r="M1213" t="s">
        <v>12416</v>
      </c>
      <c r="N1213">
        <f>-711.712063943272 -137.488285816326 -556.32050920994</f>
        <v>-1405.520858969538</v>
      </c>
      <c r="O1213">
        <f>-677.116131048161 -268.126641263192 -531.144968603022</f>
        <v>-1476.3877409143752</v>
      </c>
      <c r="P1213">
        <f>-630.669152555613 -361.372172953087 -255.937474478899</f>
        <v>-1247.9787999875989</v>
      </c>
      <c r="Q1213">
        <f>-495.587491127334 -189.913719263805 -357.946506784995</f>
        <v>-1043.4477171761341</v>
      </c>
      <c r="R1213">
        <f>-710.150613425943 -0.761644852135078 -102.306685504325</f>
        <v>-813.21894378240313</v>
      </c>
      <c r="S1213" t="s">
        <v>12417</v>
      </c>
      <c r="T1213" t="s">
        <v>12418</v>
      </c>
      <c r="U1213" t="s">
        <v>12419</v>
      </c>
      <c r="V1213">
        <f>-638.773804142313 -178.580106149613 -93.770958544206</f>
        <v>-911.12486883613201</v>
      </c>
      <c r="W1213" t="s">
        <v>12420</v>
      </c>
      <c r="X1213" t="s">
        <v>12421</v>
      </c>
      <c r="Y1213" t="s">
        <v>12422</v>
      </c>
    </row>
    <row r="1214" spans="1:25" x14ac:dyDescent="0.3">
      <c r="A1214">
        <v>60650</v>
      </c>
      <c r="B1214" t="s">
        <v>12423</v>
      </c>
      <c r="C1214">
        <f>-674.457678911141 -89.642630457558 -96.9912027629027</f>
        <v>-861.09151213160169</v>
      </c>
      <c r="D1214">
        <f>-694.021876430038 -103.129982043333 -210.355895682629</f>
        <v>-1007.507754156</v>
      </c>
      <c r="E1214">
        <f>-704.474661436487 -108.523840658674 -308.275774814489</f>
        <v>-1121.2742769096501</v>
      </c>
      <c r="F1214">
        <f>-711.858106150403 -111.221660056739 -397.025160804997</f>
        <v>-1220.1049270121389</v>
      </c>
      <c r="G1214">
        <f>-716.785590583618 -111.684422074056 -485.984325718059</f>
        <v>-1314.454338375733</v>
      </c>
      <c r="H1214">
        <f>-721.044839594567 -110.041300788422 -610.483163792875</f>
        <v>-1441.5693041758641</v>
      </c>
      <c r="I1214">
        <f>-695.905921129566 -97.8238250779416 -688.737941777831</f>
        <v>-1482.4676879853387</v>
      </c>
      <c r="J1214">
        <f>-726.415859024314 -84.0260540378008 -555.096719345749</f>
        <v>-1365.5386324078638</v>
      </c>
      <c r="K1214" t="s">
        <v>12424</v>
      </c>
      <c r="L1214" t="s">
        <v>12425</v>
      </c>
      <c r="M1214" t="s">
        <v>12426</v>
      </c>
      <c r="N1214">
        <f>-711.925288333251 -137.502572130203 -556.298292483867</f>
        <v>-1405.7261529473212</v>
      </c>
      <c r="O1214">
        <f>-677.2252328772 -268.122790275486 -531.144671398158</f>
        <v>-1476.4926945508441</v>
      </c>
      <c r="P1214">
        <f>-631.312538245938 -361.752714758425 -255.978156549696</f>
        <v>-1249.0434095540591</v>
      </c>
      <c r="Q1214">
        <f>-496.847255361784 -188.97140797066 -356.559506040072</f>
        <v>-1042.3781693725159</v>
      </c>
      <c r="R1214">
        <f>-710.226996037939 -0.836857509509628 -102.273040193133</f>
        <v>-813.33689374058167</v>
      </c>
      <c r="S1214" t="s">
        <v>12427</v>
      </c>
      <c r="T1214" t="s">
        <v>12428</v>
      </c>
      <c r="U1214" t="s">
        <v>12429</v>
      </c>
      <c r="V1214">
        <f>-638.834522872649 -178.676116860613 -93.7532974827376</f>
        <v>-911.26393721599959</v>
      </c>
      <c r="W1214" t="s">
        <v>12430</v>
      </c>
      <c r="X1214" t="s">
        <v>12431</v>
      </c>
      <c r="Y1214" t="s">
        <v>12432</v>
      </c>
    </row>
    <row r="1215" spans="1:25" x14ac:dyDescent="0.3">
      <c r="A1215">
        <v>60700</v>
      </c>
      <c r="B1215" t="s">
        <v>12433</v>
      </c>
      <c r="C1215">
        <f>-674.699390994399 -89.7213321604588 -96.9609199322542</f>
        <v>-861.38164308711202</v>
      </c>
      <c r="D1215">
        <f>-694.349752689278 -103.214806220812 -210.309867939544</f>
        <v>-1007.874426849634</v>
      </c>
      <c r="E1215">
        <f>-704.884281979062 -108.575592782819 -308.222933020062</f>
        <v>-1121.6828077819432</v>
      </c>
      <c r="F1215">
        <f>-712.344967030012 -111.226848865803 -396.967213501337</f>
        <v>-1220.539029397152</v>
      </c>
      <c r="G1215">
        <f>-717.35279244957 -111.626073493844 -485.922312022352</f>
        <v>-1314.901177965766</v>
      </c>
      <c r="H1215">
        <f>-721.728019464053 -109.875416686903 -610.415690739278</f>
        <v>-1442.019126890234</v>
      </c>
      <c r="I1215">
        <f>-696.513296697465 -97.5357124815146 -688.626740193544</f>
        <v>-1482.6757493725236</v>
      </c>
      <c r="J1215">
        <f>-727.061634821143 -83.9118724782256 -555.001311624659</f>
        <v>-1365.9748189240277</v>
      </c>
      <c r="K1215" t="s">
        <v>12434</v>
      </c>
      <c r="L1215" t="s">
        <v>12435</v>
      </c>
      <c r="M1215" t="s">
        <v>12436</v>
      </c>
      <c r="N1215">
        <f>-712.543664595969 -137.379698285261 -556.26331223039</f>
        <v>-1406.1866751116199</v>
      </c>
      <c r="O1215">
        <f>-677.697824189776 -267.961623072361 -531.147731521324</f>
        <v>-1476.807178783461</v>
      </c>
      <c r="P1215">
        <f>-633.190893713747 -362.240386623621 -255.971848621644</f>
        <v>-1251.4031289590121</v>
      </c>
      <c r="Q1215">
        <f>-500.583882988903 -186.273853379291 -353.450037785042</f>
        <v>-1040.3077741532361</v>
      </c>
      <c r="R1215">
        <f>-710.452166764239 -0.873199514781163 -102.213396528409</f>
        <v>-813.53876280742918</v>
      </c>
      <c r="S1215" t="s">
        <v>12437</v>
      </c>
      <c r="T1215" t="s">
        <v>12438</v>
      </c>
      <c r="U1215" t="s">
        <v>12439</v>
      </c>
      <c r="V1215">
        <f>-639.111067972201 -178.722521248484 -93.7246019379822</f>
        <v>-911.55819115866723</v>
      </c>
      <c r="W1215" t="s">
        <v>12440</v>
      </c>
      <c r="X1215" t="s">
        <v>12441</v>
      </c>
      <c r="Y1215" t="s">
        <v>12442</v>
      </c>
    </row>
    <row r="1216" spans="1:25" x14ac:dyDescent="0.3">
      <c r="A1216">
        <v>60750</v>
      </c>
      <c r="B1216" t="s">
        <v>12443</v>
      </c>
      <c r="C1216">
        <f>-674.855376965242 -89.8292048505193 -96.9328593657845</f>
        <v>-861.61744118154581</v>
      </c>
      <c r="D1216">
        <f>-694.54596467822 -103.299377523371 -210.277732813836</f>
        <v>-1008.123075015427</v>
      </c>
      <c r="E1216">
        <f>-705.125881844717 -108.636841947599 -308.186971107594</f>
        <v>-1121.9496948999099</v>
      </c>
      <c r="F1216">
        <f>-712.632526869657 -111.265351595868 -396.928123844383</f>
        <v>-1220.8260023099078</v>
      </c>
      <c r="G1216">
        <f>-717.691131043821 -111.639634439118 -485.880346377585</f>
        <v>-1315.2111118605239</v>
      </c>
      <c r="H1216">
        <f>-722.142053070213 -109.851953631517 -610.370639967918</f>
        <v>-1442.3646466696482</v>
      </c>
      <c r="I1216">
        <f>-696.889689804799 -97.4645455344212 -688.561932260874</f>
        <v>-1482.916167600094</v>
      </c>
      <c r="J1216">
        <f>-727.437582997442 -83.90371384638 -554.945366465482</f>
        <v>-1366.286663309304</v>
      </c>
      <c r="K1216" t="s">
        <v>12444</v>
      </c>
      <c r="L1216" t="s">
        <v>12445</v>
      </c>
      <c r="M1216" t="s">
        <v>12446</v>
      </c>
      <c r="N1216">
        <f>-712.929186416245 -137.373349662535 -556.231913314463</f>
        <v>-1406.534449393243</v>
      </c>
      <c r="O1216">
        <f>-678.07496558556 -267.947456694857 -531.109485417316</f>
        <v>-1477.1319076977329</v>
      </c>
      <c r="P1216">
        <f>-634.476396239077 -361.636684181599 -255.586975780368</f>
        <v>-1251.7000562010439</v>
      </c>
      <c r="Q1216">
        <f>-502.729714143675 -184.423170064824 -351.966647139443</f>
        <v>-1039.119531347942</v>
      </c>
      <c r="R1216">
        <f>-710.614924230419 -0.880346789174382 -102.171491456359</f>
        <v>-813.6667624759524</v>
      </c>
      <c r="S1216" t="s">
        <v>12447</v>
      </c>
      <c r="T1216" t="s">
        <v>12448</v>
      </c>
      <c r="U1216" t="s">
        <v>12449</v>
      </c>
      <c r="V1216">
        <f>-639.248672058663 -179.006922754084 -93.702159990292</f>
        <v>-911.95775480303905</v>
      </c>
      <c r="W1216" t="s">
        <v>12450</v>
      </c>
      <c r="X1216" t="s">
        <v>12451</v>
      </c>
      <c r="Y1216" t="s">
        <v>12452</v>
      </c>
    </row>
    <row r="1217" spans="1:25" x14ac:dyDescent="0.3">
      <c r="A1217">
        <v>60800</v>
      </c>
      <c r="B1217" t="s">
        <v>12453</v>
      </c>
      <c r="C1217">
        <f>-674.984603193492 -90.0662618991116 -96.8417950492448</f>
        <v>-861.89266014184841</v>
      </c>
      <c r="D1217">
        <f>-694.763313935561 -103.507366212016 -210.174768752572</f>
        <v>-1008.4454489001489</v>
      </c>
      <c r="E1217">
        <f>-705.431113861611 -108.842857960875 -308.074630941901</f>
        <v>-1122.3486027643871</v>
      </c>
      <c r="F1217">
        <f>-713.02206452101 -111.478278270149 -396.808392785742</f>
        <v>-1221.308735576901</v>
      </c>
      <c r="G1217">
        <f>-718.170037410674 -111.868722752631 -485.755509658094</f>
        <v>-1315.794269821399</v>
      </c>
      <c r="H1217">
        <f>-722.751637515342 -110.11332450736 -610.241426393048</f>
        <v>-1443.10638841575</v>
      </c>
      <c r="I1217">
        <f>-697.412940049202 -97.7110408884337 -688.402498742644</f>
        <v>-1483.5264796802796</v>
      </c>
      <c r="J1217">
        <f>-727.968227059099 -84.1450824221056 -554.817933389718</f>
        <v>-1366.9312428709227</v>
      </c>
      <c r="K1217" t="s">
        <v>12454</v>
      </c>
      <c r="L1217" t="s">
        <v>12455</v>
      </c>
      <c r="M1217" t="s">
        <v>12456</v>
      </c>
      <c r="N1217">
        <f>-713.502884463831 -137.626471795043 -556.104521612806</f>
        <v>-1407.2338778716801</v>
      </c>
      <c r="O1217">
        <f>-678.681419757056 -268.172189770048 -530.786518864171</f>
        <v>-1477.6401283912751</v>
      </c>
      <c r="P1217">
        <f>-637.153225695345 -358.764831566324 -253.911781893666</f>
        <v>-1249.8298391553349</v>
      </c>
      <c r="Q1217">
        <f>-505.07739381319 -181.381873216026 -349.526475645554</f>
        <v>-1035.9857426747699</v>
      </c>
      <c r="R1217">
        <f>-710.783719897175 -0.960491776594836 -102.053612667617</f>
        <v>-813.7978243413869</v>
      </c>
      <c r="S1217" t="s">
        <v>12457</v>
      </c>
      <c r="T1217" t="s">
        <v>12458</v>
      </c>
      <c r="U1217" t="s">
        <v>12459</v>
      </c>
      <c r="V1217">
        <f>-639.280696592459 -179.423566704155 -93.6711986088942</f>
        <v>-912.37546190550825</v>
      </c>
      <c r="W1217" t="s">
        <v>12460</v>
      </c>
      <c r="X1217" t="s">
        <v>12461</v>
      </c>
      <c r="Y1217" t="s">
        <v>12462</v>
      </c>
    </row>
    <row r="1218" spans="1:25" x14ac:dyDescent="0.3">
      <c r="A1218">
        <v>60850</v>
      </c>
      <c r="B1218" t="s">
        <v>12463</v>
      </c>
      <c r="C1218">
        <f>-675.003012082986 -90.2424361688652 -96.7868789003203</f>
        <v>-862.03232715217143</v>
      </c>
      <c r="D1218">
        <f>-694.826120208155 -103.656738080355 -210.115290119993</f>
        <v>-1008.598148408503</v>
      </c>
      <c r="E1218">
        <f>-705.524437099962 -109.000225633117 -308.011324971317</f>
        <v>-1122.5359877043961</v>
      </c>
      <c r="F1218">
        <f>-713.140381201357 -111.655396799817 -396.742387327563</f>
        <v>-1221.538165328737</v>
      </c>
      <c r="G1218">
        <f>-718.311122708075 -112.078368744553 -485.688036722011</f>
        <v>-1316.0775281746392</v>
      </c>
      <c r="H1218">
        <f>-722.922010341358 -110.381877758507 -610.173691282776</f>
        <v>-1443.4775793826411</v>
      </c>
      <c r="I1218">
        <f>-697.533950796554 -98.0074241715215 -688.323102232772</f>
        <v>-1483.8644772008474</v>
      </c>
      <c r="J1218">
        <f>-728.110986171343 -84.3833507233542 -554.7617991674</f>
        <v>-1367.2561360620971</v>
      </c>
      <c r="K1218" t="s">
        <v>12464</v>
      </c>
      <c r="L1218" t="s">
        <v>12465</v>
      </c>
      <c r="M1218" t="s">
        <v>12466</v>
      </c>
      <c r="N1218">
        <f>-713.674986397581 -137.873304263283 -556.025526944204</f>
        <v>-1407.5738176050681</v>
      </c>
      <c r="O1218">
        <f>-678.891587024518 -268.411031930231 -530.589095246891</f>
        <v>-1477.8917142016401</v>
      </c>
      <c r="P1218">
        <f>-638.366098407527 -357.098974201601 -252.950213183321</f>
        <v>-1248.4152857924491</v>
      </c>
      <c r="Q1218">
        <f>-505.594196016828 -180.240702444676 -348.572632991217</f>
        <v>-1034.4075314527211</v>
      </c>
      <c r="R1218">
        <f>-710.783787892763 -1.04451489982398 -101.986192181803</f>
        <v>-813.81449497439007</v>
      </c>
      <c r="S1218" t="s">
        <v>12467</v>
      </c>
      <c r="T1218" t="s">
        <v>12468</v>
      </c>
      <c r="U1218" t="s">
        <v>12469</v>
      </c>
      <c r="V1218">
        <f>-639.369458375287 -179.643822194967 -93.6415827890729</f>
        <v>-912.6548633593269</v>
      </c>
      <c r="W1218" t="s">
        <v>12470</v>
      </c>
      <c r="X1218" t="s">
        <v>12471</v>
      </c>
      <c r="Y1218" t="s">
        <v>12472</v>
      </c>
    </row>
    <row r="1219" spans="1:25" x14ac:dyDescent="0.3">
      <c r="A1219">
        <v>60900</v>
      </c>
      <c r="B1219" t="s">
        <v>12473</v>
      </c>
      <c r="C1219">
        <f>-675.006809854347 -90.4121800531143 -96.6952428453538</f>
        <v>-862.11423275281516</v>
      </c>
      <c r="D1219">
        <f>-694.887982636533 -103.780751905063 -210.018953897675</f>
        <v>-1008.687688439271</v>
      </c>
      <c r="E1219">
        <f>-705.62441315335 -109.128634014564 -307.910617335798</f>
        <v>-1122.663664503712</v>
      </c>
      <c r="F1219">
        <f>-713.271480922163 -111.804886743702 -396.638366970251</f>
        <v>-1221.7147346361162</v>
      </c>
      <c r="G1219">
        <f>-718.470124503044 -112.2663627176 -485.58210142873</f>
        <v>-1316.3185886493741</v>
      </c>
      <c r="H1219">
        <f>-723.117290964371 -110.642065830512 -610.067413885526</f>
        <v>-1443.826770680409</v>
      </c>
      <c r="I1219">
        <f>-697.629273158307 -98.3544514533125 -688.198037797059</f>
        <v>-1484.1817624086784</v>
      </c>
      <c r="J1219">
        <f>-728.272050069987 -84.6066256710958 -554.669714452892</f>
        <v>-1367.5483901939747</v>
      </c>
      <c r="K1219" t="s">
        <v>12474</v>
      </c>
      <c r="L1219" t="s">
        <v>12475</v>
      </c>
      <c r="M1219" t="s">
        <v>12476</v>
      </c>
      <c r="N1219">
        <f>-713.872798478614 -138.107199861678 -555.905385572077</f>
        <v>-1407.885383912369</v>
      </c>
      <c r="O1219">
        <f>-679.101377001883 -268.611592069189 -530.250033949186</f>
        <v>-1477.9630030202579</v>
      </c>
      <c r="P1219">
        <f>-640.113952823974 -354.187259588082 -251.416827795204</f>
        <v>-1245.7180402072599</v>
      </c>
      <c r="Q1219">
        <f>-506.799813110345 -177.689996805864 -346.951636766793</f>
        <v>-1031.4414466830019</v>
      </c>
      <c r="R1219">
        <f>-710.713386036691 -1.09364785627008 -101.857390909633</f>
        <v>-813.664424802594</v>
      </c>
      <c r="S1219" t="s">
        <v>12477</v>
      </c>
      <c r="T1219" t="s">
        <v>12478</v>
      </c>
      <c r="U1219" t="s">
        <v>12479</v>
      </c>
      <c r="V1219">
        <f>-639.456023549963 -179.898488197864 -93.5881114486158</f>
        <v>-912.94262319644281</v>
      </c>
      <c r="W1219" t="s">
        <v>12480</v>
      </c>
      <c r="X1219" t="s">
        <v>12481</v>
      </c>
      <c r="Y1219" t="s">
        <v>12482</v>
      </c>
    </row>
    <row r="1220" spans="1:25" x14ac:dyDescent="0.3">
      <c r="A1220">
        <v>60950</v>
      </c>
      <c r="B1220" t="s">
        <v>12483</v>
      </c>
      <c r="C1220">
        <f>-674.948343159994 -90.3266379643203 -96.6739604067067</f>
        <v>-861.94894153102098</v>
      </c>
      <c r="D1220">
        <f>-694.843948050176 -103.690510185621 -209.995571357519</f>
        <v>-1008.5300295933159</v>
      </c>
      <c r="E1220">
        <f>-705.581766949092 -109.030163562582 -307.887631525966</f>
        <v>-1122.4995620376401</v>
      </c>
      <c r="F1220">
        <f>-713.226188157485 -111.697121404429 -396.61582272767</f>
        <v>-1221.5391322895839</v>
      </c>
      <c r="G1220">
        <f>-718.418161838656 -112.147131322891 -485.560070160697</f>
        <v>-1316.1253633222441</v>
      </c>
      <c r="H1220">
        <f>-723.052256276052 -110.504024775014 -610.045565484794</f>
        <v>-1443.6018465358602</v>
      </c>
      <c r="I1220">
        <f>-697.509647288984 -98.2417621810241 -688.162449772028</f>
        <v>-1483.9138592420361</v>
      </c>
      <c r="J1220">
        <f>-728.216689615807 -84.4779472067701 -554.644367101107</f>
        <v>-1367.3390039236842</v>
      </c>
      <c r="K1220" t="s">
        <v>12484</v>
      </c>
      <c r="L1220" t="s">
        <v>12485</v>
      </c>
      <c r="M1220" t="s">
        <v>12486</v>
      </c>
      <c r="N1220">
        <f>-713.809177382426 -137.975982695004 -555.886864444356</f>
        <v>-1407.6720245217859</v>
      </c>
      <c r="O1220">
        <f>-679.018959006335 -268.455606416579 -530.164719379599</f>
        <v>-1477.639284802513</v>
      </c>
      <c r="P1220">
        <f>-640.928956760183 -352.240069676806 -250.664310720584</f>
        <v>-1243.8333371575732</v>
      </c>
      <c r="Q1220">
        <f>-506.711144357319 -176.457954908539 -346.252580248676</f>
        <v>-1029.4216795145339</v>
      </c>
      <c r="R1220">
        <f>-710.629839287985 -1.00226363028332 -101.82674205122</f>
        <v>-813.45884496948827</v>
      </c>
      <c r="S1220" t="s">
        <v>12487</v>
      </c>
      <c r="T1220" t="s">
        <v>12488</v>
      </c>
      <c r="U1220" t="s">
        <v>12489</v>
      </c>
      <c r="V1220">
        <f>-639.404069969077 -179.78991122616 -93.5784655151581</f>
        <v>-912.77244671039512</v>
      </c>
      <c r="W1220" t="s">
        <v>12490</v>
      </c>
      <c r="X1220" t="s">
        <v>12491</v>
      </c>
      <c r="Y1220" t="s">
        <v>12492</v>
      </c>
    </row>
    <row r="1221" spans="1:25" x14ac:dyDescent="0.3">
      <c r="A1221">
        <v>61000</v>
      </c>
      <c r="B1221" t="s">
        <v>12493</v>
      </c>
      <c r="C1221">
        <f>-674.71270892347 -89.9040891583145 -96.6794971065088</f>
        <v>-861.29629518829336</v>
      </c>
      <c r="D1221">
        <f>-694.600390669979 -103.241637170913 -210.005631887817</f>
        <v>-1007.847659728709</v>
      </c>
      <c r="E1221">
        <f>-705.313490412397 -108.573797197966 -307.900815813791</f>
        <v>-1121.7881034241539</v>
      </c>
      <c r="F1221">
        <f>-712.929204438605 -111.238922813111 -396.631521018223</f>
        <v>-1220.7996482699391</v>
      </c>
      <c r="G1221">
        <f>-718.087511240745 -111.691633644361 -485.577734188351</f>
        <v>-1315.3568790734571</v>
      </c>
      <c r="H1221">
        <f>-722.66949748001 -110.057008592607 -610.065209793533</f>
        <v>-1442.7917158661498</v>
      </c>
      <c r="I1221">
        <f>-697.001678129482 -97.8280500451997 -688.146313882877</f>
        <v>-1482.9760420575587</v>
      </c>
      <c r="J1221">
        <f>-727.881092872462 -84.0337679638035 -554.667181441194</f>
        <v>-1366.5820422774595</v>
      </c>
      <c r="K1221" t="s">
        <v>12494</v>
      </c>
      <c r="L1221" t="s">
        <v>12495</v>
      </c>
      <c r="M1221" t="s">
        <v>12496</v>
      </c>
      <c r="N1221">
        <f>-713.425356493563 -137.518870397747 -555.901538543859</f>
        <v>-1406.8457654351691</v>
      </c>
      <c r="O1221">
        <f>-678.550655756917 -267.943421055578 -530.021677740503</f>
        <v>-1476.515754552998</v>
      </c>
      <c r="P1221">
        <f>-642.181110595418 -349.153332051674 -249.533846434839</f>
        <v>-1240.8682890819309</v>
      </c>
      <c r="Q1221">
        <f>-507.134151111345 -173.744023554101 -344.637867932289</f>
        <v>-1025.5160425977349</v>
      </c>
      <c r="R1221">
        <f>-710.395626646809 -0.683864005623491 -101.800424178056</f>
        <v>-812.87991483048847</v>
      </c>
      <c r="S1221" t="s">
        <v>12497</v>
      </c>
      <c r="T1221" t="s">
        <v>12498</v>
      </c>
      <c r="U1221" t="s">
        <v>12499</v>
      </c>
      <c r="V1221">
        <f>-639.161569607007 -179.326450349859 -93.6061338665037</f>
        <v>-912.09415382336965</v>
      </c>
      <c r="W1221" t="s">
        <v>12500</v>
      </c>
      <c r="X1221" t="s">
        <v>12501</v>
      </c>
      <c r="Y1221" t="s">
        <v>12502</v>
      </c>
    </row>
    <row r="1222" spans="1:25" x14ac:dyDescent="0.3">
      <c r="A1222">
        <v>61050</v>
      </c>
      <c r="B1222" t="s">
        <v>12503</v>
      </c>
      <c r="C1222">
        <f>-674.550293603732 -89.7630081000696 -96.6774979149645</f>
        <v>-860.99079961876612</v>
      </c>
      <c r="D1222">
        <f>-694.435207290743 -103.097177720124 -210.004544980106</f>
        <v>-1007.536929990973</v>
      </c>
      <c r="E1222">
        <f>-705.140706013646 -108.441518017628 -307.899819338428</f>
        <v>-1121.4820433697021</v>
      </c>
      <c r="F1222">
        <f>-712.748210801548 -111.12367567352 -396.63076214778</f>
        <v>-1220.502648622848</v>
      </c>
      <c r="G1222">
        <f>-717.897154213434 -111.598938901979 -485.577362849995</f>
        <v>-1315.0734559654079</v>
      </c>
      <c r="H1222">
        <f>-722.465589371428 -110.001051274557 -610.06588129587</f>
        <v>-1442.5325219418551</v>
      </c>
      <c r="I1222">
        <f>-696.721169268219 -97.79365893199 -688.125065838481</f>
        <v>-1482.6398940386898</v>
      </c>
      <c r="J1222">
        <f>-727.705595606034 -83.9674355045186 -554.675421797161</f>
        <v>-1366.3484529077136</v>
      </c>
      <c r="K1222" t="s">
        <v>12504</v>
      </c>
      <c r="L1222" t="s">
        <v>12505</v>
      </c>
      <c r="M1222" t="s">
        <v>12506</v>
      </c>
      <c r="N1222">
        <f>-713.204952600792 -137.440896925796 -555.893915963455</f>
        <v>-1406.539765490043</v>
      </c>
      <c r="O1222">
        <f>-678.214311307507 -267.824058778886 -529.956315686976</f>
        <v>-1475.9946857733692</v>
      </c>
      <c r="P1222">
        <f>-642.676319729215 -347.699747341091 -248.979242536997</f>
        <v>-1239.3553096073031</v>
      </c>
      <c r="Q1222">
        <f>-506.976979196496 -172.543722036819 -343.620315595348</f>
        <v>-1023.1410168286629</v>
      </c>
      <c r="R1222">
        <f>-710.276655794428 -0.531142464864843 -101.792792577245</f>
        <v>-812.60059083653789</v>
      </c>
      <c r="S1222" t="s">
        <v>12507</v>
      </c>
      <c r="T1222" t="s">
        <v>12508</v>
      </c>
      <c r="U1222" t="s">
        <v>12509</v>
      </c>
      <c r="V1222">
        <f>-638.973032228408 -179.180578697447 -93.6198872230924</f>
        <v>-911.7734981489474</v>
      </c>
      <c r="W1222" t="s">
        <v>12510</v>
      </c>
      <c r="X1222" t="s">
        <v>12511</v>
      </c>
      <c r="Y1222" t="s">
        <v>12512</v>
      </c>
    </row>
    <row r="1223" spans="1:25" x14ac:dyDescent="0.3">
      <c r="A1223">
        <v>61100</v>
      </c>
      <c r="B1223" t="s">
        <v>12513</v>
      </c>
      <c r="C1223">
        <f>-674.212652807515 -89.6342648823761 -96.6846803239943</f>
        <v>-860.5315980138854</v>
      </c>
      <c r="D1223">
        <f>-694.062765081221 -102.977105256852 -210.016824833382</f>
        <v>-1007.056695171455</v>
      </c>
      <c r="E1223">
        <f>-704.72011155061 -108.342843662533 -307.916191723611</f>
        <v>-1120.979146936754</v>
      </c>
      <c r="F1223">
        <f>-712.277623792877 -111.050248394515 -396.650586501645</f>
        <v>-1219.9784586890369</v>
      </c>
      <c r="G1223">
        <f>-717.37081832365 -111.55586660042 -485.600226893397</f>
        <v>-1314.526911817467</v>
      </c>
      <c r="H1223">
        <f>-721.85603003516 -110.005346385291 -610.092329747171</f>
        <v>-1441.9537061676219</v>
      </c>
      <c r="I1223">
        <f>-695.909774087597 -97.8181716312206 -688.087819212291</f>
        <v>-1481.8157649311088</v>
      </c>
      <c r="J1223">
        <f>-727.195296671899 -83.9675965156991 -554.713164505463</f>
        <v>-1365.8760576930613</v>
      </c>
      <c r="K1223" t="s">
        <v>12514</v>
      </c>
      <c r="L1223" t="s">
        <v>12515</v>
      </c>
      <c r="M1223" t="s">
        <v>12516</v>
      </c>
      <c r="N1223">
        <f>-712.569506404211 -137.407621300898 -555.905813875104</f>
        <v>-1405.8829415802129</v>
      </c>
      <c r="O1223">
        <f>-677.317726576501 -267.688992566946 -529.804982120898</f>
        <v>-1474.8117012643449</v>
      </c>
      <c r="P1223">
        <f>-643.155913105729 -345.371451150874 -248.043217924126</f>
        <v>-1236.5705821807292</v>
      </c>
      <c r="Q1223">
        <f>-506.363290859912 -170.772866081813 -342.139153865947</f>
        <v>-1019.275310807672</v>
      </c>
      <c r="R1223">
        <f>-710.044760539152 -0.424716034216999 -101.788526484486</f>
        <v>-812.25800305785492</v>
      </c>
      <c r="S1223" t="s">
        <v>12517</v>
      </c>
      <c r="T1223" t="s">
        <v>12518</v>
      </c>
      <c r="U1223" t="s">
        <v>12519</v>
      </c>
      <c r="V1223">
        <f>-638.522522405962 -179.094152578212 -93.6332183027158</f>
        <v>-911.24989328688991</v>
      </c>
      <c r="W1223" t="s">
        <v>12520</v>
      </c>
      <c r="X1223" t="s">
        <v>12521</v>
      </c>
      <c r="Y1223" t="s">
        <v>12522</v>
      </c>
    </row>
    <row r="1224" spans="1:25" x14ac:dyDescent="0.3">
      <c r="A1224">
        <v>61150</v>
      </c>
      <c r="B1224" t="s">
        <v>12523</v>
      </c>
      <c r="C1224">
        <f>-674.045575306041 -89.5286406156288 -96.7006110888586</f>
        <v>-860.27482701052838</v>
      </c>
      <c r="D1224">
        <f>-693.837986895443 -102.898332298315 -210.039553365112</f>
        <v>-1006.7758725588701</v>
      </c>
      <c r="E1224">
        <f>-704.43493602136 -108.270558034525 -307.945148658786</f>
        <v>-1120.650642714671</v>
      </c>
      <c r="F1224">
        <f>-711.932818429101 -110.977837824405 -396.684684630175</f>
        <v>-1219.595340883681</v>
      </c>
      <c r="G1224">
        <f>-716.961525502515 -111.477030122091 -485.63807923693</f>
        <v>-1314.0766348615361</v>
      </c>
      <c r="H1224">
        <f>-721.35108104355 -109.910682395377 -610.133422214325</f>
        <v>-1441.3951856532522</v>
      </c>
      <c r="I1224">
        <f>-695.27341127162 -97.7179066314839 -688.084034786784</f>
        <v>-1481.0753526898879</v>
      </c>
      <c r="J1224">
        <f>-726.764108764693 -83.8885880214002 -554.753985377743</f>
        <v>-1365.4066821638362</v>
      </c>
      <c r="K1224" t="s">
        <v>12524</v>
      </c>
      <c r="L1224" t="s">
        <v>12525</v>
      </c>
      <c r="M1224" t="s">
        <v>12526</v>
      </c>
      <c r="N1224">
        <f>-712.074716681055 -137.31112334978 -555.94415250009</f>
        <v>-1405.329992530925</v>
      </c>
      <c r="O1224">
        <f>-676.690422427962 -267.554156164107 -529.817608677987</f>
        <v>-1474.0621872700558</v>
      </c>
      <c r="P1224">
        <f>-643.107527585873 -344.405283417198 -247.758521320256</f>
        <v>-1235.271332323327</v>
      </c>
      <c r="Q1224">
        <f>-506.25198348894 -169.669162352579 -341.506665553041</f>
        <v>-1017.4278113945601</v>
      </c>
      <c r="R1224">
        <f>-709.959001349051 -0.376223492858799 -101.809140299043</f>
        <v>-812.1443651409528</v>
      </c>
      <c r="S1224" t="s">
        <v>12527</v>
      </c>
      <c r="T1224" t="s">
        <v>12528</v>
      </c>
      <c r="U1224" t="s">
        <v>12529</v>
      </c>
      <c r="V1224">
        <f>-638.291714954634 -178.853171052985 -93.6402018520707</f>
        <v>-910.78508785968972</v>
      </c>
      <c r="W1224" t="s">
        <v>12530</v>
      </c>
      <c r="X1224" t="s">
        <v>12531</v>
      </c>
      <c r="Y1224" t="s">
        <v>12532</v>
      </c>
    </row>
    <row r="1225" spans="1:25" x14ac:dyDescent="0.3">
      <c r="A1225">
        <v>61200</v>
      </c>
      <c r="B1225" t="s">
        <v>12533</v>
      </c>
      <c r="C1225">
        <f>-673.897972904724 -89.4114553000522 -96.7286060543606</f>
        <v>-860.03803425913691</v>
      </c>
      <c r="D1225">
        <f>-693.619241715263 -102.809047570283 -210.076745080913</f>
        <v>-1006.5050343664591</v>
      </c>
      <c r="E1225">
        <f>-704.147797280396 -108.19348741459 -307.989074925891</f>
        <v>-1120.3303596208771</v>
      </c>
      <c r="F1225">
        <f>-711.580396544588 -110.907838382488 -396.733773958098</f>
        <v>-1219.2220088851741</v>
      </c>
      <c r="G1225">
        <f>-716.540162013877 -111.409893821343 -485.691096014913</f>
        <v>-1313.6411518501329</v>
      </c>
      <c r="H1225">
        <f>-720.829796846907 -109.843737491688 -610.189803616013</f>
        <v>-1440.8633379546081</v>
      </c>
      <c r="I1225">
        <f>-694.625399499878 -97.6473965848688 -688.09740292634</f>
        <v>-1480.3701990110867</v>
      </c>
      <c r="J1225">
        <f>-726.319846390276 -83.8306960230686 -554.813930046016</f>
        <v>-1364.9644724593606</v>
      </c>
      <c r="K1225" t="s">
        <v>12534</v>
      </c>
      <c r="L1225" t="s">
        <v>12535</v>
      </c>
      <c r="M1225" t="s">
        <v>12536</v>
      </c>
      <c r="N1225">
        <f>-711.564475944189 -137.235280842424 -555.994133986944</f>
        <v>-1404.793890773557</v>
      </c>
      <c r="O1225">
        <f>-676.026795685122 -267.435693114829 -529.855174415205</f>
        <v>-1473.317663215156</v>
      </c>
      <c r="P1225">
        <f>-642.914072974316 -343.545492722213 -247.53970891339</f>
        <v>-1233.999274609919</v>
      </c>
      <c r="Q1225">
        <f>-506.359192765851 -168.50413645325 -341.156508452405</f>
        <v>-1016.0198376715059</v>
      </c>
      <c r="R1225">
        <f>-709.885911467703 -0.338469845024747 -101.842367002776</f>
        <v>-812.06674831550367</v>
      </c>
      <c r="S1225" t="s">
        <v>12537</v>
      </c>
      <c r="T1225" t="s">
        <v>12538</v>
      </c>
      <c r="U1225" t="s">
        <v>12539</v>
      </c>
      <c r="V1225">
        <f>-638.033042221198 -178.636334818933 -93.6512350784053</f>
        <v>-910.32061211853625</v>
      </c>
      <c r="W1225" t="s">
        <v>12540</v>
      </c>
      <c r="X1225" t="s">
        <v>12541</v>
      </c>
      <c r="Y1225" t="s">
        <v>12542</v>
      </c>
    </row>
    <row r="1226" spans="1:25" x14ac:dyDescent="0.3">
      <c r="A1226">
        <v>61250</v>
      </c>
      <c r="B1226" t="s">
        <v>12543</v>
      </c>
      <c r="C1226">
        <f>-673.789102873919 -89.311081373673 -96.7552037551711</f>
        <v>-859.85538800276311</v>
      </c>
      <c r="D1226">
        <f>-693.423663556189 -102.728418678475 -210.116092685624</f>
        <v>-1006.2681749202881</v>
      </c>
      <c r="E1226">
        <f>-703.892999632259 -108.121423896069 -308.034192503807</f>
        <v>-1120.048616032135</v>
      </c>
      <c r="F1226">
        <f>-711.277786019276 -110.841180616929 -396.782873893315</f>
        <v>-1218.9018405295201</v>
      </c>
      <c r="G1226">
        <f>-716.195492020865 -111.345435213483 -485.742345012878</f>
        <v>-1313.283272247226</v>
      </c>
      <c r="H1226">
        <f>-720.43211968407 -109.778891347881 -610.243036457688</f>
        <v>-1440.4540474896389</v>
      </c>
      <c r="I1226">
        <f>-694.124286869869 -97.5671121362352 -688.113451892227</f>
        <v>-1479.8048508983311</v>
      </c>
      <c r="J1226">
        <f>-725.985579087018 -83.7770593972812 -554.868216794514</f>
        <v>-1364.6308552788132</v>
      </c>
      <c r="K1226" t="s">
        <v>12544</v>
      </c>
      <c r="L1226" t="s">
        <v>12545</v>
      </c>
      <c r="M1226" t="s">
        <v>12546</v>
      </c>
      <c r="N1226">
        <f>-711.149881586136 -137.159417985956 -556.044683646022</f>
        <v>-1404.3539832181141</v>
      </c>
      <c r="O1226">
        <f>-675.446281938239 -267.308954682945 -529.899812491333</f>
        <v>-1472.6550491125172</v>
      </c>
      <c r="P1226">
        <f>-642.723375570534 -342.865076873343 -247.390218647045</f>
        <v>-1232.978671090922</v>
      </c>
      <c r="Q1226">
        <f>-506.428817269629 -167.593641242061 -340.956254529567</f>
        <v>-1014.978713041257</v>
      </c>
      <c r="R1226">
        <f>-709.912841584818 -0.293868106867649 -101.884728414974</f>
        <v>-812.09143810665967</v>
      </c>
      <c r="S1226" t="s">
        <v>12547</v>
      </c>
      <c r="T1226" t="s">
        <v>12548</v>
      </c>
      <c r="U1226" t="s">
        <v>12549</v>
      </c>
      <c r="V1226">
        <f>-637.791748342855 -178.509462699668 -93.6633135284013</f>
        <v>-909.96452457092437</v>
      </c>
      <c r="W1226" t="s">
        <v>12550</v>
      </c>
      <c r="X1226" t="s">
        <v>12551</v>
      </c>
      <c r="Y1226" t="s">
        <v>12552</v>
      </c>
    </row>
    <row r="1227" spans="1:25" x14ac:dyDescent="0.3">
      <c r="A1227">
        <v>61300</v>
      </c>
      <c r="B1227" t="s">
        <v>12543</v>
      </c>
      <c r="C1227">
        <f>-673.789102873919 -89.311081373673 -96.7552037551711</f>
        <v>-859.85538800276311</v>
      </c>
      <c r="D1227">
        <f>-693.423663556189 -102.728418678475 -210.116092685624</f>
        <v>-1006.2681749202881</v>
      </c>
      <c r="E1227">
        <f>-703.892999632259 -108.121423896069 -308.034192503807</f>
        <v>-1120.048616032135</v>
      </c>
      <c r="F1227">
        <f>-711.277786019276 -110.841180616929 -396.782873893315</f>
        <v>-1218.9018405295201</v>
      </c>
      <c r="G1227">
        <f>-716.195492020865 -111.345435213483 -485.742345012878</f>
        <v>-1313.283272247226</v>
      </c>
      <c r="H1227">
        <f>-720.43211968407 -109.778891347881 -610.243036457688</f>
        <v>-1440.4540474896389</v>
      </c>
      <c r="I1227">
        <f>-694.124286869869 -97.5671121362352 -688.113451892227</f>
        <v>-1479.8048508983311</v>
      </c>
      <c r="J1227">
        <f>-725.985579087018 -83.7770593972812 -554.868216794514</f>
        <v>-1364.6308552788132</v>
      </c>
      <c r="K1227" t="s">
        <v>12544</v>
      </c>
      <c r="L1227" t="s">
        <v>12545</v>
      </c>
      <c r="M1227" t="s">
        <v>12546</v>
      </c>
      <c r="N1227">
        <f>-711.149881586136 -137.159417985956 -556.044683646022</f>
        <v>-1404.3539832181141</v>
      </c>
      <c r="O1227">
        <f>-675.446281938239 -267.308954682945 -529.899812491333</f>
        <v>-1472.6550491125172</v>
      </c>
      <c r="P1227">
        <f>-642.723375570534 -342.865076873343 -247.390218647045</f>
        <v>-1232.978671090922</v>
      </c>
      <c r="Q1227">
        <f>-506.428817269629 -167.593641242061 -340.956254529567</f>
        <v>-1014.978713041257</v>
      </c>
      <c r="R1227">
        <f>-709.912841584818 -0.293868106867649 -101.884728414974</f>
        <v>-812.09143810665967</v>
      </c>
      <c r="S1227" t="s">
        <v>12547</v>
      </c>
      <c r="T1227" t="s">
        <v>12548</v>
      </c>
      <c r="U1227" t="s">
        <v>12549</v>
      </c>
      <c r="V1227">
        <f>-637.791748342855 -178.509462699668 -93.6633135284013</f>
        <v>-909.96452457092437</v>
      </c>
      <c r="W1227" t="s">
        <v>12550</v>
      </c>
      <c r="X1227" t="s">
        <v>12551</v>
      </c>
      <c r="Y1227" t="s">
        <v>12552</v>
      </c>
    </row>
    <row r="1228" spans="1:25" x14ac:dyDescent="0.3">
      <c r="A1228">
        <v>61350</v>
      </c>
      <c r="B1228" t="s">
        <v>12553</v>
      </c>
      <c r="C1228">
        <f>-673.345293458286 -89.3729956689938 -96.8482513018359</f>
        <v>-859.56654042911578</v>
      </c>
      <c r="D1228">
        <f>-692.831194003356 -103.004707141016 -210.20910143962</f>
        <v>-1006.045002583992</v>
      </c>
      <c r="E1228">
        <f>-703.290152529817 -108.519978572958 -308.121524558056</f>
        <v>-1119.931655660831</v>
      </c>
      <c r="F1228">
        <f>-710.710892773244 -111.32739892291 -396.864488126029</f>
        <v>-1218.902779822183</v>
      </c>
      <c r="G1228">
        <f>-715.710938157491 -111.892221323512 -485.819114785021</f>
        <v>-1313.422274266024</v>
      </c>
      <c r="H1228">
        <f>-720.110955124086 -110.380550082253 -610.314712339151</f>
        <v>-1440.80621754549</v>
      </c>
      <c r="I1228">
        <f>-693.541734606418 -98.1183216761979 -688.088340007917</f>
        <v>-1479.748396290533</v>
      </c>
      <c r="J1228">
        <f>-725.806351269577 -84.4149493195675 -554.937225281151</f>
        <v>-1365.1585258702955</v>
      </c>
      <c r="K1228" t="s">
        <v>12554</v>
      </c>
      <c r="L1228" t="s">
        <v>12555</v>
      </c>
      <c r="M1228" t="s">
        <v>12556</v>
      </c>
      <c r="N1228">
        <f>-710.543055766646 -137.676448984161 -556.123519943605</f>
        <v>-1404.343024694412</v>
      </c>
      <c r="O1228">
        <f>-673.91037105281 -267.571749396788 -529.99618245297</f>
        <v>-1471.478302902568</v>
      </c>
      <c r="P1228">
        <f>-642.148599169796 -341.526210554209 -246.95352971811</f>
        <v>-1230.628339442115</v>
      </c>
      <c r="Q1228">
        <f>-506.428604606699 -165.487911774973 -339.913290822695</f>
        <v>-1011.8298072043671</v>
      </c>
      <c r="R1228">
        <f>-710.055297184224 -0.658579658255121 -102.048315382736</f>
        <v>-812.76219222521513</v>
      </c>
      <c r="S1228" t="s">
        <v>12557</v>
      </c>
      <c r="T1228" t="s">
        <v>12558</v>
      </c>
      <c r="U1228" t="s">
        <v>12559</v>
      </c>
      <c r="V1228">
        <f>-636.775227984711 -178.310230136345 -93.7010089911565</f>
        <v>-908.78646711221256</v>
      </c>
      <c r="W1228" t="s">
        <v>12560</v>
      </c>
      <c r="X1228" t="s">
        <v>12561</v>
      </c>
      <c r="Y1228" t="s">
        <v>12562</v>
      </c>
    </row>
    <row r="1229" spans="1:25" x14ac:dyDescent="0.3">
      <c r="A1229">
        <v>61400</v>
      </c>
      <c r="B1229" t="s">
        <v>12563</v>
      </c>
      <c r="C1229">
        <f>-673.01255972562 -89.7777588743165 -96.8683238543051</f>
        <v>-859.65864245424166</v>
      </c>
      <c r="D1229">
        <f>-692.537357071291 -103.551318530725 -210.205413934611</f>
        <v>-1006.294089536627</v>
      </c>
      <c r="E1229">
        <f>-703.135490986537 -109.138968664037 -308.098744517857</f>
        <v>-1120.3732041684309</v>
      </c>
      <c r="F1229">
        <f>-710.724072338803 -111.991679625323 -396.825940614123</f>
        <v>-1219.541692578249</v>
      </c>
      <c r="G1229">
        <f>-715.934786162107 -112.578689333451 -485.768388013808</f>
        <v>-1314.2818635093658</v>
      </c>
      <c r="H1229">
        <f>-720.673965764684 -111.071992445181 -610.251524224922</f>
        <v>-1441.9974824347869</v>
      </c>
      <c r="I1229">
        <f>-694.108907020426 -98.7584734982465 -688.018561173275</f>
        <v>-1480.8859416919477</v>
      </c>
      <c r="J1229">
        <f>-726.347913054107 -85.1417761753276 -554.855351293426</f>
        <v>-1366.3450405228605</v>
      </c>
      <c r="K1229" t="s">
        <v>12564</v>
      </c>
      <c r="L1229" t="s">
        <v>12565</v>
      </c>
      <c r="M1229" t="s">
        <v>12566</v>
      </c>
      <c r="N1229">
        <f>-710.828893186798 -138.328325284724 -556.08992092347</f>
        <v>-1405.247139394992</v>
      </c>
      <c r="O1229">
        <f>-673.570790117075 -268.059456535944 -530.030352969904</f>
        <v>-1471.660599622923</v>
      </c>
      <c r="P1229">
        <f>-641.528649191127 -341.417858028623 -246.86420895394</f>
        <v>-1229.81071617369</v>
      </c>
      <c r="Q1229">
        <f>-506.722870931862 -164.136714065683 -338.786147258496</f>
        <v>-1009.6457322560409</v>
      </c>
      <c r="R1229">
        <f>-710.025765537036 -1.17094264154935 -102.098724137708</f>
        <v>-813.29543231629339</v>
      </c>
      <c r="S1229" t="s">
        <v>12567</v>
      </c>
      <c r="T1229" t="s">
        <v>12568</v>
      </c>
      <c r="U1229" t="s">
        <v>12569</v>
      </c>
      <c r="V1229">
        <f>-636.115081189469 -178.667184467283 -93.6922698750826</f>
        <v>-908.4745355318347</v>
      </c>
      <c r="W1229" t="s">
        <v>12570</v>
      </c>
      <c r="X1229" t="s">
        <v>12571</v>
      </c>
      <c r="Y1229" t="s">
        <v>12572</v>
      </c>
    </row>
    <row r="1230" spans="1:25" x14ac:dyDescent="0.3">
      <c r="A1230">
        <v>61450</v>
      </c>
      <c r="B1230" t="s">
        <v>12573</v>
      </c>
      <c r="C1230">
        <f>-672.840314758363 -89.9417765167022 -96.8700330350672</f>
        <v>-859.65212431013242</v>
      </c>
      <c r="D1230">
        <f>-692.431521903864 -103.814904125712 -210.183494929818</f>
        <v>-1006.4299209593941</v>
      </c>
      <c r="E1230">
        <f>-703.129616689507 -109.460722289844 -308.062626854335</f>
        <v>-1120.6529658336858</v>
      </c>
      <c r="F1230">
        <f>-710.825448653462 -112.355139497842 -396.779314692321</f>
        <v>-1219.9599028436251</v>
      </c>
      <c r="G1230">
        <f>-716.160706947177 -112.971888471013 -485.714118393984</f>
        <v>-1314.8467138121741</v>
      </c>
      <c r="H1230">
        <f>-721.091920565607 -111.493203001211 -610.190349364541</f>
        <v>-1442.775472931359</v>
      </c>
      <c r="I1230">
        <f>-694.545791337721 -99.1503361389277 -687.959029671096</f>
        <v>-1481.6551571477448</v>
      </c>
      <c r="J1230">
        <f>-726.747021248299 -85.5701301732743 -554.788795897405</f>
        <v>-1367.1059473189782</v>
      </c>
      <c r="K1230" t="s">
        <v>12574</v>
      </c>
      <c r="L1230" t="s">
        <v>12575</v>
      </c>
      <c r="M1230" t="s">
        <v>12576</v>
      </c>
      <c r="N1230">
        <f>-711.096673564763 -138.717686491724 -556.040024832504</f>
        <v>-1405.8543848889908</v>
      </c>
      <c r="O1230">
        <f>-673.493745180169 -268.351419050587 -529.989874219912</f>
        <v>-1471.835038450668</v>
      </c>
      <c r="P1230">
        <f>-641.33056711375 -341.256149687145 -246.720396743084</f>
        <v>-1229.3071135439791</v>
      </c>
      <c r="Q1230">
        <f>-506.657063545511 -163.692427042271 -338.290163869034</f>
        <v>-1008.6396544568159</v>
      </c>
      <c r="R1230">
        <f>-710.042714596965 -1.41695794950783 -102.113507821817</f>
        <v>-813.57318036828974</v>
      </c>
      <c r="S1230" t="s">
        <v>12577</v>
      </c>
      <c r="T1230" t="s">
        <v>12578</v>
      </c>
      <c r="U1230" t="s">
        <v>12579</v>
      </c>
      <c r="V1230">
        <f>-635.810360123206 -178.673565677386 -93.6902993270548</f>
        <v>-908.17422512764688</v>
      </c>
      <c r="W1230" t="s">
        <v>12580</v>
      </c>
      <c r="X1230" t="s">
        <v>12581</v>
      </c>
      <c r="Y1230" t="s">
        <v>12582</v>
      </c>
    </row>
    <row r="1231" spans="1:25" x14ac:dyDescent="0.3">
      <c r="A1231">
        <v>61500</v>
      </c>
      <c r="B1231" t="s">
        <v>12583</v>
      </c>
      <c r="C1231">
        <f>-672.533707768396 -90.2745489475815 -96.9024962275458</f>
        <v>-859.71075294352329</v>
      </c>
      <c r="D1231">
        <f>-692.260204469974 -104.374922785067 -210.164569227894</f>
        <v>-1006.7996964829351</v>
      </c>
      <c r="E1231">
        <f>-703.17906121516 -110.158679767309 -308.011238088428</f>
        <v>-1121.348979070897</v>
      </c>
      <c r="F1231">
        <f>-711.115749376997 -113.155481785091 -396.703203903571</f>
        <v>-1220.974435065659</v>
      </c>
      <c r="G1231">
        <f>-716.733278944339 -113.848674448412 -485.620046948785</f>
        <v>-1316.2020003415359</v>
      </c>
      <c r="H1231">
        <f>-722.102807013561 -112.448813786466 -610.078915656986</f>
        <v>-1444.630536457013</v>
      </c>
      <c r="I1231">
        <f>-695.650013552146 -100.022838457392 -687.866278970406</f>
        <v>-1483.539130979944</v>
      </c>
      <c r="J1231">
        <f>-727.695602149963 -86.5301728846234 -554.669045708516</f>
        <v>-1368.8948207431024</v>
      </c>
      <c r="K1231" t="s">
        <v>12584</v>
      </c>
      <c r="L1231" t="s">
        <v>12585</v>
      </c>
      <c r="M1231" t="s">
        <v>12586</v>
      </c>
      <c r="N1231">
        <f>-711.784259863653 -139.59954455249 -555.952440442508</f>
        <v>-1407.3362448586508</v>
      </c>
      <c r="O1231">
        <f>-673.547365912306 -269.056380097217 -529.931815134153</f>
        <v>-1472.535561143676</v>
      </c>
      <c r="P1231">
        <f>-641.303555725023 -340.694707108735 -246.348343272147</f>
        <v>-1228.346606105905</v>
      </c>
      <c r="Q1231">
        <f>-506.168297706556 -163.254001143839 -337.475628593186</f>
        <v>-1006.897927443581</v>
      </c>
      <c r="R1231">
        <f>-710.073133872567 -1.98314729602566 -102.171137483428</f>
        <v>-814.22741865202067</v>
      </c>
      <c r="S1231" t="s">
        <v>12587</v>
      </c>
      <c r="T1231" t="s">
        <v>12588</v>
      </c>
      <c r="U1231" t="s">
        <v>12589</v>
      </c>
      <c r="V1231">
        <f>-635.125170442543 -178.773290473776 -93.6755803374485</f>
        <v>-907.57404125376752</v>
      </c>
      <c r="W1231" t="s">
        <v>12590</v>
      </c>
      <c r="X1231" t="s">
        <v>12591</v>
      </c>
      <c r="Y1231" t="s">
        <v>12592</v>
      </c>
    </row>
    <row r="1232" spans="1:25" x14ac:dyDescent="0.3">
      <c r="A1232">
        <v>61550</v>
      </c>
      <c r="B1232" t="s">
        <v>12593</v>
      </c>
      <c r="C1232">
        <f>-672.380218307307 -90.5555275998022 -96.9276357136281</f>
        <v>-859.8633816207373</v>
      </c>
      <c r="D1232">
        <f>-692.154573975851 -104.743090422188 -210.170268739147</f>
        <v>-1007.0679331371861</v>
      </c>
      <c r="E1232">
        <f>-703.180164655858 -110.596682236493 -308.000995649335</f>
        <v>-1121.7778425416859</v>
      </c>
      <c r="F1232">
        <f>-711.240112637938 -113.653511573405 -396.679736010727</f>
        <v>-1221.5733602220701</v>
      </c>
      <c r="G1232">
        <f>-717.0084505768 -114.402579579406 -485.586524324653</f>
        <v>-1316.997554480859</v>
      </c>
      <c r="H1232">
        <f>-722.617894297654 -113.075300357576 -610.035604455486</f>
        <v>-1445.728799110716</v>
      </c>
      <c r="I1232">
        <f>-696.242625878896 -100.617706725526 -687.844245144438</f>
        <v>-1484.7045777488599</v>
      </c>
      <c r="J1232">
        <f>-728.168075128573 -87.1438086294531 -554.627537273537</f>
        <v>-1369.9394210315631</v>
      </c>
      <c r="K1232" t="s">
        <v>12594</v>
      </c>
      <c r="L1232" t="s">
        <v>12595</v>
      </c>
      <c r="M1232" t="s">
        <v>12596</v>
      </c>
      <c r="N1232">
        <f>-712.130763160666 -140.175044345791 -555.916020320953</f>
        <v>-1408.2218278274099</v>
      </c>
      <c r="O1232">
        <f>-673.574303675123 -269.534137987147 -529.882312027608</f>
        <v>-1472.9907536898781</v>
      </c>
      <c r="P1232">
        <f>-641.256917372572 -340.788577381306 -246.210594090996</f>
        <v>-1228.2560888448741</v>
      </c>
      <c r="Q1232">
        <f>-506.031510578826 -163.355433735456 -337.218419299608</f>
        <v>-1006.6053636138899</v>
      </c>
      <c r="R1232">
        <f>-710.054504468531 -2.30307986698222 -102.212911735129</f>
        <v>-814.57049607064221</v>
      </c>
      <c r="S1232" t="s">
        <v>12597</v>
      </c>
      <c r="T1232" t="s">
        <v>12598</v>
      </c>
      <c r="U1232" t="s">
        <v>12599</v>
      </c>
      <c r="V1232">
        <f>-634.810520179253 -179.071149178229 -93.6638476929751</f>
        <v>-907.54551705045708</v>
      </c>
      <c r="W1232" t="s">
        <v>12600</v>
      </c>
      <c r="X1232" t="s">
        <v>12601</v>
      </c>
      <c r="Y1232" t="s">
        <v>12602</v>
      </c>
    </row>
    <row r="1233" spans="1:25" x14ac:dyDescent="0.3">
      <c r="A1233">
        <v>61600</v>
      </c>
      <c r="B1233" t="s">
        <v>12603</v>
      </c>
      <c r="C1233">
        <f>-672.137236013963 -90.9935477240138 -96.980414601179</f>
        <v>-860.11119833915586</v>
      </c>
      <c r="D1233">
        <f>-691.969452269861 -105.298441688531 -210.198245993319</f>
        <v>-1007.4661399517111</v>
      </c>
      <c r="E1233">
        <f>-703.179733521946 -111.286692594615 -307.999805227141</f>
        <v>-1122.466231343702</v>
      </c>
      <c r="F1233">
        <f>-711.462489484602 -114.477529732002 -396.653315684694</f>
        <v>-1222.593334901298</v>
      </c>
      <c r="G1233">
        <f>-717.511099018648 -115.369951327931 -485.540091072959</f>
        <v>-1318.4211414195381</v>
      </c>
      <c r="H1233">
        <f>-723.573627747711 -114.250797491213 -609.970091207673</f>
        <v>-1447.7945164465971</v>
      </c>
      <c r="I1233">
        <f>-697.405739489804 -101.80222117962 -687.85007223444</f>
        <v>-1487.0580329038639</v>
      </c>
      <c r="J1233">
        <f>-729.024537932151 -88.2580050434417 -554.580795745045</f>
        <v>-1371.8633387206378</v>
      </c>
      <c r="K1233" t="s">
        <v>12604</v>
      </c>
      <c r="L1233" t="s">
        <v>12605</v>
      </c>
      <c r="M1233" t="s">
        <v>12606</v>
      </c>
      <c r="N1233">
        <f>-712.787053002378 -141.228621890159 -555.848307513137</f>
        <v>-1409.8639824056741</v>
      </c>
      <c r="O1233">
        <f>-673.739694143331 -270.42290466916 -529.758801727765</f>
        <v>-1473.9214005402559</v>
      </c>
      <c r="P1233">
        <f>-641.493641333698 -341.0463628558 -245.921243830112</f>
        <v>-1228.4612480196099</v>
      </c>
      <c r="Q1233">
        <f>-506.271209756802 -163.73478399607 -337.170481911642</f>
        <v>-1007.176475664514</v>
      </c>
      <c r="R1233">
        <f>-710.067236274939 -2.83511813854375 -102.29368029958</f>
        <v>-815.19603471306277</v>
      </c>
      <c r="S1233" t="s">
        <v>12607</v>
      </c>
      <c r="T1233" t="s">
        <v>12608</v>
      </c>
      <c r="U1233" t="s">
        <v>12609</v>
      </c>
      <c r="V1233">
        <f>-634.361233540572 -179.353813958938 -93.6740514944257</f>
        <v>-907.3890989939357</v>
      </c>
      <c r="W1233" t="s">
        <v>12610</v>
      </c>
      <c r="X1233" t="s">
        <v>12611</v>
      </c>
      <c r="Y1233" t="s">
        <v>12612</v>
      </c>
    </row>
    <row r="1234" spans="1:25" x14ac:dyDescent="0.3">
      <c r="A1234">
        <v>61650</v>
      </c>
      <c r="B1234" t="s">
        <v>12613</v>
      </c>
      <c r="C1234">
        <f>-672.089353733907 -91.1907609756445 -96.9921183269333</f>
        <v>-860.27223303648486</v>
      </c>
      <c r="D1234">
        <f>-691.949368566291 -105.538232032556 -210.19969173888</f>
        <v>-1007.6872923377271</v>
      </c>
      <c r="E1234">
        <f>-703.243608053533 -111.58517619869 -307.98784302604</f>
        <v>-1122.816627278263</v>
      </c>
      <c r="F1234">
        <f>-711.627184731635 -114.836990123157 -396.629744197305</f>
        <v>-1223.0939190520969</v>
      </c>
      <c r="G1234">
        <f>-717.802334744816 -115.797562484821 -485.50713534561</f>
        <v>-1319.1070325752471</v>
      </c>
      <c r="H1234">
        <f>-724.069269874185 -114.779606694447 -609.927766908577</f>
        <v>-1448.7766434772091</v>
      </c>
      <c r="I1234">
        <f>-698.031889605825 -102.362731622759 -687.856662199951</f>
        <v>-1488.2512834285349</v>
      </c>
      <c r="J1234">
        <f>-729.465899770207 -88.7529229623415 -554.549137270181</f>
        <v>-1372.7679600027295</v>
      </c>
      <c r="K1234" t="s">
        <v>12614</v>
      </c>
      <c r="L1234" t="s">
        <v>12615</v>
      </c>
      <c r="M1234" t="s">
        <v>12616</v>
      </c>
      <c r="N1234">
        <f>-713.156942117201 -141.702006829917 -555.803666408151</f>
        <v>-1410.6626153552688</v>
      </c>
      <c r="O1234">
        <f>-673.891853879353 -270.824803452767 -529.662789725948</f>
        <v>-1474.3794470580679</v>
      </c>
      <c r="P1234">
        <f>-641.660088553407 -341.467159375162 -245.828181049846</f>
        <v>-1228.9554289784151</v>
      </c>
      <c r="Q1234">
        <f>-506.743455763561 -163.891690228602 -337.016728212309</f>
        <v>-1007.6518742044719</v>
      </c>
      <c r="R1234">
        <f>-710.073599422871 -3.09314140131596 -102.32680682429</f>
        <v>-815.49354764847692</v>
      </c>
      <c r="S1234" t="s">
        <v>12617</v>
      </c>
      <c r="T1234" t="s">
        <v>12618</v>
      </c>
      <c r="U1234" t="s">
        <v>12619</v>
      </c>
      <c r="V1234">
        <f>-634.253204116649 -179.476883150224 -93.6754328256235</f>
        <v>-907.40552009249654</v>
      </c>
      <c r="W1234" t="s">
        <v>12620</v>
      </c>
      <c r="X1234" t="s">
        <v>12621</v>
      </c>
      <c r="Y1234" t="s">
        <v>12622</v>
      </c>
    </row>
    <row r="1235" spans="1:25" x14ac:dyDescent="0.3">
      <c r="A1235">
        <v>61700</v>
      </c>
      <c r="B1235" t="s">
        <v>12623</v>
      </c>
      <c r="C1235">
        <f>-672.02579648434 -91.7619840663913 -97.0017760615241</f>
        <v>-860.78955661225541</v>
      </c>
      <c r="D1235">
        <f>-691.948758181132 -106.179769882407 -210.189305502546</f>
        <v>-1008.317833566085</v>
      </c>
      <c r="E1235">
        <f>-703.378457580358 -112.321365537554 -307.95587327489</f>
        <v>-1123.6556963928019</v>
      </c>
      <c r="F1235">
        <f>-711.918810560545 -115.67129490222 -396.579149137052</f>
        <v>-1224.1692545998171</v>
      </c>
      <c r="G1235">
        <f>-718.286407549576 -116.7403725217 -485.441668705928</f>
        <v>-1320.468448777204</v>
      </c>
      <c r="H1235">
        <f>-724.860458447918 -115.884212852731 -609.847741263256</f>
        <v>-1450.5924125639049</v>
      </c>
      <c r="I1235">
        <f>-699.124274615356 -103.576953363088 -687.893925523868</f>
        <v>-1490.5951535023119</v>
      </c>
      <c r="J1235">
        <f>-730.168546447453 -89.800533914728 -554.487281166804</f>
        <v>-1374.4563615289849</v>
      </c>
      <c r="K1235" t="s">
        <v>12624</v>
      </c>
      <c r="L1235" t="s">
        <v>12625</v>
      </c>
      <c r="M1235" t="s">
        <v>12626</v>
      </c>
      <c r="N1235">
        <f>-713.766469023205 -142.721373371015 -555.718262888112</f>
        <v>-1412.2061052823319</v>
      </c>
      <c r="O1235">
        <f>-674.210759740548 -271.728382677752 -529.483703697928</f>
        <v>-1475.4228461162279</v>
      </c>
      <c r="P1235">
        <f>-642.361258410581 -341.617026438497 -245.419671902994</f>
        <v>-1229.3979567520719</v>
      </c>
      <c r="Q1235">
        <f>-507.544510328997 -163.790880307209 -336.266664099687</f>
        <v>-1007.6020547358929</v>
      </c>
      <c r="R1235">
        <f>-710.030129044908 -3.74894095450918 -102.369680327015</f>
        <v>-816.14875032643215</v>
      </c>
      <c r="S1235" t="s">
        <v>12627</v>
      </c>
      <c r="T1235" t="s">
        <v>12628</v>
      </c>
      <c r="U1235" t="s">
        <v>12629</v>
      </c>
      <c r="V1235">
        <f>-634.142593858566 -180.04285947805 -93.6663363593566</f>
        <v>-907.85178969597257</v>
      </c>
      <c r="W1235" t="s">
        <v>12630</v>
      </c>
      <c r="X1235" t="s">
        <v>12631</v>
      </c>
      <c r="Y1235" t="s">
        <v>12632</v>
      </c>
    </row>
    <row r="1236" spans="1:25" x14ac:dyDescent="0.3">
      <c r="A1236">
        <v>61750</v>
      </c>
      <c r="B1236" t="s">
        <v>12633</v>
      </c>
      <c r="C1236">
        <f>-672.001976226052 -92.0916730179322 -97.0006690235549</f>
        <v>-861.09431826753905</v>
      </c>
      <c r="D1236">
        <f>-691.950687357603 -106.538430392927 -210.179993673214</f>
        <v>-1008.669111423744</v>
      </c>
      <c r="E1236">
        <f>-703.424407105387 -112.714552059922 -307.93929316294</f>
        <v>-1124.0782523282489</v>
      </c>
      <c r="F1236">
        <f>-712.014132232855 -116.099360946773 -396.556449100147</f>
        <v>-1224.6699422797751</v>
      </c>
      <c r="G1236">
        <f>-718.440525885665 -117.206215934887 -485.414281402653</f>
        <v>-1321.061023223205</v>
      </c>
      <c r="H1236">
        <f>-725.107358302887 -116.40577704266 -609.815751676546</f>
        <v>-1451.3288870220931</v>
      </c>
      <c r="I1236">
        <f>-699.525623761082 -104.1627571031 -687.922781410031</f>
        <v>-1491.611162274213</v>
      </c>
      <c r="J1236">
        <f>-730.392605157913 -90.3028616295117 -554.462179644435</f>
        <v>-1375.1576464318596</v>
      </c>
      <c r="K1236" t="s">
        <v>12634</v>
      </c>
      <c r="L1236" t="s">
        <v>12635</v>
      </c>
      <c r="M1236" t="s">
        <v>12636</v>
      </c>
      <c r="N1236">
        <f>-713.954866616252 -143.212897945913 -555.683430515466</f>
        <v>-1412.851195077631</v>
      </c>
      <c r="O1236">
        <f>-674.231887581844 -272.155631517355 -529.371369352214</f>
        <v>-1475.758888451413</v>
      </c>
      <c r="P1236">
        <f>-642.414419024987 -341.687127004105 -245.216092472633</f>
        <v>-1229.3176385017248</v>
      </c>
      <c r="Q1236">
        <f>-508.095230063261 -163.203198640859 -335.508398166886</f>
        <v>-1006.806826871006</v>
      </c>
      <c r="R1236">
        <f>-710.049710071515 -4.07391352088575 -102.377801638736</f>
        <v>-816.50142523113686</v>
      </c>
      <c r="S1236" t="s">
        <v>12637</v>
      </c>
      <c r="T1236" t="s">
        <v>12638</v>
      </c>
      <c r="U1236" t="s">
        <v>12639</v>
      </c>
      <c r="V1236">
        <f>-634.091945402068 -180.371748539396 -93.6543347198198</f>
        <v>-908.11802866128369</v>
      </c>
      <c r="W1236" t="s">
        <v>12640</v>
      </c>
      <c r="X1236" t="s">
        <v>12641</v>
      </c>
      <c r="Y1236" t="s">
        <v>12642</v>
      </c>
    </row>
    <row r="1237" spans="1:25" x14ac:dyDescent="0.3">
      <c r="A1237">
        <v>61800</v>
      </c>
      <c r="B1237" t="s">
        <v>12643</v>
      </c>
      <c r="C1237">
        <f>-672.107157676056 -92.7310240183592 -96.984929007786</f>
        <v>-861.82311070220123</v>
      </c>
      <c r="D1237">
        <f>-692.090878837739 -107.223022386237 -210.152273576164</f>
        <v>-1009.46617480014</v>
      </c>
      <c r="E1237">
        <f>-703.601863344899 -113.445761221742 -307.904245668493</f>
        <v>-1124.951870235134</v>
      </c>
      <c r="F1237">
        <f>-712.228265107671 -116.875584366507 -396.516088787944</f>
        <v>-1225.6199382621221</v>
      </c>
      <c r="G1237">
        <f>-718.695580636954 -118.030021371058 -485.370352147333</f>
        <v>-1322.095954155345</v>
      </c>
      <c r="H1237">
        <f>-725.423879613536 -117.297948985998 -609.768983099211</f>
        <v>-1452.4908116987449</v>
      </c>
      <c r="I1237">
        <f>-700.186738375126 -105.185765584427 -688.008372719671</f>
        <v>-1493.380876679224</v>
      </c>
      <c r="J1237">
        <f>-730.726299792298 -91.1785954489169 -554.424742409863</f>
        <v>-1376.329637651078</v>
      </c>
      <c r="K1237" t="s">
        <v>12644</v>
      </c>
      <c r="L1237" t="s">
        <v>12645</v>
      </c>
      <c r="M1237" t="s">
        <v>12646</v>
      </c>
      <c r="N1237">
        <f>-714.19983336637 -144.061379994958 -555.62984340011</f>
        <v>-1413.891056761438</v>
      </c>
      <c r="O1237">
        <f>-674.109115906756 -272.875675430668 -529.236389003862</f>
        <v>-1476.2211803412861</v>
      </c>
      <c r="P1237">
        <f>-642.878216968468 -341.625708475409 -244.825922882889</f>
        <v>-1229.3298483267661</v>
      </c>
      <c r="Q1237">
        <f>-509.010262596007 -162.112476830101 -333.73716729737</f>
        <v>-1004.8599067234779</v>
      </c>
      <c r="R1237">
        <f>-710.241677092797 -4.82998600831365 -102.37554540456</f>
        <v>-817.44720850567069</v>
      </c>
      <c r="S1237" t="s">
        <v>12647</v>
      </c>
      <c r="T1237" t="s">
        <v>12648</v>
      </c>
      <c r="U1237" t="s">
        <v>12649</v>
      </c>
      <c r="V1237">
        <f>-634.131371659901 -180.801934506624 -93.6426996422189</f>
        <v>-908.57600580874384</v>
      </c>
      <c r="W1237" t="s">
        <v>12650</v>
      </c>
      <c r="X1237" t="s">
        <v>12651</v>
      </c>
      <c r="Y1237" t="s">
        <v>12652</v>
      </c>
    </row>
    <row r="1238" spans="1:25" x14ac:dyDescent="0.3">
      <c r="A1238">
        <v>61850</v>
      </c>
      <c r="B1238" t="s">
        <v>12653</v>
      </c>
      <c r="C1238">
        <f>-672.251615391997 -93.0362320079369 -96.9762792030169</f>
        <v>-862.2641266029508</v>
      </c>
      <c r="D1238">
        <f>-692.234459054966 -107.535540254898 -210.142926167882</f>
        <v>-1009.9129254777461</v>
      </c>
      <c r="E1238">
        <f>-703.744390865754 -113.747722199262 -307.895437123358</f>
        <v>-1125.387550188374</v>
      </c>
      <c r="F1238">
        <f>-712.370037042628 -117.161323318081 -396.508191384939</f>
        <v>-1226.0395517456482</v>
      </c>
      <c r="G1238">
        <f>-718.836454400213 -118.292292620324 -485.362692483594</f>
        <v>-1322.491439504131</v>
      </c>
      <c r="H1238">
        <f>-725.563683465876 -117.519452629254 -609.761134236444</f>
        <v>-1452.8442703315741</v>
      </c>
      <c r="I1238">
        <f>-700.522453471236 -105.445600408453 -688.069472251402</f>
        <v>-1494.037526131091</v>
      </c>
      <c r="J1238">
        <f>-730.893921016705 -91.4269769668902 -554.407079253263</f>
        <v>-1376.7279772368581</v>
      </c>
      <c r="K1238" t="s">
        <v>12654</v>
      </c>
      <c r="L1238" t="s">
        <v>12655</v>
      </c>
      <c r="M1238" t="s">
        <v>12656</v>
      </c>
      <c r="N1238">
        <f>-714.31279039007 -144.292122797108 -555.632115033085</f>
        <v>-1414.237028220263</v>
      </c>
      <c r="O1238">
        <f>-674.045531064367 -273.058507217243 -529.247953959523</f>
        <v>-1476.3519922411328</v>
      </c>
      <c r="P1238">
        <f>-642.943776628631 -341.848708557914 -244.833094243112</f>
        <v>-1229.6255794296571</v>
      </c>
      <c r="Q1238">
        <f>-509.407262767738 -161.737168925664 -333.029671194876</f>
        <v>-1004.174102888278</v>
      </c>
      <c r="R1238">
        <f>-710.435400576094 -5.18690599624074 -102.365438992225</f>
        <v>-817.98774556455976</v>
      </c>
      <c r="S1238" t="s">
        <v>12657</v>
      </c>
      <c r="T1238" t="s">
        <v>12658</v>
      </c>
      <c r="U1238" t="s">
        <v>12659</v>
      </c>
      <c r="V1238">
        <f>-634.224012859467 -181.070754308443 -93.6300898778052</f>
        <v>-908.92485704571527</v>
      </c>
      <c r="W1238" t="s">
        <v>12660</v>
      </c>
      <c r="X1238" t="s">
        <v>12661</v>
      </c>
      <c r="Y1238" t="s">
        <v>12662</v>
      </c>
    </row>
    <row r="1239" spans="1:25" x14ac:dyDescent="0.3">
      <c r="A1239">
        <v>61900</v>
      </c>
      <c r="B1239" t="s">
        <v>12663</v>
      </c>
      <c r="C1239">
        <f>-672.600910821254 -93.6905436160275 -96.9461458659401</f>
        <v>-863.23760030322171</v>
      </c>
      <c r="D1239">
        <f>-692.543584930356 -108.206175309235 -210.11770776036</f>
        <v>-1010.867467999951</v>
      </c>
      <c r="E1239">
        <f>-704.0217188366 -114.344104420547 -307.878885003436</f>
        <v>-1126.2447082605829</v>
      </c>
      <c r="F1239">
        <f>-712.618191126273 -117.655515766598 -396.498207879792</f>
        <v>-1226.771914772663</v>
      </c>
      <c r="G1239">
        <f>-719.055240711665 -118.648153991956 -485.356501222259</f>
        <v>-1323.05989592588</v>
      </c>
      <c r="H1239">
        <f>-725.740397840424 -117.644158341643 -609.75558049119</f>
        <v>-1453.1401366732571</v>
      </c>
      <c r="I1239">
        <f>-701.08146735384 -105.615496508635 -688.192042228838</f>
        <v>-1494.8890060913131</v>
      </c>
      <c r="J1239">
        <f>-731.150140556578 -91.6737522051408 -554.351782196695</f>
        <v>-1377.1756749584138</v>
      </c>
      <c r="K1239" t="s">
        <v>12664</v>
      </c>
      <c r="L1239" t="s">
        <v>12665</v>
      </c>
      <c r="M1239" t="s">
        <v>12666</v>
      </c>
      <c r="N1239">
        <f>-714.447051260325 -144.498190530968 -555.675664042586</f>
        <v>-1414.6209058338791</v>
      </c>
      <c r="O1239">
        <f>-673.812378962904 -273.181622133631 -529.486461378851</f>
        <v>-1476.480462475386</v>
      </c>
      <c r="P1239">
        <f>-643.04296023622 -342.332242090259 -245.122910755327</f>
        <v>-1230.498113081806</v>
      </c>
      <c r="Q1239">
        <f>-509.556596188652 -161.45612485298 -331.818055112535</f>
        <v>-1002.8307761541669</v>
      </c>
      <c r="R1239">
        <f>-710.916702851683 -5.90207563116246 -102.339348366097</f>
        <v>-819.1581268489424</v>
      </c>
      <c r="S1239" t="s">
        <v>12667</v>
      </c>
      <c r="T1239" t="s">
        <v>12668</v>
      </c>
      <c r="U1239" t="s">
        <v>12669</v>
      </c>
      <c r="V1239">
        <f>-634.428221283075 -181.689174451882 -93.5990602853955</f>
        <v>-909.71645602035244</v>
      </c>
      <c r="W1239" t="s">
        <v>12670</v>
      </c>
      <c r="X1239" t="s">
        <v>12671</v>
      </c>
      <c r="Y1239" t="s">
        <v>12672</v>
      </c>
    </row>
    <row r="1240" spans="1:25" x14ac:dyDescent="0.3">
      <c r="A1240">
        <v>61950</v>
      </c>
      <c r="B1240" t="s">
        <v>12673</v>
      </c>
      <c r="C1240">
        <f>-672.798607037 -94.001430577747 -96.9412396542133</f>
        <v>-863.74127726896029</v>
      </c>
      <c r="D1240">
        <f>-692.713093728186 -108.526013044356 -210.11656141717</f>
        <v>-1011.355668189712</v>
      </c>
      <c r="E1240">
        <f>-704.161100274711 -114.609113060533 -307.884772768133</f>
        <v>-1126.654986103377</v>
      </c>
      <c r="F1240">
        <f>-712.726712384612 -117.846827171401 -396.509661073316</f>
        <v>-1227.083200629329</v>
      </c>
      <c r="G1240">
        <f>-719.128571483407 -118.740621233725 -485.371597062769</f>
        <v>-1323.240789779901</v>
      </c>
      <c r="H1240">
        <f>-725.759719768501 -117.572722902577 -609.772166238998</f>
        <v>-1453.104608910076</v>
      </c>
      <c r="I1240">
        <f>-701.301118811633 -105.572077917349 -688.275718882362</f>
        <v>-1495.1489156113439</v>
      </c>
      <c r="J1240">
        <f>-731.223271491717 -91.6848378633456 -554.335027542997</f>
        <v>-1377.2431368980597</v>
      </c>
      <c r="K1240" t="s">
        <v>12674</v>
      </c>
      <c r="L1240" t="s">
        <v>12675</v>
      </c>
      <c r="M1240" t="s">
        <v>12676</v>
      </c>
      <c r="N1240">
        <f>-714.4600520924 -144.4885470758 -555.724317642876</f>
        <v>-1414.672916811076</v>
      </c>
      <c r="O1240">
        <f>-673.633912000459 -273.148375887362 -529.693153084971</f>
        <v>-1476.4754409727921</v>
      </c>
      <c r="P1240">
        <f>-642.883288725884 -342.729916126608 -245.432665370388</f>
        <v>-1231.0458702228798</v>
      </c>
      <c r="Q1240">
        <f>-509.565346917374 -161.325965727199 -331.280275183519</f>
        <v>-1002.171587828092</v>
      </c>
      <c r="R1240">
        <f>-711.206318493877 -6.24787133141876 -102.341802000721</f>
        <v>-819.7959918260168</v>
      </c>
      <c r="S1240" t="s">
        <v>12677</v>
      </c>
      <c r="T1240" t="s">
        <v>12678</v>
      </c>
      <c r="U1240" t="s">
        <v>12679</v>
      </c>
      <c r="V1240">
        <f>-634.537682015324 -181.954650614935 -93.5931531187842</f>
        <v>-910.08548574904319</v>
      </c>
      <c r="W1240" t="s">
        <v>12680</v>
      </c>
      <c r="X1240" t="s">
        <v>12681</v>
      </c>
      <c r="Y1240" t="s">
        <v>12682</v>
      </c>
    </row>
    <row r="1241" spans="1:25" x14ac:dyDescent="0.3">
      <c r="A1241">
        <v>62000</v>
      </c>
      <c r="B1241" t="s">
        <v>12683</v>
      </c>
      <c r="C1241">
        <f>-673.247393788974 -94.6111824179279 -96.9347422327503</f>
        <v>-864.79331843965224</v>
      </c>
      <c r="D1241">
        <f>-693.072077213276 -109.120979645284 -210.12773589927</f>
        <v>-1012.32079275783</v>
      </c>
      <c r="E1241">
        <f>-704.461349732684 -115.09510880627 -307.909334644087</f>
        <v>-1127.4657931830409</v>
      </c>
      <c r="F1241">
        <f>-712.978991368874 -118.196772973486 -396.543985501096</f>
        <v>-1227.7197498434559</v>
      </c>
      <c r="G1241">
        <f>-719.337015243868 -118.917017019606 -485.41059031038</f>
        <v>-1323.6646225738539</v>
      </c>
      <c r="H1241">
        <f>-725.910055015811 -117.46653634918 -609.811169175986</f>
        <v>-1453.1877605409773</v>
      </c>
      <c r="I1241">
        <f>-701.913202796858 -105.579949485464 -688.474309436341</f>
        <v>-1495.9674617186629</v>
      </c>
      <c r="J1241">
        <f>-731.448178164225 -91.7202415705754 -554.315552521606</f>
        <v>-1377.4839722564066</v>
      </c>
      <c r="K1241" t="s">
        <v>12684</v>
      </c>
      <c r="L1241" t="s">
        <v>12685</v>
      </c>
      <c r="M1241" t="s">
        <v>12686</v>
      </c>
      <c r="N1241">
        <f>-714.586808983409 -144.489459749345 -555.821887430156</f>
        <v>-1414.89815616291</v>
      </c>
      <c r="O1241">
        <f>-673.462026298821 -273.115424393253 -530.131874013123</f>
        <v>-1476.7093247051971</v>
      </c>
      <c r="P1241">
        <f>-642.566158983816 -343.310605462633 -246.038155114544</f>
        <v>-1231.914919560993</v>
      </c>
      <c r="Q1241">
        <f>-509.047507836721 -161.476376482521 -330.654468633664</f>
        <v>-1001.178352952906</v>
      </c>
      <c r="R1241">
        <f>-711.832957318215 -6.94712880802058 -102.308333420621</f>
        <v>-821.08841954685658</v>
      </c>
      <c r="S1241" t="s">
        <v>12687</v>
      </c>
      <c r="T1241" t="s">
        <v>12688</v>
      </c>
      <c r="U1241" t="s">
        <v>12689</v>
      </c>
      <c r="V1241">
        <f>-634.780039896866 -182.526661916471 -93.5889254680875</f>
        <v>-910.89562728142448</v>
      </c>
      <c r="W1241" t="s">
        <v>12690</v>
      </c>
      <c r="X1241" t="s">
        <v>12691</v>
      </c>
      <c r="Y1241" t="s">
        <v>12692</v>
      </c>
    </row>
    <row r="1242" spans="1:25" x14ac:dyDescent="0.3">
      <c r="A1242">
        <v>62050</v>
      </c>
      <c r="B1242" t="s">
        <v>12693</v>
      </c>
      <c r="C1242">
        <f>-673.456570416913 -94.8799523567066 -96.9044995401464</f>
        <v>-865.24102231376594</v>
      </c>
      <c r="D1242">
        <f>-693.257326305086 -109.378322825947 -210.103251130526</f>
        <v>-1012.738900261559</v>
      </c>
      <c r="E1242">
        <f>-704.624164616732 -115.283958089379 -307.891704391088</f>
        <v>-1127.7998270971989</v>
      </c>
      <c r="F1242">
        <f>-713.119368135063 -118.300751718659 -396.531288248379</f>
        <v>-1227.9514081021011</v>
      </c>
      <c r="G1242">
        <f>-719.452254645805 -118.912645862143 -485.400561211595</f>
        <v>-1323.7654617195431</v>
      </c>
      <c r="H1242">
        <f>-725.987378085412 -117.286781764026 -609.801003949868</f>
        <v>-1453.0751637993062</v>
      </c>
      <c r="I1242">
        <f>-702.241730111358 -105.487046775576 -688.553312634302</f>
        <v>-1496.282089521236</v>
      </c>
      <c r="J1242">
        <f>-731.564403903449 -91.6256672660504 -554.269692675182</f>
        <v>-1377.4597638446814</v>
      </c>
      <c r="K1242" t="s">
        <v>12694</v>
      </c>
      <c r="L1242" t="s">
        <v>12695</v>
      </c>
      <c r="M1242" t="s">
        <v>12696</v>
      </c>
      <c r="N1242">
        <f>-714.658784127824 -144.378740448427 -555.847366842501</f>
        <v>-1414.884891418752</v>
      </c>
      <c r="O1242">
        <f>-673.377457813211 -272.996538601796 -530.325768113816</f>
        <v>-1476.6997645288229</v>
      </c>
      <c r="P1242">
        <f>-642.25863081164 -343.622921476013 -246.36322394216</f>
        <v>-1232.2447762298129</v>
      </c>
      <c r="Q1242">
        <f>-508.768863964058 -161.452351131956 -330.299103444568</f>
        <v>-1000.520318540582</v>
      </c>
      <c r="R1242">
        <f>-712.12544739936 -7.27248217177589 -102.270316060097</f>
        <v>-821.66824563123294</v>
      </c>
      <c r="S1242" t="s">
        <v>12697</v>
      </c>
      <c r="T1242" t="s">
        <v>12698</v>
      </c>
      <c r="U1242" t="s">
        <v>12699</v>
      </c>
      <c r="V1242">
        <f>-634.913725796664 -182.734357549565 -93.5832158208151</f>
        <v>-911.23129916704409</v>
      </c>
      <c r="W1242" t="s">
        <v>12700</v>
      </c>
      <c r="X1242" t="s">
        <v>12701</v>
      </c>
      <c r="Y1242" t="s">
        <v>12702</v>
      </c>
    </row>
    <row r="1243" spans="1:25" x14ac:dyDescent="0.3">
      <c r="A1243">
        <v>62100</v>
      </c>
      <c r="B1243" t="s">
        <v>12703</v>
      </c>
      <c r="C1243">
        <f>-673.883370468133 -95.4789123582884 -96.8367825406348</f>
        <v>-866.19906536705616</v>
      </c>
      <c r="D1243">
        <f>-693.624592611961 -109.910763139732 -210.054327653146</f>
        <v>-1013.589683404839</v>
      </c>
      <c r="E1243">
        <f>-704.926789874326 -115.650323665688 -307.860090187355</f>
        <v>-1128.437203727369</v>
      </c>
      <c r="F1243">
        <f>-713.356172738172 -118.473910204092 -396.512433107407</f>
        <v>-1228.3425160496708</v>
      </c>
      <c r="G1243">
        <f>-719.615305740903 -118.849036577474 -485.388230507401</f>
        <v>-1323.8525728257778</v>
      </c>
      <c r="H1243">
        <f>-726.037954083871 -116.846159861851 -609.789100273814</f>
        <v>-1452.673214219536</v>
      </c>
      <c r="I1243">
        <f>-702.784313617357 -105.252315291777 -688.718590407978</f>
        <v>-1496.7552193171121</v>
      </c>
      <c r="J1243">
        <f>-731.693699637038 -91.3627368337961 -554.184111763897</f>
        <v>-1377.2405482347312</v>
      </c>
      <c r="K1243" t="s">
        <v>12704</v>
      </c>
      <c r="L1243" t="s">
        <v>12705</v>
      </c>
      <c r="M1243" t="s">
        <v>12706</v>
      </c>
      <c r="N1243">
        <f>-714.729697385502 -144.092271808585 -555.908696527983</f>
        <v>-1414.7306657220702</v>
      </c>
      <c r="O1243">
        <f>-673.215251902249 -272.703084519056 -530.753038343368</f>
        <v>-1476.6713747646729</v>
      </c>
      <c r="P1243">
        <f>-641.678566033492 -344.152309986267 -247.042443495109</f>
        <v>-1232.8733195148679</v>
      </c>
      <c r="Q1243">
        <f>-508.628347775677 -160.980911518954 -329.484934791332</f>
        <v>-999.09419408596295</v>
      </c>
      <c r="R1243">
        <f>-712.581151539888 -7.88986235501329 -102.161919250737</f>
        <v>-822.63293314563828</v>
      </c>
      <c r="S1243" t="s">
        <v>12707</v>
      </c>
      <c r="T1243" t="s">
        <v>12708</v>
      </c>
      <c r="U1243" t="s">
        <v>12709</v>
      </c>
      <c r="V1243">
        <f>-635.329990430469 -183.312195392181 -93.5518762200923</f>
        <v>-912.1940620427423</v>
      </c>
      <c r="W1243" t="s">
        <v>12710</v>
      </c>
      <c r="X1243" t="s">
        <v>12711</v>
      </c>
      <c r="Y1243" t="s">
        <v>12712</v>
      </c>
    </row>
    <row r="1244" spans="1:25" x14ac:dyDescent="0.3">
      <c r="A1244">
        <v>62150</v>
      </c>
      <c r="B1244" t="s">
        <v>12713</v>
      </c>
      <c r="C1244">
        <f>-674.137598007488 -95.7119301903344 -96.8046777242897</f>
        <v>-866.65420592211217</v>
      </c>
      <c r="D1244">
        <f>-693.828287832863 -110.078154410767 -210.039458212009</f>
        <v>-1013.9459004556389</v>
      </c>
      <c r="E1244">
        <f>-705.077519246305 -115.744780122181 -307.855694148969</f>
        <v>-1128.677993517455</v>
      </c>
      <c r="F1244">
        <f>-713.455067376628 -118.495589665522 -396.515046022624</f>
        <v>-1228.4657030647741</v>
      </c>
      <c r="G1244">
        <f>-719.658383430497 -118.791021237621 -485.39510587464</f>
        <v>-1323.8445105427579</v>
      </c>
      <c r="H1244">
        <f>-725.999045940278 -116.670151487781 -609.798177646066</f>
        <v>-1452.4673750741251</v>
      </c>
      <c r="I1244">
        <f>-702.952974852066 -105.207912974829 -688.807738236009</f>
        <v>-1496.9686260629039</v>
      </c>
      <c r="J1244">
        <f>-731.691008513488 -91.2393421220552 -554.17267857771</f>
        <v>-1377.1030292132532</v>
      </c>
      <c r="K1244" t="s">
        <v>12714</v>
      </c>
      <c r="L1244" t="s">
        <v>12715</v>
      </c>
      <c r="M1244" t="s">
        <v>12716</v>
      </c>
      <c r="N1244">
        <f>-714.726790775599 -143.967536950462 -555.936401558216</f>
        <v>-1414.6307292842771</v>
      </c>
      <c r="O1244">
        <f>-673.183612946925 -272.588381215066 -530.87399359794</f>
        <v>-1476.6459877599309</v>
      </c>
      <c r="P1244">
        <f>-641.480930818686 -344.37468889567 -247.267145577055</f>
        <v>-1233.122765291411</v>
      </c>
      <c r="Q1244">
        <f>-508.699240744608 -160.68911929567 -328.995113757015</f>
        <v>-998.38347379729305</v>
      </c>
      <c r="R1244">
        <f>-712.777417481064 -8.091698538738 -102.105598933061</f>
        <v>-822.974714952863</v>
      </c>
      <c r="S1244" t="s">
        <v>12717</v>
      </c>
      <c r="T1244" t="s">
        <v>12718</v>
      </c>
      <c r="U1244" t="s">
        <v>12719</v>
      </c>
      <c r="V1244">
        <f>-635.651454158082 -183.585108024746 -93.5377686967415</f>
        <v>-912.77433087956945</v>
      </c>
      <c r="W1244" t="s">
        <v>12720</v>
      </c>
      <c r="X1244" t="s">
        <v>12721</v>
      </c>
      <c r="Y1244" t="s">
        <v>12722</v>
      </c>
    </row>
    <row r="1245" spans="1:25" x14ac:dyDescent="0.3">
      <c r="A1245">
        <v>62200</v>
      </c>
      <c r="B1245" t="s">
        <v>12723</v>
      </c>
      <c r="C1245">
        <f>-674.610751356377 -95.941534216546 -96.7127739904226</f>
        <v>-867.26505956334563</v>
      </c>
      <c r="D1245">
        <f>-694.232867720857 -110.161709783623 -209.977830025423</f>
        <v>-1014.3724075299031</v>
      </c>
      <c r="E1245">
        <f>-705.336477414719 -115.701752365443 -307.817883708189</f>
        <v>-1128.856113488351</v>
      </c>
      <c r="F1245">
        <f>-713.548500047575 -118.337048542787 -396.496224787809</f>
        <v>-1228.3817733781709</v>
      </c>
      <c r="G1245">
        <f>-719.552383887652 -118.517048081932 -485.390469768223</f>
        <v>-1323.4599017378071</v>
      </c>
      <c r="H1245">
        <f>-725.578789220012 -116.23479949752 -609.806140636055</f>
        <v>-1451.619729353587</v>
      </c>
      <c r="I1245">
        <f>-702.846115664338 -105.021369158681 -688.942239244355</f>
        <v>-1496.809724067374</v>
      </c>
      <c r="J1245">
        <f>-731.383028090083 -90.8671000013082 -554.163570494226</f>
        <v>-1376.4136985856171</v>
      </c>
      <c r="K1245" t="s">
        <v>12724</v>
      </c>
      <c r="L1245" t="s">
        <v>12725</v>
      </c>
      <c r="M1245" t="s">
        <v>12726</v>
      </c>
      <c r="N1245">
        <f>-714.470521881259 -143.611237265981 -555.950266674383</f>
        <v>-1414.0320258216229</v>
      </c>
      <c r="O1245">
        <f>-673.024465893209 -272.27408321442 -530.935000131475</f>
        <v>-1476.2335492391039</v>
      </c>
      <c r="P1245">
        <f>-641.298359492594 -344.452940045744 -247.430328114095</f>
        <v>-1233.1816276524332</v>
      </c>
      <c r="Q1245">
        <f>-508.901134727367 -160.020017809581 -328.092066610553</f>
        <v>-997.01321914750088</v>
      </c>
      <c r="R1245">
        <f>-713.098013850792 -8.27098140390808 -101.979018227744</f>
        <v>-823.348013482444</v>
      </c>
      <c r="S1245" t="s">
        <v>12727</v>
      </c>
      <c r="T1245" t="s">
        <v>12728</v>
      </c>
      <c r="U1245" t="s">
        <v>12729</v>
      </c>
      <c r="V1245">
        <f>-636.287096252453 -183.825036425468 -93.4991930245446</f>
        <v>-913.61132570246559</v>
      </c>
      <c r="W1245" t="s">
        <v>12730</v>
      </c>
      <c r="X1245" t="s">
        <v>12731</v>
      </c>
      <c r="Y1245" t="s">
        <v>12732</v>
      </c>
    </row>
    <row r="1246" spans="1:25" x14ac:dyDescent="0.3">
      <c r="A1246">
        <v>62250</v>
      </c>
      <c r="B1246" t="s">
        <v>12733</v>
      </c>
      <c r="C1246">
        <f>-674.821420619152 -95.9749637636451 -96.6768614719406</f>
        <v>-867.47324585473768</v>
      </c>
      <c r="D1246">
        <f>-694.427668754174 -110.134555073759 -209.952381477588</f>
        <v>-1014.5146053055209</v>
      </c>
      <c r="E1246">
        <f>-705.446894392014 -115.625367637295 -307.804771699528</f>
        <v>-1128.877033728837</v>
      </c>
      <c r="F1246">
        <f>-713.554349063462 -118.217469359751 -396.493930172898</f>
        <v>-1228.2657485961111</v>
      </c>
      <c r="G1246">
        <f>-719.42534045746 -118.3564507379 -485.396996798835</f>
        <v>-1323.1787879941951</v>
      </c>
      <c r="H1246">
        <f>-725.236272636671 -116.020020416146 -609.82213043446</f>
        <v>-1451.078423487277</v>
      </c>
      <c r="I1246">
        <f>-702.603635732328 -104.92051923688 -689.002901795221</f>
        <v>-1496.5270567644288</v>
      </c>
      <c r="J1246">
        <f>-731.106414324496 -90.6665721821646 -554.179841927831</f>
        <v>-1375.9528284344915</v>
      </c>
      <c r="K1246" t="s">
        <v>12734</v>
      </c>
      <c r="L1246" t="s">
        <v>12735</v>
      </c>
      <c r="M1246" t="s">
        <v>12736</v>
      </c>
      <c r="N1246">
        <f>-714.251890402792 -143.429674586796 -555.95769566193</f>
        <v>-1413.6392606515178</v>
      </c>
      <c r="O1246">
        <f>-672.918831204572 -272.122060408638 -530.912468097618</f>
        <v>-1475.953359710828</v>
      </c>
      <c r="P1246">
        <f>-641.411580689556 -344.323575872189 -247.389210167226</f>
        <v>-1233.1243667289709</v>
      </c>
      <c r="Q1246">
        <f>-508.922942919691 -159.804186328699 -327.702172719873</f>
        <v>-996.42930196826296</v>
      </c>
      <c r="R1246">
        <f>-713.210609543928 -8.27297750876232 -101.928178651268</f>
        <v>-823.41176570395828</v>
      </c>
      <c r="S1246" t="s">
        <v>12737</v>
      </c>
      <c r="T1246" t="s">
        <v>12738</v>
      </c>
      <c r="U1246" t="s">
        <v>12739</v>
      </c>
      <c r="V1246">
        <f>-636.576354567676 -183.89011511114 -93.4861529147323</f>
        <v>-913.95262259354843</v>
      </c>
      <c r="W1246" t="s">
        <v>12740</v>
      </c>
      <c r="X1246" t="s">
        <v>12741</v>
      </c>
      <c r="Y1246" t="s">
        <v>12742</v>
      </c>
    </row>
    <row r="1247" spans="1:25" x14ac:dyDescent="0.3">
      <c r="A1247">
        <v>62300</v>
      </c>
      <c r="B1247" t="s">
        <v>12743</v>
      </c>
      <c r="C1247">
        <f>-675.138117206983 -95.663602885666 -96.6387579554436</f>
        <v>-867.44047804809259</v>
      </c>
      <c r="D1247">
        <f>-694.710180801741 -109.695788820835 -209.935993515174</f>
        <v>-1014.34196313775</v>
      </c>
      <c r="E1247">
        <f>-705.588516381061 -115.114045606424 -307.808151415741</f>
        <v>-1128.510713403226</v>
      </c>
      <c r="F1247">
        <f>-713.524584777211 -117.655727602667 -396.514426081166</f>
        <v>-1227.6947384610439</v>
      </c>
      <c r="G1247">
        <f>-719.180008489367 -117.761158919247 -485.431464540748</f>
        <v>-1322.3726319493619</v>
      </c>
      <c r="H1247">
        <f>-724.643381934877 -115.396617408715 -609.871750438461</f>
        <v>-1449.911749782053</v>
      </c>
      <c r="I1247">
        <f>-702.166579129535 -104.532140206003 -689.12943173114</f>
        <v>-1495.8281510666779</v>
      </c>
      <c r="J1247">
        <f>-730.60145069919 -90.0343411670356 -554.242855147054</f>
        <v>-1374.8786470132795</v>
      </c>
      <c r="K1247" t="s">
        <v>12744</v>
      </c>
      <c r="L1247" t="s">
        <v>12745</v>
      </c>
      <c r="M1247" t="s">
        <v>12746</v>
      </c>
      <c r="N1247">
        <f>-713.876734244933 -142.839860652155 -555.980560323872</f>
        <v>-1412.6971552209602</v>
      </c>
      <c r="O1247">
        <f>-672.827947630363 -271.605235318921 -530.82721681747</f>
        <v>-1475.2603997667541</v>
      </c>
      <c r="P1247">
        <f>-642.033823622451 -343.750561525662 -247.211379827682</f>
        <v>-1232.9957649757951</v>
      </c>
      <c r="Q1247">
        <f>-509.26861632944 -159.177015814407 -326.941283681986</f>
        <v>-995.38691582583306</v>
      </c>
      <c r="R1247">
        <f>-713.368562234946 -7.94070407646996 -101.849031724951</f>
        <v>-823.158298036367</v>
      </c>
      <c r="S1247" t="s">
        <v>12747</v>
      </c>
      <c r="T1247" t="s">
        <v>12748</v>
      </c>
      <c r="U1247" t="s">
        <v>12749</v>
      </c>
      <c r="V1247">
        <f>-637.015241590877 -183.596260264438 -93.4817172845109</f>
        <v>-914.09321913982592</v>
      </c>
      <c r="W1247" t="s">
        <v>12750</v>
      </c>
      <c r="X1247" t="s">
        <v>12751</v>
      </c>
      <c r="Y1247" t="s">
        <v>12752</v>
      </c>
    </row>
    <row r="1248" spans="1:25" x14ac:dyDescent="0.3">
      <c r="A1248">
        <v>62350</v>
      </c>
      <c r="B1248" t="s">
        <v>12753</v>
      </c>
      <c r="C1248">
        <f>-675.247432525551 -95.4257622896548 -96.6194238087027</f>
        <v>-867.29261862390842</v>
      </c>
      <c r="D1248">
        <f>-694.804463261956 -109.398493836231 -209.926638932507</f>
        <v>-1014.129596030694</v>
      </c>
      <c r="E1248">
        <f>-705.625352897218 -114.79009280626 -307.806586521572</f>
        <v>-1128.22203222505</v>
      </c>
      <c r="F1248">
        <f>-713.491928951031 -117.317461693372 -396.519426452248</f>
        <v>-1227.3288170966512</v>
      </c>
      <c r="G1248">
        <f>-719.060006408693 -117.419302253344 -485.441926106847</f>
        <v>-1321.921234768884</v>
      </c>
      <c r="H1248">
        <f>-724.382973293746 -115.061553636519 -609.8884185023</f>
        <v>-1449.3329454325649</v>
      </c>
      <c r="I1248">
        <f>-701.955627307038 -104.295851380552 -689.173727438026</f>
        <v>-1495.4252061256161</v>
      </c>
      <c r="J1248">
        <f>-730.36939365511 -89.6852799421092 -554.269015280695</f>
        <v>-1374.3236888779143</v>
      </c>
      <c r="K1248" t="s">
        <v>12754</v>
      </c>
      <c r="L1248" t="s">
        <v>12755</v>
      </c>
      <c r="M1248" t="s">
        <v>12756</v>
      </c>
      <c r="N1248">
        <f>-713.71194544701 -142.513064514443 -555.982444695477</f>
        <v>-1412.2074546569302</v>
      </c>
      <c r="O1248">
        <f>-672.807653362818 -271.310750947916 -530.769992405089</f>
        <v>-1474.8883967158231</v>
      </c>
      <c r="P1248">
        <f>-642.390934795094 -343.37892053891 -247.093856851961</f>
        <v>-1232.8637121859649</v>
      </c>
      <c r="Q1248">
        <f>-509.345118858186 -158.870081245491 -326.505151641429</f>
        <v>-994.72035174510597</v>
      </c>
      <c r="R1248">
        <f>-713.420526669525 -7.66791336355823 -101.813372327818</f>
        <v>-822.9018123609012</v>
      </c>
      <c r="S1248" t="s">
        <v>12757</v>
      </c>
      <c r="T1248" t="s">
        <v>12758</v>
      </c>
      <c r="U1248" t="s">
        <v>12759</v>
      </c>
      <c r="V1248">
        <f>-637.189724367271 -183.404392737556 -93.488429380456</f>
        <v>-914.08254648528293</v>
      </c>
      <c r="W1248" t="s">
        <v>12760</v>
      </c>
      <c r="X1248" t="s">
        <v>12761</v>
      </c>
      <c r="Y1248" t="s">
        <v>12762</v>
      </c>
    </row>
    <row r="1249" spans="1:25" x14ac:dyDescent="0.3">
      <c r="A1249">
        <v>62400</v>
      </c>
      <c r="B1249" t="s">
        <v>12763</v>
      </c>
      <c r="C1249">
        <f>-675.480807174688 -94.9512802896277 -96.6152159499992</f>
        <v>-867.04730341431491</v>
      </c>
      <c r="D1249">
        <f>-694.98308115123 -108.818697299217 -209.944814910783</f>
        <v>-1013.74659336123</v>
      </c>
      <c r="E1249">
        <f>-705.682476927262 -114.178002748926 -307.839815007654</f>
        <v>-1127.700294683842</v>
      </c>
      <c r="F1249">
        <f>-713.409844762877 -116.700190545761 -396.565098751179</f>
        <v>-1226.6751340598171</v>
      </c>
      <c r="G1249">
        <f>-718.808759334721 -116.822879787736 -485.498132022787</f>
        <v>-1321.1297711452439</v>
      </c>
      <c r="H1249">
        <f>-723.86389267844 -114.52207934179 -609.956747115152</f>
        <v>-1448.3427191353821</v>
      </c>
      <c r="I1249">
        <f>-701.523444031958 -103.93444801891 -689.290509327578</f>
        <v>-1494.748401378446</v>
      </c>
      <c r="J1249">
        <f>-729.904839578054 -89.0998420804021 -554.364295796277</f>
        <v>-1373.3689774547331</v>
      </c>
      <c r="K1249" t="s">
        <v>12764</v>
      </c>
      <c r="L1249" t="s">
        <v>12765</v>
      </c>
      <c r="M1249" t="s">
        <v>12766</v>
      </c>
      <c r="N1249">
        <f>-713.373995099961 -141.969311881165 -556.013025872325</f>
        <v>-1411.356332853451</v>
      </c>
      <c r="O1249">
        <f>-672.774875829046 -270.836187892699 -530.644780336297</f>
        <v>-1474.2558440580419</v>
      </c>
      <c r="P1249">
        <f>-642.951638897813 -342.925843163572 -246.910972565044</f>
        <v>-1232.788454626429</v>
      </c>
      <c r="Q1249">
        <f>-509.31287698824 -158.5800537643 -325.703053016984</f>
        <v>-993.59598376952397</v>
      </c>
      <c r="R1249">
        <f>-713.590142228057 -7.05848710097325 -101.775344323868</f>
        <v>-822.42397365289821</v>
      </c>
      <c r="S1249" t="s">
        <v>12767</v>
      </c>
      <c r="T1249" t="s">
        <v>12768</v>
      </c>
      <c r="U1249" t="s">
        <v>12769</v>
      </c>
      <c r="V1249">
        <f>-637.463354699313 -183.131638096537 -93.5044035899022</f>
        <v>-914.09939638575213</v>
      </c>
      <c r="W1249" t="s">
        <v>12770</v>
      </c>
      <c r="X1249" t="s">
        <v>12771</v>
      </c>
      <c r="Y1249" t="s">
        <v>12772</v>
      </c>
    </row>
    <row r="1250" spans="1:25" x14ac:dyDescent="0.3">
      <c r="A1250">
        <v>62450</v>
      </c>
      <c r="B1250" t="s">
        <v>12773</v>
      </c>
      <c r="C1250">
        <f>-675.617271892755 -94.7212713778692 -96.6136189362866</f>
        <v>-866.95216220691077</v>
      </c>
      <c r="D1250">
        <f>-695.085655264296 -108.529982266654 -209.956098482141</f>
        <v>-1013.5717360130909</v>
      </c>
      <c r="E1250">
        <f>-705.723014294844 -113.874259716908 -307.858886953181</f>
        <v>-1127.4561609649331</v>
      </c>
      <c r="F1250">
        <f>-713.381418469703 -116.39727900489 -396.589981231924</f>
        <v>-1226.3686787065171</v>
      </c>
      <c r="G1250">
        <f>-718.698620847196 -116.535801470465 -485.527926829459</f>
        <v>-1320.7623491471199</v>
      </c>
      <c r="H1250">
        <f>-723.626616498678 -114.273468542635 -609.992488974204</f>
        <v>-1447.8925740155169</v>
      </c>
      <c r="I1250">
        <f>-701.344851528857 -103.759835252002 -689.352450743311</f>
        <v>-1494.4571375241701</v>
      </c>
      <c r="J1250">
        <f>-729.698358341818 -88.8257230113982 -554.414856961669</f>
        <v>-1372.938938314885</v>
      </c>
      <c r="K1250" t="s">
        <v>12774</v>
      </c>
      <c r="L1250" t="s">
        <v>12775</v>
      </c>
      <c r="M1250" t="s">
        <v>12776</v>
      </c>
      <c r="N1250">
        <f>-713.217813520955 -141.712115331978 -556.028671776329</f>
        <v>-1410.958600629262</v>
      </c>
      <c r="O1250">
        <f>-672.766287013457 -270.606634789572 -530.590326856073</f>
        <v>-1473.9632486591022</v>
      </c>
      <c r="P1250">
        <f>-643.241961131274 -342.707688482427 -246.828202044103</f>
        <v>-1232.7778516578039</v>
      </c>
      <c r="Q1250">
        <f>-509.135302900689 -158.593128777812 -325.365365287012</f>
        <v>-993.09379696551309</v>
      </c>
      <c r="R1250">
        <f>-713.717805338301 -6.71158996504187 -101.757970279999</f>
        <v>-822.18736558334183</v>
      </c>
      <c r="S1250" t="s">
        <v>12777</v>
      </c>
      <c r="T1250" t="s">
        <v>12778</v>
      </c>
      <c r="U1250" t="s">
        <v>12779</v>
      </c>
      <c r="V1250">
        <f>-637.651260558791 -182.983684363215 -93.5189825666791</f>
        <v>-914.15392748868521</v>
      </c>
      <c r="W1250" t="s">
        <v>12780</v>
      </c>
      <c r="X1250" t="s">
        <v>12781</v>
      </c>
      <c r="Y1250" t="s">
        <v>12782</v>
      </c>
    </row>
    <row r="1251" spans="1:25" x14ac:dyDescent="0.3">
      <c r="A1251">
        <v>62500</v>
      </c>
      <c r="B1251" t="s">
        <v>12783</v>
      </c>
      <c r="C1251">
        <f>-675.850908309652 -94.0275298370727 -96.59502228281</f>
        <v>-866.47346042953473</v>
      </c>
      <c r="D1251">
        <f>-695.261639009964 -107.740154352753 -209.95908957975</f>
        <v>-1012.9608829424672</v>
      </c>
      <c r="E1251">
        <f>-705.765184623595 -113.043967088209 -307.878415779488</f>
        <v>-1126.6875674912922</v>
      </c>
      <c r="F1251">
        <f>-713.269245483195 -115.547657617628 -396.623439010494</f>
        <v>-1225.440342111317</v>
      </c>
      <c r="G1251">
        <f>-718.398591478117 -115.685968057295 -485.572352473565</f>
        <v>-1319.6569120089771</v>
      </c>
      <c r="H1251">
        <f>-723.028914371532 -113.444295895392 -610.048644385047</f>
        <v>-1446.5218546519709</v>
      </c>
      <c r="I1251">
        <f>-700.91118708768 -103.081831838558 -689.474447490019</f>
        <v>-1493.4674664162569</v>
      </c>
      <c r="J1251">
        <f>-729.177316897934 -87.9699119901065 -554.491709655215</f>
        <v>-1371.6389385432556</v>
      </c>
      <c r="K1251" t="s">
        <v>12784</v>
      </c>
      <c r="L1251" t="s">
        <v>12785</v>
      </c>
      <c r="M1251" t="s">
        <v>12786</v>
      </c>
      <c r="N1251">
        <f>-712.80533515048 -140.891451271681 -556.053833245844</f>
        <v>-1409.7506196680051</v>
      </c>
      <c r="O1251">
        <f>-672.698631075815 -269.870257612642 -530.488119811652</f>
        <v>-1473.0570085001091</v>
      </c>
      <c r="P1251">
        <f>-643.637756944026 -342.039513240212 -246.695551227313</f>
        <v>-1232.3728214115511</v>
      </c>
      <c r="Q1251">
        <f>-508.420362559181 -158.49808682537 -324.668132986463</f>
        <v>-991.58658237101395</v>
      </c>
      <c r="R1251">
        <f>-713.863455204863 -5.89987031144574 -101.711728382107</f>
        <v>-821.47505389841581</v>
      </c>
      <c r="S1251" t="s">
        <v>12787</v>
      </c>
      <c r="T1251" t="s">
        <v>12788</v>
      </c>
      <c r="U1251" t="s">
        <v>12789</v>
      </c>
      <c r="V1251">
        <f>-637.974447177162 -182.340288835374 -93.537813706214</f>
        <v>-913.85254971875008</v>
      </c>
      <c r="W1251" t="s">
        <v>12790</v>
      </c>
      <c r="X1251" t="s">
        <v>12791</v>
      </c>
      <c r="Y1251" t="s">
        <v>12792</v>
      </c>
    </row>
    <row r="1252" spans="1:25" x14ac:dyDescent="0.3">
      <c r="A1252">
        <v>62550</v>
      </c>
      <c r="B1252" t="s">
        <v>12793</v>
      </c>
      <c r="C1252">
        <f>-675.94690546783 -93.6036000367558 -96.5839341544312</f>
        <v>-866.13443965901695</v>
      </c>
      <c r="D1252">
        <f>-695.324737971188 -107.261451593024 -209.96026261746</f>
        <v>-1012.5464521816721</v>
      </c>
      <c r="E1252">
        <f>-705.753767610004 -112.528113021345 -307.889697318088</f>
        <v>-1126.1715779494371</v>
      </c>
      <c r="F1252">
        <f>-713.172026858497 -115.002719093532 -396.642582845313</f>
        <v>-1224.817328797342</v>
      </c>
      <c r="G1252">
        <f>-718.197073341325 -115.116573009071 -485.597448365889</f>
        <v>-1318.9110947162849</v>
      </c>
      <c r="H1252">
        <f>-722.662188808734 -112.846735307732 -610.079345349319</f>
        <v>-1445.5882694657851</v>
      </c>
      <c r="I1252">
        <f>-700.64117370596 -102.559524777983 -689.541717942596</f>
        <v>-1492.742416426539</v>
      </c>
      <c r="J1252">
        <f>-728.855520268791 -87.3761506130409 -554.525635190389</f>
        <v>-1370.7573060722209</v>
      </c>
      <c r="K1252" t="s">
        <v>12794</v>
      </c>
      <c r="L1252" t="s">
        <v>12795</v>
      </c>
      <c r="M1252" t="s">
        <v>12796</v>
      </c>
      <c r="N1252">
        <f>-712.538949976373 -140.315123564679 -556.07635556727</f>
        <v>-1408.930429108322</v>
      </c>
      <c r="O1252">
        <f>-672.621389803839 -269.351771721761 -530.480383958866</f>
        <v>-1472.4535454844658</v>
      </c>
      <c r="P1252">
        <f>-643.754890514829 -341.6281179385 -246.695147936759</f>
        <v>-1232.078156390088</v>
      </c>
      <c r="Q1252">
        <f>-507.898381292631 -158.375425048908 -324.23424193372</f>
        <v>-990.50804827525894</v>
      </c>
      <c r="R1252">
        <f>-713.909085620478 -5.43762520202768 -101.694416329236</f>
        <v>-821.04112715174165</v>
      </c>
      <c r="S1252" t="s">
        <v>12797</v>
      </c>
      <c r="T1252" t="s">
        <v>12798</v>
      </c>
      <c r="U1252" t="s">
        <v>12799</v>
      </c>
      <c r="V1252">
        <f>-638.118883179792 -181.957721643579 -93.5472376721611</f>
        <v>-913.62384249553213</v>
      </c>
      <c r="W1252" t="s">
        <v>12800</v>
      </c>
      <c r="X1252" t="s">
        <v>12801</v>
      </c>
      <c r="Y1252" t="s">
        <v>12802</v>
      </c>
    </row>
    <row r="1253" spans="1:25" x14ac:dyDescent="0.3">
      <c r="A1253">
        <v>62600</v>
      </c>
      <c r="B1253" t="s">
        <v>12803</v>
      </c>
      <c r="C1253">
        <f>-676.061395582816 -92.8046867396884 -96.5853248985532</f>
        <v>-865.45140722105748</v>
      </c>
      <c r="D1253">
        <f>-695.363582185516 -106.338361732903 -209.989381740017</f>
        <v>-1011.691325658436</v>
      </c>
      <c r="E1253">
        <f>-705.642651146974 -111.509231956602 -307.939712659539</f>
        <v>-1125.091595763115</v>
      </c>
      <c r="F1253">
        <f>-712.891504597207 -113.901161936283 -396.708844270053</f>
        <v>-1223.5015108035429</v>
      </c>
      <c r="G1253">
        <f>-717.713913118223 -113.937875305354 -485.675117257589</f>
        <v>-1317.326905681166</v>
      </c>
      <c r="H1253">
        <f>-721.860579710936 -111.565767585719 -610.165995387064</f>
        <v>-1443.5923426837189</v>
      </c>
      <c r="I1253">
        <f>-700.048004006296 -101.417801689074 -689.703823039253</f>
        <v>-1491.1696287346231</v>
      </c>
      <c r="J1253">
        <f>-728.146616718311 -86.1255401618839 -554.608915684276</f>
        <v>-1368.8810725644707</v>
      </c>
      <c r="K1253" t="s">
        <v>12804</v>
      </c>
      <c r="L1253" t="s">
        <v>12805</v>
      </c>
      <c r="M1253" t="s">
        <v>12806</v>
      </c>
      <c r="N1253">
        <f>-711.925041666227 -139.093721857924 -556.158535989833</f>
        <v>-1407.1772995139841</v>
      </c>
      <c r="O1253">
        <f>-672.362828633491 -268.216469798327 -530.485244669892</f>
        <v>-1471.0645431017101</v>
      </c>
      <c r="P1253">
        <f>-643.947273604124 -340.889554998999 -246.755816733898</f>
        <v>-1231.5926453370209</v>
      </c>
      <c r="Q1253">
        <f>-507.024776194601 -157.959864766149 -323.174793450278</f>
        <v>-988.15943441102797</v>
      </c>
      <c r="R1253">
        <f>-713.840173110379 -4.58831160102409 -101.652801908072</f>
        <v>-820.08128661947512</v>
      </c>
      <c r="S1253" t="s">
        <v>12807</v>
      </c>
      <c r="T1253" t="s">
        <v>12808</v>
      </c>
      <c r="U1253" t="s">
        <v>12809</v>
      </c>
      <c r="V1253">
        <f>-638.398978767399 -181.24771490111 -93.5660239357557</f>
        <v>-913.21271760426464</v>
      </c>
      <c r="W1253" t="s">
        <v>12810</v>
      </c>
      <c r="X1253" t="s">
        <v>12811</v>
      </c>
      <c r="Y1253" t="s">
        <v>12812</v>
      </c>
    </row>
    <row r="1254" spans="1:25" x14ac:dyDescent="0.3">
      <c r="A1254">
        <v>62650</v>
      </c>
      <c r="B1254" t="s">
        <v>12813</v>
      </c>
      <c r="C1254">
        <f>-676.101485091996 -92.4794159906792 -96.57463710502</f>
        <v>-865.15553818769513</v>
      </c>
      <c r="D1254">
        <f>-695.351300628121 -105.951427359559 -209.994980469388</f>
        <v>-1011.297708457068</v>
      </c>
      <c r="E1254">
        <f>-705.541230227961 -111.07353258174 -307.957191832372</f>
        <v>-1124.571954642073</v>
      </c>
      <c r="F1254">
        <f>-712.692396290358 -113.422878819243 -396.735419329582</f>
        <v>-1222.8506944391829</v>
      </c>
      <c r="G1254">
        <f>-717.399538857568 -113.418936878977 -485.707812111585</f>
        <v>-1316.5262878481299</v>
      </c>
      <c r="H1254">
        <f>-721.367515662794 -110.992502549256 -610.203450171067</f>
        <v>-1442.5634683831167</v>
      </c>
      <c r="I1254">
        <f>-699.656476127587 -100.902450569254 -689.776391511374</f>
        <v>-1490.3353182082151</v>
      </c>
      <c r="J1254">
        <f>-727.712012691606 -85.5699280209317 -554.644996414478</f>
        <v>-1367.9269371270157</v>
      </c>
      <c r="K1254" t="s">
        <v>12814</v>
      </c>
      <c r="L1254" t="s">
        <v>12815</v>
      </c>
      <c r="M1254" t="s">
        <v>12816</v>
      </c>
      <c r="N1254">
        <f>-711.530806620125 -138.550462496859 -556.19327111262</f>
        <v>-1406.2745402296041</v>
      </c>
      <c r="O1254">
        <f>-672.123274738104 -267.712291846094 -530.485030395125</f>
        <v>-1470.320596979323</v>
      </c>
      <c r="P1254">
        <f>-644.070749029639 -340.563088259 -246.764970122037</f>
        <v>-1231.398807410676</v>
      </c>
      <c r="Q1254">
        <f>-506.702135022975 -157.666707665459 -322.459648266207</f>
        <v>-986.82849095464098</v>
      </c>
      <c r="R1254">
        <f>-713.792687415058 -4.20352125824456 -101.626100779242</f>
        <v>-819.62230945254464</v>
      </c>
      <c r="S1254" t="s">
        <v>12817</v>
      </c>
      <c r="T1254" t="s">
        <v>12818</v>
      </c>
      <c r="U1254" t="s">
        <v>12819</v>
      </c>
      <c r="V1254">
        <f>-638.546925883784 -180.995080266787 -93.5690376546909</f>
        <v>-913.11104380526183</v>
      </c>
      <c r="W1254" t="s">
        <v>12820</v>
      </c>
      <c r="X1254" t="s">
        <v>12821</v>
      </c>
      <c r="Y1254" t="s">
        <v>12822</v>
      </c>
    </row>
    <row r="1255" spans="1:25" x14ac:dyDescent="0.3">
      <c r="A1255">
        <v>62700</v>
      </c>
      <c r="B1255" t="s">
        <v>12823</v>
      </c>
      <c r="C1255">
        <f>-675.98796219007 -91.5843922517336 -96.5683808269058</f>
        <v>-864.14073526870936</v>
      </c>
      <c r="D1255">
        <f>-695.118972782556 -104.950567230302 -210.021300545523</f>
        <v>-1010.090840558381</v>
      </c>
      <c r="E1255">
        <f>-705.103332038932 -109.989959348015 -308.00896434955</f>
        <v>-1123.102255736497</v>
      </c>
      <c r="F1255">
        <f>-712.027893751616 -112.267633715723 -396.807122850445</f>
        <v>-1221.1026503177841</v>
      </c>
      <c r="G1255">
        <f>-716.467795485802 -112.196418596691 -485.793183962007</f>
        <v>-1314.4573980445</v>
      </c>
      <c r="H1255">
        <f>-720.019555817899 -109.681148035735 -610.299669649861</f>
        <v>-1440.000373503495</v>
      </c>
      <c r="I1255">
        <f>-698.443773421832 -99.6505419873013 -689.91689438264</f>
        <v>-1488.0112097917731</v>
      </c>
      <c r="J1255">
        <f>-726.520371718252 -84.289248355374 -554.745145919777</f>
        <v>-1365.554765993403</v>
      </c>
      <c r="K1255" t="s">
        <v>12824</v>
      </c>
      <c r="L1255" t="s">
        <v>12825</v>
      </c>
      <c r="M1255" t="s">
        <v>12826</v>
      </c>
      <c r="N1255">
        <f>-710.392846419006 -137.286608238705 -556.275983669606</f>
        <v>-1403.9554383273171</v>
      </c>
      <c r="O1255">
        <f>-671.216341919264 -266.502209327157 -530.467699175803</f>
        <v>-1468.186250422224</v>
      </c>
      <c r="P1255">
        <f>-643.92132172187 -339.462796759131 -246.702117265601</f>
        <v>-1230.0862357466019</v>
      </c>
      <c r="Q1255">
        <f>-505.586946761903 -156.729938929025 -321.020122219968</f>
        <v>-983.33700791089598</v>
      </c>
      <c r="R1255">
        <f>-713.529579579804 -3.33406583611009 -101.606120016717</f>
        <v>-818.46976543263111</v>
      </c>
      <c r="S1255" t="s">
        <v>12827</v>
      </c>
      <c r="T1255" t="s">
        <v>12828</v>
      </c>
      <c r="U1255" t="s">
        <v>12829</v>
      </c>
      <c r="V1255">
        <f>-638.587577904545 -180.028306193973 -93.6049636410837</f>
        <v>-912.22084773960171</v>
      </c>
      <c r="W1255" t="s">
        <v>12830</v>
      </c>
      <c r="X1255" t="s">
        <v>12831</v>
      </c>
      <c r="Y1255" t="s">
        <v>12832</v>
      </c>
    </row>
    <row r="1256" spans="1:25" x14ac:dyDescent="0.3">
      <c r="A1256">
        <v>62750</v>
      </c>
      <c r="B1256" t="s">
        <v>12833</v>
      </c>
      <c r="C1256">
        <f>-675.837822819615 -90.9881172755388 -96.5848845654016</f>
        <v>-863.41082466055536</v>
      </c>
      <c r="D1256">
        <f>-694.901500184994 -104.299572621544 -210.05554373418</f>
        <v>-1009.256616540718</v>
      </c>
      <c r="E1256">
        <f>-704.789833294786 -109.308426394773 -308.054517126615</f>
        <v>-1122.1527768161741</v>
      </c>
      <c r="F1256">
        <f>-711.61229910161 -111.565662497409 -396.861018395318</f>
        <v>-1220.0389799943371</v>
      </c>
      <c r="G1256">
        <f>-715.935018597101 -111.480979243428 -485.852969105652</f>
        <v>-1313.2689669461811</v>
      </c>
      <c r="H1256">
        <f>-719.307845146172 -108.954977733295 -610.364258613471</f>
        <v>-1438.627081492938</v>
      </c>
      <c r="I1256">
        <f>-697.76810446486 -98.9325844873786 -689.992119401475</f>
        <v>-1486.6928083537136</v>
      </c>
      <c r="J1256">
        <f>-725.878175198547 -83.5646473972722 -554.817164249272</f>
        <v>-1364.2599868450911</v>
      </c>
      <c r="K1256" t="s">
        <v>12834</v>
      </c>
      <c r="L1256" t="s">
        <v>12835</v>
      </c>
      <c r="M1256" t="s">
        <v>12836</v>
      </c>
      <c r="N1256">
        <f>-709.769067940708 -136.568210767547 -556.328757631262</f>
        <v>-1402.6660363395172</v>
      </c>
      <c r="O1256">
        <f>-670.647451293422 -265.791100773852 -530.460341230734</f>
        <v>-1466.898893298008</v>
      </c>
      <c r="P1256">
        <f>-643.646276580286 -338.72944238648 -246.660842830796</f>
        <v>-1229.0365617975622</v>
      </c>
      <c r="Q1256">
        <f>-505.048239712344 -155.870749286075 -320.17398511157</f>
        <v>-981.09297410998909</v>
      </c>
      <c r="R1256">
        <f>-713.354782323172 -2.75311739663152 -101.616879969207</f>
        <v>-817.72477968901057</v>
      </c>
      <c r="S1256" t="s">
        <v>12837</v>
      </c>
      <c r="T1256" t="s">
        <v>12838</v>
      </c>
      <c r="U1256" t="s">
        <v>12839</v>
      </c>
      <c r="V1256">
        <f>-638.438532128072 -179.413047991591 -93.6312394477934</f>
        <v>-911.48281956745632</v>
      </c>
      <c r="W1256" t="s">
        <v>12840</v>
      </c>
      <c r="X1256" t="s">
        <v>12841</v>
      </c>
      <c r="Y1256" t="s">
        <v>12842</v>
      </c>
    </row>
    <row r="1257" spans="1:25" x14ac:dyDescent="0.3">
      <c r="A1257">
        <v>62800</v>
      </c>
      <c r="B1257" t="s">
        <v>12843</v>
      </c>
      <c r="C1257">
        <f>-675.433636216682 -89.8276837690275 -96.6294136697022</f>
        <v>-861.89073365541174</v>
      </c>
      <c r="D1257">
        <f>-694.406234456316 -103.098897393691 -210.120121308841</f>
        <v>-1007.6252531588481</v>
      </c>
      <c r="E1257">
        <f>-704.186020451981 -108.080580783273 -308.131248308617</f>
        <v>-1120.397849543871</v>
      </c>
      <c r="F1257">
        <f>-710.898346632023 -110.316490600563 -396.946883815851</f>
        <v>-1218.1617210484371</v>
      </c>
      <c r="G1257">
        <f>-715.098337502159 -110.214591723334 -485.944398508122</f>
        <v>-1311.2573277336151</v>
      </c>
      <c r="H1257">
        <f>-718.286798625748 -107.669190791557 -610.460160160547</f>
        <v>-1436.4161495778521</v>
      </c>
      <c r="I1257">
        <f>-696.801083324959 -97.6434913069279 -690.102463974523</f>
        <v>-1484.5470386064098</v>
      </c>
      <c r="J1257">
        <f>-724.927949426596 -82.2840653577773 -554.919138942935</f>
        <v>-1362.1311537273082</v>
      </c>
      <c r="K1257" t="s">
        <v>12844</v>
      </c>
      <c r="L1257" t="s">
        <v>12845</v>
      </c>
      <c r="M1257" t="s">
        <v>12846</v>
      </c>
      <c r="N1257">
        <f>-708.839516259148 -135.294434862967 -556.414815485624</f>
        <v>-1400.548766607739</v>
      </c>
      <c r="O1257">
        <f>-669.755227176851 -264.504064387846 -530.451949898442</f>
        <v>-1464.7112414631388</v>
      </c>
      <c r="P1257">
        <f>-642.958333442879 -337.228844594194 -246.578440035979</f>
        <v>-1226.7656180730521</v>
      </c>
      <c r="Q1257">
        <f>-503.639272289849 -154.220349977569 -318.334389497156</f>
        <v>-976.19401176457404</v>
      </c>
      <c r="R1257">
        <f>-712.951101387371 -1.64425403942619 -101.659643738469</f>
        <v>-816.2549991652661</v>
      </c>
      <c r="S1257" t="s">
        <v>12847</v>
      </c>
      <c r="T1257" t="s">
        <v>12848</v>
      </c>
      <c r="U1257" t="s">
        <v>12849</v>
      </c>
      <c r="V1257">
        <f>-637.991218189073 -178.254862667248 -93.6978081703439</f>
        <v>-909.94388902666492</v>
      </c>
      <c r="W1257" t="s">
        <v>12850</v>
      </c>
      <c r="X1257" t="s">
        <v>12851</v>
      </c>
      <c r="Y1257" t="s">
        <v>12852</v>
      </c>
    </row>
    <row r="1258" spans="1:25" x14ac:dyDescent="0.3">
      <c r="A1258">
        <v>62850</v>
      </c>
      <c r="B1258" t="s">
        <v>12853</v>
      </c>
      <c r="C1258">
        <f>-675.154067731692 -89.2935773545441 -96.6660887634349</f>
        <v>-861.11373384967101</v>
      </c>
      <c r="D1258">
        <f>-694.10861517845 -102.569988621498 -210.159316245239</f>
        <v>-1006.8379200451869</v>
      </c>
      <c r="E1258">
        <f>-703.86813845239 -107.549716219551 -308.172543012688</f>
        <v>-1119.5903976846289</v>
      </c>
      <c r="F1258">
        <f>-710.559621282378 -109.781749682116 -396.98973455558</f>
        <v>-1217.3311055200741</v>
      </c>
      <c r="G1258">
        <f>-714.736954194276 -109.673937092353 -485.988429702181</f>
        <v>-1310.3993209888099</v>
      </c>
      <c r="H1258">
        <f>-717.890589774177 -107.117815458503 -610.504814693333</f>
        <v>-1435.5132199260129</v>
      </c>
      <c r="I1258">
        <f>-696.41354165155 -97.0804681402419 -690.147955272048</f>
        <v>-1483.64196506384</v>
      </c>
      <c r="J1258">
        <f>-724.555679398301 -81.7400921877231 -554.963387196542</f>
        <v>-1361.2591587825661</v>
      </c>
      <c r="K1258" t="s">
        <v>12854</v>
      </c>
      <c r="L1258" t="s">
        <v>12855</v>
      </c>
      <c r="M1258" t="s">
        <v>12856</v>
      </c>
      <c r="N1258">
        <f>-708.449892020503 -134.745093700619 -556.459312458271</f>
        <v>-1399.654298179393</v>
      </c>
      <c r="O1258">
        <f>-669.318377643249 -263.938983566619 -530.474900316118</f>
        <v>-1463.7322615259861</v>
      </c>
      <c r="P1258">
        <f>-642.486687513929 -336.57948463358 -246.583037700616</f>
        <v>-1225.6492098481251</v>
      </c>
      <c r="Q1258">
        <f>-502.666792208741 -153.487352119982 -317.141482810254</f>
        <v>-973.29562713897712</v>
      </c>
      <c r="R1258">
        <f>-712.756958170405 -1.10180284339344 -101.691643768094</f>
        <v>-815.55040478189244</v>
      </c>
      <c r="S1258" t="s">
        <v>12857</v>
      </c>
      <c r="T1258" t="s">
        <v>12858</v>
      </c>
      <c r="U1258" t="s">
        <v>12859</v>
      </c>
      <c r="V1258">
        <f>-637.655334965605 -177.723018998494 -93.7359681679975</f>
        <v>-909.1143221320965</v>
      </c>
      <c r="W1258" t="s">
        <v>12860</v>
      </c>
      <c r="X1258" t="s">
        <v>12861</v>
      </c>
      <c r="Y1258" t="s">
        <v>12862</v>
      </c>
    </row>
    <row r="1259" spans="1:25" x14ac:dyDescent="0.3">
      <c r="A1259">
        <v>62900</v>
      </c>
      <c r="B1259" t="s">
        <v>12863</v>
      </c>
      <c r="C1259">
        <f>-674.582871083901 -88.4254736929283 -96.7376021345234</f>
        <v>-859.74594691135269</v>
      </c>
      <c r="D1259">
        <f>-693.554022799121 -101.739655268014 -210.223523760401</f>
        <v>-1005.5172018275359</v>
      </c>
      <c r="E1259">
        <f>-703.306603840211 -106.729537385013 -308.236989574783</f>
        <v>-1118.273130800007</v>
      </c>
      <c r="F1259">
        <f>-709.982000425657 -108.963586563379 -397.055304908669</f>
        <v>-1216.0008918977051</v>
      </c>
      <c r="G1259">
        <f>-714.132694084765 -108.850509157125 -486.055303784919</f>
        <v>-1309.0385070268089</v>
      </c>
      <c r="H1259">
        <f>-717.238031731081 -106.280242455527 -610.572622107511</f>
        <v>-1434.0908962941191</v>
      </c>
      <c r="I1259">
        <f>-695.755315625666 -96.2269154877936 -690.212074497539</f>
        <v>-1482.1943056109985</v>
      </c>
      <c r="J1259">
        <f>-723.958918844816 -80.9192223241189 -555.030181140343</f>
        <v>-1359.908322309278</v>
      </c>
      <c r="K1259" t="s">
        <v>12864</v>
      </c>
      <c r="L1259" t="s">
        <v>12865</v>
      </c>
      <c r="M1259" t="s">
        <v>12866</v>
      </c>
      <c r="N1259">
        <f>-707.784265415047 -133.903312684394 -556.527190522674</f>
        <v>-1398.2147686221151</v>
      </c>
      <c r="O1259">
        <f>-668.435247200284 -263.023697493609 -530.512219685557</f>
        <v>-1461.9711643794501</v>
      </c>
      <c r="P1259">
        <f>-641.422032221534 -335.552016763783 -246.608789987721</f>
        <v>-1223.582838973038</v>
      </c>
      <c r="Q1259">
        <f>-500.623680586134 -152.066794061604 -314.135354672396</f>
        <v>-966.82582932013406</v>
      </c>
      <c r="R1259">
        <f>-712.354563282577 -0.2382630829768 -101.733994042631</f>
        <v>-814.32682040818486</v>
      </c>
      <c r="S1259" t="s">
        <v>12867</v>
      </c>
      <c r="T1259" t="s">
        <v>12868</v>
      </c>
      <c r="U1259" t="s">
        <v>12869</v>
      </c>
      <c r="V1259">
        <f>-636.929335567215 -176.85007482701 -93.8111761811647</f>
        <v>-907.59058657538969</v>
      </c>
      <c r="W1259" t="s">
        <v>12870</v>
      </c>
      <c r="X1259" t="s">
        <v>12871</v>
      </c>
      <c r="Y1259" t="s">
        <v>12872</v>
      </c>
    </row>
    <row r="1260" spans="1:25" x14ac:dyDescent="0.3">
      <c r="A1260">
        <v>62950</v>
      </c>
      <c r="B1260" t="s">
        <v>12873</v>
      </c>
      <c r="C1260">
        <f>-674.255698561623 -88.0289395709863 -96.7652513185856</f>
        <v>-859.04988945119487</v>
      </c>
      <c r="D1260">
        <f>-693.235975512954 -101.395624750382 -210.243524389884</f>
        <v>-1004.87512465322</v>
      </c>
      <c r="E1260">
        <f>-702.988695496708 -106.397992708432 -308.256313998856</f>
        <v>-1117.643002203996</v>
      </c>
      <c r="F1260">
        <f>-709.660684783489 -108.63104157261 -397.074894993241</f>
        <v>-1215.36662134934</v>
      </c>
      <c r="G1260">
        <f>-713.803873534301 -108.504368266016 -486.075243653206</f>
        <v>-1308.383485453523</v>
      </c>
      <c r="H1260">
        <f>-716.894399138659 -105.901949678641 -610.592153907523</f>
        <v>-1433.388502724823</v>
      </c>
      <c r="I1260">
        <f>-695.406576018408 -95.8133848308053 -690.225925019981</f>
        <v>-1481.4458858691942</v>
      </c>
      <c r="J1260">
        <f>-723.656786273445 -80.5660388637659 -555.043373512335</f>
        <v>-1359.2661986495459</v>
      </c>
      <c r="K1260" t="s">
        <v>12874</v>
      </c>
      <c r="L1260" t="s">
        <v>12875</v>
      </c>
      <c r="M1260" t="s">
        <v>12876</v>
      </c>
      <c r="N1260">
        <f>-707.411960051176 -133.528212870547 -556.55351096877</f>
        <v>-1397.493683890493</v>
      </c>
      <c r="O1260">
        <f>-667.874420486542 -262.595155311753 -530.543988558003</f>
        <v>-1461.013564356298</v>
      </c>
      <c r="P1260">
        <f>-640.734873665354 -335.183573047791 -246.66806448476</f>
        <v>-1222.5865111979051</v>
      </c>
      <c r="Q1260">
        <f>-499.741750577176 -151.178503371877 -312.34829710042</f>
        <v>-963.26855104947299</v>
      </c>
      <c r="R1260" t="s">
        <v>12877</v>
      </c>
      <c r="S1260" t="s">
        <v>12878</v>
      </c>
      <c r="T1260" t="s">
        <v>12879</v>
      </c>
      <c r="U1260" t="s">
        <v>12880</v>
      </c>
      <c r="V1260">
        <f>-636.456982288492 -176.392934872861 -93.8403684354104</f>
        <v>-906.69028559676337</v>
      </c>
      <c r="W1260" t="s">
        <v>12881</v>
      </c>
      <c r="X1260" t="s">
        <v>12882</v>
      </c>
      <c r="Y1260" t="s">
        <v>12883</v>
      </c>
    </row>
    <row r="1261" spans="1:25" x14ac:dyDescent="0.3">
      <c r="A1261">
        <v>63000</v>
      </c>
      <c r="B1261" t="s">
        <v>12884</v>
      </c>
      <c r="C1261">
        <f>-673.644337445395 -87.3740333999074 -96.8245330146328</f>
        <v>-857.84290385993518</v>
      </c>
      <c r="D1261">
        <f>-692.667264359206 -100.833009415594 -210.284706481353</f>
        <v>-1003.7849802561529</v>
      </c>
      <c r="E1261">
        <f>-702.413177575377 -105.840738275048 -308.297969607706</f>
        <v>-1116.551885458131</v>
      </c>
      <c r="F1261">
        <f>-709.05975869861 -108.051247178645 -397.11896612577</f>
        <v>-1214.2299720030251</v>
      </c>
      <c r="G1261">
        <f>-713.158645888482 -107.873235924515 -486.121260796589</f>
        <v>-1307.1531426095862</v>
      </c>
      <c r="H1261">
        <f>-716.166534742301 -105.168906111841 -610.63817049076</f>
        <v>-1431.9736113449021</v>
      </c>
      <c r="I1261">
        <f>-694.648073220361 -94.9251685648758 -690.243811380016</f>
        <v>-1479.8170531652527</v>
      </c>
      <c r="J1261">
        <f>-723.069655603103 -79.9107658932587 -555.071211110592</f>
        <v>-1358.0516326069537</v>
      </c>
      <c r="K1261" t="s">
        <v>12885</v>
      </c>
      <c r="L1261" t="s">
        <v>12886</v>
      </c>
      <c r="M1261" t="s">
        <v>12887</v>
      </c>
      <c r="N1261">
        <f>-706.616183210794 -132.80728375967 -556.617610572409</f>
        <v>-1396.0410775428732</v>
      </c>
      <c r="O1261">
        <f>-666.564459544817 -261.71694556029 -530.628306241479</f>
        <v>-1458.9097113465859</v>
      </c>
      <c r="P1261">
        <f>-639.452534009464 -334.409169214794 -246.776129278938</f>
        <v>-1220.637832503196</v>
      </c>
      <c r="Q1261">
        <f>-497.939088983726 -149.504640715389 -308.704608740027</f>
        <v>-956.14833843914198</v>
      </c>
      <c r="R1261" t="s">
        <v>12888</v>
      </c>
      <c r="S1261" t="s">
        <v>12889</v>
      </c>
      <c r="T1261" t="s">
        <v>12890</v>
      </c>
      <c r="U1261" t="s">
        <v>12891</v>
      </c>
      <c r="V1261">
        <f>-635.601710974323 -175.698236280234 -93.8957655424555</f>
        <v>-905.19571279701256</v>
      </c>
      <c r="W1261" t="s">
        <v>12892</v>
      </c>
      <c r="X1261" t="s">
        <v>12893</v>
      </c>
      <c r="Y1261" t="s">
        <v>12894</v>
      </c>
    </row>
    <row r="1262" spans="1:25" x14ac:dyDescent="0.3">
      <c r="A1262">
        <v>63050</v>
      </c>
      <c r="B1262" t="s">
        <v>12895</v>
      </c>
      <c r="C1262">
        <f>-673.416833587404 -86.990087438309 -96.8616488794131</f>
        <v>-857.26856990512613</v>
      </c>
      <c r="D1262">
        <f>-692.439340516971 -100.50268291186 -210.315396443464</f>
        <v>-1003.257419872295</v>
      </c>
      <c r="E1262">
        <f>-702.181802400347 -105.51873721235 -308.328699106715</f>
        <v>-1116.029238719412</v>
      </c>
      <c r="F1262">
        <f>-708.82290971395 -107.722322863302 -397.150178086293</f>
        <v>-1213.6954106635451</v>
      </c>
      <c r="G1262">
        <f>-712.91417012288 -107.52225849357 -486.152788896327</f>
        <v>-1306.5892175127769</v>
      </c>
      <c r="H1262">
        <f>-715.909343017641 -104.771442675145 -610.668956301594</f>
        <v>-1431.3497419943801</v>
      </c>
      <c r="I1262">
        <f>-694.376633852803 -94.4299979345842 -690.258053482745</f>
        <v>-1479.0646852701323</v>
      </c>
      <c r="J1262">
        <f>-722.881053920392 -79.5536369365482 -555.092262141369</f>
        <v>-1357.5269529983093</v>
      </c>
      <c r="K1262" t="s">
        <v>12896</v>
      </c>
      <c r="L1262" t="s">
        <v>12897</v>
      </c>
      <c r="M1262" t="s">
        <v>12898</v>
      </c>
      <c r="N1262">
        <f>-706.301564501149 -132.410357970889 -556.658820399282</f>
        <v>-1395.3707428713201</v>
      </c>
      <c r="O1262">
        <f>-665.943935780906 -261.22646363907 -530.670881850967</f>
        <v>-1457.841281270943</v>
      </c>
      <c r="P1262">
        <f>-638.76098060867 -334.014454348631 -246.85012733161</f>
        <v>-1219.6255622889112</v>
      </c>
      <c r="Q1262">
        <f>-497.267162722979 -148.477805534855 -306.904676068521</f>
        <v>-952.64964432635497</v>
      </c>
      <c r="R1262" t="s">
        <v>12899</v>
      </c>
      <c r="S1262" t="s">
        <v>12900</v>
      </c>
      <c r="T1262" t="s">
        <v>12901</v>
      </c>
      <c r="U1262" t="s">
        <v>12902</v>
      </c>
      <c r="V1262">
        <f>-635.191940116254 -175.225306638019 -93.931892425744</f>
        <v>-904.349139180017</v>
      </c>
      <c r="W1262" t="s">
        <v>12903</v>
      </c>
      <c r="X1262" t="s">
        <v>12904</v>
      </c>
      <c r="Y1262" t="s">
        <v>12905</v>
      </c>
    </row>
    <row r="1263" spans="1:25" x14ac:dyDescent="0.3">
      <c r="A1263">
        <v>63100</v>
      </c>
      <c r="B1263" t="s">
        <v>12906</v>
      </c>
      <c r="C1263">
        <f>-673.185486689119 -86.2278423183091 -96.9406954256247</f>
        <v>-856.3540244330527</v>
      </c>
      <c r="D1263">
        <f>-692.164763955813 -99.7831359353568 -210.396682812187</f>
        <v>-1002.3445827033568</v>
      </c>
      <c r="E1263">
        <f>-701.883375823398 -104.800545076893 -308.412251953372</f>
        <v>-1115.0961728536631</v>
      </c>
      <c r="F1263">
        <f>-708.507799887505 -106.992841679488 -397.235322564589</f>
        <v>-1212.735964131582</v>
      </c>
      <c r="G1263">
        <f>-712.587967712593 -106.766779426455 -486.23834473691</f>
        <v>-1305.593091875958</v>
      </c>
      <c r="H1263">
        <f>-715.573569150172 -103.963019585091 -610.753573268712</f>
        <v>-1430.2901620039752</v>
      </c>
      <c r="I1263">
        <f>-694.006235695162 -93.4326382252575 -690.308539429223</f>
        <v>-1477.7474133496426</v>
      </c>
      <c r="J1263">
        <f>-722.691655755436 -78.8138612742241 -555.164346028846</f>
        <v>-1356.6698630585061</v>
      </c>
      <c r="K1263" t="s">
        <v>12907</v>
      </c>
      <c r="L1263" t="s">
        <v>12908</v>
      </c>
      <c r="M1263" t="s">
        <v>12909</v>
      </c>
      <c r="N1263">
        <f>-705.827967221488 -131.579827600014 -556.756856902149</f>
        <v>-1394.1646517236511</v>
      </c>
      <c r="O1263">
        <f>-664.762804653481 -260.174283014056 -530.785856747423</f>
        <v>-1455.7229444149602</v>
      </c>
      <c r="P1263">
        <f>-637.489557986048 -333.15831727457 -247.02407323595</f>
        <v>-1217.6719484965679</v>
      </c>
      <c r="Q1263">
        <f>-496.225866262155 -146.435284545406 -303.856488541583</f>
        <v>-946.51763934914402</v>
      </c>
      <c r="R1263" t="s">
        <v>12910</v>
      </c>
      <c r="S1263" t="s">
        <v>12911</v>
      </c>
      <c r="T1263" t="s">
        <v>12912</v>
      </c>
      <c r="U1263" t="s">
        <v>12913</v>
      </c>
      <c r="V1263">
        <f>-634.564505879743 -174.43940448634 -94.0110004798117</f>
        <v>-903.01491084589475</v>
      </c>
      <c r="W1263" t="s">
        <v>12914</v>
      </c>
      <c r="X1263" t="s">
        <v>12915</v>
      </c>
      <c r="Y1263" t="s">
        <v>12916</v>
      </c>
    </row>
    <row r="1264" spans="1:25" x14ac:dyDescent="0.3">
      <c r="A1264">
        <v>63150</v>
      </c>
      <c r="B1264" t="s">
        <v>12917</v>
      </c>
      <c r="C1264">
        <f>-673.151053013823 -86.0678719460909 -96.9732335235784</f>
        <v>-856.19215848349234</v>
      </c>
      <c r="D1264">
        <f>-692.092158682063 -99.6450253820146 -210.433014512416</f>
        <v>-1002.1701985764936</v>
      </c>
      <c r="E1264">
        <f>-701.785823811269 -104.663897134206 -308.45076364169</f>
        <v>-1114.900484587165</v>
      </c>
      <c r="F1264">
        <f>-708.39028654152 -106.851253598822 -397.275629800345</f>
        <v>-1212.5171699406869</v>
      </c>
      <c r="G1264">
        <f>-712.453328340748 -106.613432723872 -486.279415271222</f>
        <v>-1305.3461763358421</v>
      </c>
      <c r="H1264">
        <f>-715.418077059302 -103.785625153748 -610.794615514105</f>
        <v>-1429.9983177271552</v>
      </c>
      <c r="I1264">
        <f>-693.829485413083 -93.1708698609134 -690.332590894663</f>
        <v>-1477.3329461686594</v>
      </c>
      <c r="J1264">
        <f>-722.612438507339 -78.6686805045974 -555.200592642798</f>
        <v>-1356.4817116547345</v>
      </c>
      <c r="K1264" t="s">
        <v>12918</v>
      </c>
      <c r="L1264" t="s">
        <v>12919</v>
      </c>
      <c r="M1264" t="s">
        <v>12920</v>
      </c>
      <c r="N1264">
        <f>-705.614287448592 -131.391229260815 -556.80264950472</f>
        <v>-1393.8081662141269</v>
      </c>
      <c r="O1264">
        <f>-664.245425748035 -259.890341258911 -530.838479835922</f>
        <v>-1454.9742468428681</v>
      </c>
      <c r="P1264">
        <f>-636.783309344684 -333.078692004071 -247.147584802204</f>
        <v>-1217.009586150959</v>
      </c>
      <c r="Q1264">
        <f>-496.009077902705 -145.687279654565 -302.985880951153</f>
        <v>-944.68223850842287</v>
      </c>
      <c r="R1264" t="s">
        <v>12921</v>
      </c>
      <c r="S1264" t="s">
        <v>12922</v>
      </c>
      <c r="T1264" t="s">
        <v>12923</v>
      </c>
      <c r="U1264" t="s">
        <v>12924</v>
      </c>
      <c r="V1264">
        <f>-634.352515277176 -174.340382805496 -94.0446506208172</f>
        <v>-902.73754870348921</v>
      </c>
      <c r="W1264" t="s">
        <v>12925</v>
      </c>
      <c r="X1264" t="s">
        <v>12926</v>
      </c>
      <c r="Y1264" t="s">
        <v>12927</v>
      </c>
    </row>
    <row r="1265" spans="1:25" x14ac:dyDescent="0.3">
      <c r="A1265">
        <v>63200</v>
      </c>
      <c r="B1265" t="s">
        <v>12928</v>
      </c>
      <c r="C1265">
        <f>-673.056188967968 -85.6274928618391 -96.9917585460478</f>
        <v>-855.67544037585481</v>
      </c>
      <c r="D1265">
        <f>-691.952175798728 -99.2606286672064 -210.452421442142</f>
        <v>-1001.6652259080765</v>
      </c>
      <c r="E1265">
        <f>-701.611730126451 -104.261324568527 -308.474494185521</f>
        <v>-1114.3475488804991</v>
      </c>
      <c r="F1265">
        <f>-708.185317729183 -106.408301403222 -397.302524583985</f>
        <v>-1211.89614371639</v>
      </c>
      <c r="G1265">
        <f>-712.216888944715 -106.104214227465 -486.307683428965</f>
        <v>-1304.6287866011451</v>
      </c>
      <c r="H1265">
        <f>-715.137103687029 -103.157362898778 -610.821114681123</f>
        <v>-1429.1155812669301</v>
      </c>
      <c r="I1265">
        <f>-693.512179735442 -92.3878110566081 -690.32833944829</f>
        <v>-1476.2283302403403</v>
      </c>
      <c r="J1265">
        <f>-722.465450921728 -78.1307526880832 -555.20383247594</f>
        <v>-1355.8000360857513</v>
      </c>
      <c r="K1265" t="s">
        <v>12929</v>
      </c>
      <c r="L1265" t="s">
        <v>12930</v>
      </c>
      <c r="M1265" t="s">
        <v>12931</v>
      </c>
      <c r="N1265">
        <f>-705.238739345054 -130.777576610815 -556.853844940941</f>
        <v>-1392.8701608968099</v>
      </c>
      <c r="O1265">
        <f>-663.361799800079 -259.127324168044 -530.956037753877</f>
        <v>-1453.4451617220002</v>
      </c>
      <c r="P1265">
        <f>-635.220424770162 -332.555160716999 -247.393727453857</f>
        <v>-1215.169312941018</v>
      </c>
      <c r="Q1265">
        <f>-495.504136172143 -143.987762944708 -301.914715918879</f>
        <v>-941.40661503572994</v>
      </c>
      <c r="R1265" t="s">
        <v>12932</v>
      </c>
      <c r="S1265" t="s">
        <v>12933</v>
      </c>
      <c r="T1265" t="s">
        <v>12934</v>
      </c>
      <c r="U1265" t="s">
        <v>12935</v>
      </c>
      <c r="V1265">
        <f>-633.883341178798 -173.77542289378 -94.096279438608</f>
        <v>-901.75504351118593</v>
      </c>
      <c r="W1265" t="s">
        <v>12936</v>
      </c>
      <c r="X1265" t="s">
        <v>12937</v>
      </c>
      <c r="Y1265" t="s">
        <v>12938</v>
      </c>
    </row>
    <row r="1266" spans="1:25" x14ac:dyDescent="0.3">
      <c r="A1266">
        <v>63250</v>
      </c>
      <c r="B1266" t="s">
        <v>12939</v>
      </c>
      <c r="C1266">
        <f>-673.033521481753 -85.4276844852463 -96.989303320522</f>
        <v>-855.45050928752141</v>
      </c>
      <c r="D1266">
        <f>-691.913877223219 -99.0822688276885 -210.449805527776</f>
        <v>-1001.4459515786834</v>
      </c>
      <c r="E1266">
        <f>-701.568371868168 -104.077604154108 -308.472674657114</f>
        <v>-1114.1186506793902</v>
      </c>
      <c r="F1266">
        <f>-708.139982705678 -106.2109289112 -397.301351768313</f>
        <v>-1211.652263385191</v>
      </c>
      <c r="G1266">
        <f>-712.172460066295 -105.884403971157 -486.306171437563</f>
        <v>-1304.3630354750151</v>
      </c>
      <c r="H1266">
        <f>-715.095832049358 -102.89633946752 -610.818665755059</f>
        <v>-1428.8108372719371</v>
      </c>
      <c r="I1266">
        <f>-693.448820469733 -92.0649050480733 -690.311434190202</f>
        <v>-1475.8251597080084</v>
      </c>
      <c r="J1266">
        <f>-722.469029336411 -77.9033807180206 -555.192152726518</f>
        <v>-1355.5645627809495</v>
      </c>
      <c r="K1266" t="s">
        <v>12940</v>
      </c>
      <c r="L1266" t="s">
        <v>12941</v>
      </c>
      <c r="M1266" t="s">
        <v>12942</v>
      </c>
      <c r="N1266">
        <f>-705.149805729674 -130.519047886701 -556.861553222375</f>
        <v>-1392.53040683875</v>
      </c>
      <c r="O1266">
        <f>-663.02918858588 -258.789628523512 -530.987877663826</f>
        <v>-1452.8066947732182</v>
      </c>
      <c r="P1266">
        <f>-634.282652281504 -332.256927608579 -247.496577193755</f>
        <v>-1214.0361570838381</v>
      </c>
      <c r="Q1266">
        <f>-495.132162488903 -143.063273467676 -301.290259809179</f>
        <v>-939.48569576575801</v>
      </c>
      <c r="R1266" t="s">
        <v>12943</v>
      </c>
      <c r="S1266" t="s">
        <v>12944</v>
      </c>
      <c r="T1266" t="s">
        <v>12945</v>
      </c>
      <c r="U1266" t="s">
        <v>12946</v>
      </c>
      <c r="V1266">
        <f>-633.653445142847 -173.613750330078 -94.1030055703201</f>
        <v>-901.37020104324506</v>
      </c>
      <c r="W1266" t="s">
        <v>12947</v>
      </c>
      <c r="X1266" t="s">
        <v>12948</v>
      </c>
      <c r="Y1266" t="s">
        <v>12949</v>
      </c>
    </row>
    <row r="1267" spans="1:25" x14ac:dyDescent="0.3">
      <c r="A1267">
        <v>63300</v>
      </c>
      <c r="B1267" t="s">
        <v>12950</v>
      </c>
      <c r="C1267">
        <f>-672.838399167716 -85.0849848841847 -96.9762024931472</f>
        <v>-854.8995865450479</v>
      </c>
      <c r="D1267">
        <f>-691.735493957432 -98.781240397919 -210.428932362782</f>
        <v>-1000.945666718133</v>
      </c>
      <c r="E1267">
        <f>-701.43783689185 -103.770420262136 -308.447469656006</f>
        <v>-1113.6557268099918</v>
      </c>
      <c r="F1267">
        <f>-708.065070278869 -105.882093850393 -397.272288107039</f>
        <v>-1211.2194522363011</v>
      </c>
      <c r="G1267">
        <f>-712.165993800841 -105.51608066236 -486.273969556743</f>
        <v>-1303.9560440199439</v>
      </c>
      <c r="H1267">
        <f>-715.198326148604 -102.453860882723 -610.782023199672</f>
        <v>-1428.434210230999</v>
      </c>
      <c r="I1267">
        <f>-693.510655422986 -91.511884852177 -690.248610003421</f>
        <v>-1475.2711502785842</v>
      </c>
      <c r="J1267">
        <f>-722.592451011787 -77.517085993109 -555.133125265351</f>
        <v>-1355.2426622702471</v>
      </c>
      <c r="K1267" t="s">
        <v>12951</v>
      </c>
      <c r="L1267" t="s">
        <v>12952</v>
      </c>
      <c r="M1267" t="s">
        <v>12953</v>
      </c>
      <c r="N1267">
        <f>-705.135250100384 -130.085747469115 -556.851135767497</f>
        <v>-1392.0721333369961</v>
      </c>
      <c r="O1267">
        <f>-662.619670632409 -258.223465761349 -530.956139750954</f>
        <v>-1451.7992761447119</v>
      </c>
      <c r="P1267">
        <f>-632.174185878217 -331.551570070109 -247.606043107903</f>
        <v>-1211.3317990562289</v>
      </c>
      <c r="Q1267">
        <f>-493.49974028608 -141.402655439408 -299.216925206789</f>
        <v>-934.11932093227699</v>
      </c>
      <c r="R1267" t="s">
        <v>12954</v>
      </c>
      <c r="S1267" t="s">
        <v>12955</v>
      </c>
      <c r="T1267" t="s">
        <v>12956</v>
      </c>
      <c r="U1267" t="s">
        <v>12957</v>
      </c>
      <c r="V1267">
        <f>-633.253011323208 -173.31624927227 -94.1171738709164</f>
        <v>-900.68643446639442</v>
      </c>
      <c r="W1267" t="s">
        <v>12958</v>
      </c>
      <c r="X1267" t="s">
        <v>12959</v>
      </c>
      <c r="Y1267" t="s">
        <v>12960</v>
      </c>
    </row>
    <row r="1268" spans="1:25" x14ac:dyDescent="0.3">
      <c r="A1268">
        <v>63350</v>
      </c>
      <c r="B1268" t="s">
        <v>12961</v>
      </c>
      <c r="C1268">
        <f>-672.782058006824 -84.9595456991806 -96.971031313535</f>
        <v>-854.71263501953956</v>
      </c>
      <c r="D1268">
        <f>-691.681178212069 -98.6577916305343 -210.423214185587</f>
        <v>-1000.7621840281903</v>
      </c>
      <c r="E1268">
        <f>-701.396469742721 -103.641836284969 -308.440691297601</f>
        <v>-1113.4789973252909</v>
      </c>
      <c r="F1268">
        <f>-708.040349388152 -105.746044258934 -397.264621614574</f>
        <v>-1211.05101526166</v>
      </c>
      <c r="G1268">
        <f>-712.162598923619 -105.369144077123 -486.265212750236</f>
        <v>-1303.796955750978</v>
      </c>
      <c r="H1268">
        <f>-715.230407512937 -102.287979818729 -610.771878336057</f>
        <v>-1428.2902656677229</v>
      </c>
      <c r="I1268">
        <f>-693.524455998534 -91.3070488401479 -690.228081138556</f>
        <v>-1475.0595859772379</v>
      </c>
      <c r="J1268">
        <f>-722.63224686384 -77.3675595022214 -555.116691253878</f>
        <v>-1355.1164976199393</v>
      </c>
      <c r="K1268" t="s">
        <v>12962</v>
      </c>
      <c r="L1268" t="s">
        <v>12963</v>
      </c>
      <c r="M1268" t="s">
        <v>12964</v>
      </c>
      <c r="N1268">
        <f>-705.128448995194 -129.920179837618 -556.848573141304</f>
        <v>-1391.8972019741159</v>
      </c>
      <c r="O1268">
        <f>-662.457684127298 -257.994551177047 -530.908863496078</f>
        <v>-1451.361098800423</v>
      </c>
      <c r="P1268">
        <f>-631.24030653515 -331.073181127996 -247.578388994761</f>
        <v>-1209.891876657907</v>
      </c>
      <c r="Q1268">
        <f>-492.518620544525 -140.603264242945 -297.861241016694</f>
        <v>-930.98312580416405</v>
      </c>
      <c r="R1268" t="s">
        <v>12965</v>
      </c>
      <c r="S1268" t="s">
        <v>12966</v>
      </c>
      <c r="T1268" t="s">
        <v>12967</v>
      </c>
      <c r="U1268" t="s">
        <v>12968</v>
      </c>
      <c r="V1268">
        <f>-633.160964554354 -173.164394611004 -94.1231809619218</f>
        <v>-900.44854012727978</v>
      </c>
      <c r="W1268" t="s">
        <v>12969</v>
      </c>
      <c r="X1268" t="s">
        <v>12970</v>
      </c>
      <c r="Y1268" t="s">
        <v>12971</v>
      </c>
    </row>
    <row r="1269" spans="1:25" x14ac:dyDescent="0.3">
      <c r="A1269">
        <v>63400</v>
      </c>
      <c r="B1269" t="s">
        <v>12972</v>
      </c>
      <c r="C1269">
        <f>-672.717735857708 -84.4932715571651 -96.9940085282625</f>
        <v>-854.20501594313566</v>
      </c>
      <c r="D1269">
        <f>-691.60824658963 -98.1820247979726 -210.448862144464</f>
        <v>-1000.2391335320666</v>
      </c>
      <c r="E1269">
        <f>-701.335304600537 -103.158853222565 -308.465615545941</f>
        <v>-1112.959773369043</v>
      </c>
      <c r="F1269">
        <f>-707.997966642628 -105.256227345864 -397.288201120666</f>
        <v>-1210.542395109158</v>
      </c>
      <c r="G1269">
        <f>-712.147977357235 -104.871467270264 -486.287403183453</f>
        <v>-1303.3068478109521</v>
      </c>
      <c r="H1269">
        <f>-715.264052576968 -101.777679771554 -610.792568193522</f>
        <v>-1427.8343005420438</v>
      </c>
      <c r="I1269">
        <f>-693.535157827309 -90.7280437201582 -690.233044939299</f>
        <v>-1474.4962464867663</v>
      </c>
      <c r="J1269">
        <f>-722.66919937513 -76.8711274487941 -555.131673202772</f>
        <v>-1354.6720000266962</v>
      </c>
      <c r="K1269" t="s">
        <v>12973</v>
      </c>
      <c r="L1269" t="s">
        <v>12974</v>
      </c>
      <c r="M1269" t="s">
        <v>12975</v>
      </c>
      <c r="N1269">
        <f>-705.1164958876 -129.40705145754 -556.876423509944</f>
        <v>-1391.3999708550839</v>
      </c>
      <c r="O1269">
        <f>-662.320368723832 -257.426713364633 -530.838331564715</f>
        <v>-1450.5854136531798</v>
      </c>
      <c r="P1269">
        <f>-629.674548340719 -329.730252930599 -247.470027911168</f>
        <v>-1206.8748291824859</v>
      </c>
      <c r="Q1269">
        <f>-490.351709669606 -138.888237311005 -294.57986818661</f>
        <v>-923.8198151672209</v>
      </c>
      <c r="R1269" t="s">
        <v>12976</v>
      </c>
      <c r="S1269" t="s">
        <v>12977</v>
      </c>
      <c r="T1269" t="s">
        <v>12978</v>
      </c>
      <c r="U1269" t="s">
        <v>12979</v>
      </c>
      <c r="V1269">
        <f>-633.027174993428 -172.621104052078 -94.1488773258767</f>
        <v>-899.79715637138281</v>
      </c>
      <c r="W1269" t="s">
        <v>12980</v>
      </c>
      <c r="X1269" t="s">
        <v>12981</v>
      </c>
      <c r="Y1269" t="s">
        <v>12982</v>
      </c>
    </row>
    <row r="1270" spans="1:25" x14ac:dyDescent="0.3">
      <c r="A1270">
        <v>63450</v>
      </c>
      <c r="B1270" t="s">
        <v>12983</v>
      </c>
      <c r="C1270">
        <f>-672.658095765387 -84.3139477795648 -96.9987596538485</f>
        <v>-853.97080319880035</v>
      </c>
      <c r="D1270">
        <f>-691.54404573217 -97.9985265819416 -210.454729809858</f>
        <v>-999.99730212396969</v>
      </c>
      <c r="E1270">
        <f>-701.263673782686 -102.962150137974 -308.472920460666</f>
        <v>-1112.6987443813262</v>
      </c>
      <c r="F1270">
        <f>-707.918110529665 -105.043442815871 -397.296552574641</f>
        <v>-1210.2581059201771</v>
      </c>
      <c r="G1270">
        <f>-712.058225345207 -104.638454085175 -486.29610552615</f>
        <v>-1302.992784956532</v>
      </c>
      <c r="H1270">
        <f>-715.158962129406 -101.512196708175 -610.800766443182</f>
        <v>-1427.4719252807631</v>
      </c>
      <c r="I1270">
        <f>-693.414541946977 -90.4424460142491 -690.234212772393</f>
        <v>-1474.0912007336192</v>
      </c>
      <c r="J1270">
        <f>-722.568112349966 -76.6190772891307 -555.13427202743</f>
        <v>-1354.3214616665268</v>
      </c>
      <c r="K1270" t="s">
        <v>12984</v>
      </c>
      <c r="L1270" t="s">
        <v>12985</v>
      </c>
      <c r="M1270" t="s">
        <v>12986</v>
      </c>
      <c r="N1270">
        <f>-705.020977708867 -129.156603785481 -556.8905180163</f>
        <v>-1391.0680995106482</v>
      </c>
      <c r="O1270">
        <f>-662.225523708067 -257.158548567324 -530.79614300546</f>
        <v>-1450.1802152808509</v>
      </c>
      <c r="P1270">
        <f>-628.587740608919 -329.274982311536 -247.495903408249</f>
        <v>-1205.3586263287041</v>
      </c>
      <c r="Q1270">
        <f>-489.43788011453 -137.778562324404 -292.410793657622</f>
        <v>-919.62723609655598</v>
      </c>
      <c r="R1270" t="s">
        <v>12987</v>
      </c>
      <c r="S1270" t="s">
        <v>12988</v>
      </c>
      <c r="T1270" t="s">
        <v>12989</v>
      </c>
      <c r="U1270" t="s">
        <v>12990</v>
      </c>
      <c r="V1270">
        <f>-632.96390215344 -172.451819199105 -94.1616353634411</f>
        <v>-899.57735671598607</v>
      </c>
      <c r="W1270" t="s">
        <v>12991</v>
      </c>
      <c r="X1270" t="s">
        <v>12992</v>
      </c>
      <c r="Y1270" t="s">
        <v>12993</v>
      </c>
    </row>
    <row r="1271" spans="1:25" x14ac:dyDescent="0.3">
      <c r="A1271">
        <v>63500</v>
      </c>
      <c r="B1271" t="s">
        <v>12994</v>
      </c>
      <c r="C1271">
        <f>-672.51887454466 -83.9934946142762 -97.0121193537512</f>
        <v>-853.52448851268741</v>
      </c>
      <c r="D1271">
        <f>-691.395596437148 -97.6823459827287 -210.469224017483</f>
        <v>-999.54716643735969</v>
      </c>
      <c r="E1271">
        <f>-701.03431679455 -102.596577856528 -308.497678782756</f>
        <v>-1112.1285734338339</v>
      </c>
      <c r="F1271">
        <f>-707.585773155286 -104.612131733654 -397.330423913037</f>
        <v>-1209.5283288019771</v>
      </c>
      <c r="G1271">
        <f>-711.592962210091 -104.120754980218 -486.3357530932</f>
        <v>-1302.049470283509</v>
      </c>
      <c r="H1271">
        <f>-714.476413553365 -100.852280995976 -610.842070374253</f>
        <v>-1426.1707649235941</v>
      </c>
      <c r="I1271">
        <f>-692.671716299206 -89.7690472960944 -690.257059105554</f>
        <v>-1472.6978227008544</v>
      </c>
      <c r="J1271">
        <f>-721.975743795987 -76.0204913011953 -555.160297890203</f>
        <v>-1353.1565329873852</v>
      </c>
      <c r="K1271" t="s">
        <v>12995</v>
      </c>
      <c r="L1271" t="s">
        <v>12996</v>
      </c>
      <c r="M1271" t="s">
        <v>12997</v>
      </c>
      <c r="N1271">
        <f>-704.439389002524 -128.560570974569 -556.945672716248</f>
        <v>-1389.9456326933409</v>
      </c>
      <c r="O1271">
        <f>-661.732940655405 -256.577854446535 -530.784645516734</f>
        <v>-1449.0954406186738</v>
      </c>
      <c r="P1271">
        <f>-625.701906302101 -328.309875994131 -247.681270387425</f>
        <v>-1201.693052683657</v>
      </c>
      <c r="Q1271">
        <f>-486.736229251086 -135.457678683027 -287.018983471786</f>
        <v>-909.21289140589897</v>
      </c>
      <c r="R1271" t="s">
        <v>12998</v>
      </c>
      <c r="S1271" t="s">
        <v>12999</v>
      </c>
      <c r="T1271" t="s">
        <v>13000</v>
      </c>
      <c r="U1271" t="s">
        <v>13001</v>
      </c>
      <c r="V1271">
        <f>-632.883027755136 -172.098510779638 -94.1576915275509</f>
        <v>-899.13923006232494</v>
      </c>
      <c r="W1271" t="s">
        <v>13002</v>
      </c>
      <c r="X1271" t="s">
        <v>13003</v>
      </c>
      <c r="Y1271" t="s">
        <v>13004</v>
      </c>
    </row>
    <row r="1272" spans="1:25" x14ac:dyDescent="0.3">
      <c r="A1272">
        <v>63550</v>
      </c>
      <c r="B1272" t="s">
        <v>13005</v>
      </c>
      <c r="C1272">
        <f>-672.420049951567 -83.8855760529002 -97.020039777669</f>
        <v>-853.32566578213618</v>
      </c>
      <c r="D1272">
        <f>-691.261805020579 -97.5550914938119 -210.485191721836</f>
        <v>-999.30208823622695</v>
      </c>
      <c r="E1272">
        <f>-700.847928191698 -102.439942475661 -308.520477956179</f>
        <v>-1111.808348623538</v>
      </c>
      <c r="F1272">
        <f>-707.343043535924 -104.423735350901 -397.358044217115</f>
        <v>-1209.1248231039399</v>
      </c>
      <c r="G1272">
        <f>-711.284962430918 -103.895544049703 -486.366064098208</f>
        <v>-1301.546570578829</v>
      </c>
      <c r="H1272">
        <f>-714.067317408109 -100.570481848192 -610.873141220806</f>
        <v>-1425.5109404771069</v>
      </c>
      <c r="I1272">
        <f>-692.235127433681 -89.4884542218772 -690.280752854195</f>
        <v>-1472.0043345097533</v>
      </c>
      <c r="J1272">
        <f>-721.597424356927 -75.7592739732672 -555.186491983401</f>
        <v>-1352.5431903135952</v>
      </c>
      <c r="K1272" t="s">
        <v>13006</v>
      </c>
      <c r="L1272" t="s">
        <v>13007</v>
      </c>
      <c r="M1272" t="s">
        <v>13008</v>
      </c>
      <c r="N1272">
        <f>-704.088408916801 -128.308155612959 -556.981082027743</f>
        <v>-1389.3776465575029</v>
      </c>
      <c r="O1272">
        <f>-661.504529723314 -256.364257022738 -530.813969058463</f>
        <v>-1448.6827558045152</v>
      </c>
      <c r="P1272">
        <f>-623.627702749113 -327.124127681348 -247.706820435604</f>
        <v>-1198.458650866065</v>
      </c>
      <c r="Q1272">
        <f>-484.514413248814 -133.695416859254 -283.536273192012</f>
        <v>-901.74610330007999</v>
      </c>
      <c r="R1272" t="s">
        <v>13009</v>
      </c>
      <c r="S1272" t="s">
        <v>13010</v>
      </c>
      <c r="T1272" t="s">
        <v>13011</v>
      </c>
      <c r="U1272" t="s">
        <v>13012</v>
      </c>
      <c r="V1272">
        <f>-632.84103265085 -171.954245504694 -94.1540670026138</f>
        <v>-898.94934515815783</v>
      </c>
      <c r="W1272" t="s">
        <v>13013</v>
      </c>
      <c r="X1272" t="s">
        <v>13014</v>
      </c>
      <c r="Y1272" t="s">
        <v>13015</v>
      </c>
    </row>
    <row r="1273" spans="1:25" x14ac:dyDescent="0.3">
      <c r="A1273">
        <v>63600</v>
      </c>
      <c r="B1273" t="s">
        <v>13016</v>
      </c>
      <c r="C1273">
        <f>-672.209987151253 -83.4566903926407 -97.0049221157738</f>
        <v>-852.67159965966744</v>
      </c>
      <c r="D1273">
        <f>-691.006789152507 -97.1058398401397 -210.480022695179</f>
        <v>-998.59265168782576</v>
      </c>
      <c r="E1273">
        <f>-700.512509817468 -101.985738674113 -308.523370893976</f>
        <v>-1111.021619385557</v>
      </c>
      <c r="F1273">
        <f>-706.919695068437 -103.968357576031 -397.367337200962</f>
        <v>-1208.25538984543</v>
      </c>
      <c r="G1273">
        <f>-710.759021483331 -103.442740819744 -486.379734335476</f>
        <v>-1300.581496638551</v>
      </c>
      <c r="H1273">
        <f>-713.383706688154 -100.124538475538 -610.89044283038</f>
        <v>-1424.3986879940721</v>
      </c>
      <c r="I1273">
        <f>-691.516469391484 -89.1062773582141 -690.297478060597</f>
        <v>-1470.9202248102952</v>
      </c>
      <c r="J1273">
        <f>-720.979239615379 -75.3085381101412 -555.214820007501</f>
        <v>-1351.502597733021</v>
      </c>
      <c r="K1273" t="s">
        <v>13017</v>
      </c>
      <c r="L1273" t="s">
        <v>13018</v>
      </c>
      <c r="M1273" t="s">
        <v>13019</v>
      </c>
      <c r="N1273">
        <f>-703.478218266538 -127.860819801354 -556.984122759287</f>
        <v>-1388.323160827179</v>
      </c>
      <c r="O1273">
        <f>-660.81895494529 -255.827644289117 -530.513193737517</f>
        <v>-1447.1597929719239</v>
      </c>
      <c r="P1273">
        <f>-618.172040250829 -324.858712081241 -247.657813286485</f>
        <v>-1190.688565618555</v>
      </c>
      <c r="Q1273">
        <f>-480.889114090513 -128.867723833606 -275.796754760685</f>
        <v>-885.55359268480402</v>
      </c>
      <c r="R1273" t="s">
        <v>13020</v>
      </c>
      <c r="S1273" t="s">
        <v>13021</v>
      </c>
      <c r="T1273" t="s">
        <v>13022</v>
      </c>
      <c r="U1273" t="s">
        <v>13023</v>
      </c>
      <c r="V1273">
        <f>-632.802016020152 -171.360331085849 -94.145065236089</f>
        <v>-898.30741234208995</v>
      </c>
      <c r="W1273" t="s">
        <v>13024</v>
      </c>
      <c r="X1273" t="s">
        <v>13025</v>
      </c>
      <c r="Y1273" t="s">
        <v>13026</v>
      </c>
    </row>
    <row r="1274" spans="1:25" x14ac:dyDescent="0.3">
      <c r="A1274">
        <v>63650</v>
      </c>
      <c r="B1274" t="s">
        <v>13027</v>
      </c>
      <c r="C1274">
        <f>-672.097603645209 -83.2867456489487 -97.0195344923264</f>
        <v>-852.40388378648413</v>
      </c>
      <c r="D1274">
        <f>-690.85090792905 -96.92552730683 -210.503066963615</f>
        <v>-998.27950219949491</v>
      </c>
      <c r="E1274">
        <f>-700.287188406254 -101.814782327878 -308.552522966661</f>
        <v>-1110.654493700793</v>
      </c>
      <c r="F1274">
        <f>-706.620131758868 -103.812981392738 -397.401635471314</f>
        <v>-1207.83474862292</v>
      </c>
      <c r="G1274">
        <f>-710.374250841526 -103.309040677239 -486.417824794049</f>
        <v>-1300.1011163128139</v>
      </c>
      <c r="H1274">
        <f>-712.869199451391 -100.027416099797 -610.93217366326</f>
        <v>-1423.8287892144481</v>
      </c>
      <c r="I1274">
        <f>-690.996399208232 -89.0405957619512 -690.341934629107</f>
        <v>-1470.3789295992901</v>
      </c>
      <c r="J1274">
        <f>-720.548142510882 -75.2035737231724 -555.271421811232</f>
        <v>-1351.0231380452865</v>
      </c>
      <c r="K1274" t="s">
        <v>13028</v>
      </c>
      <c r="L1274" t="s">
        <v>13029</v>
      </c>
      <c r="M1274" t="s">
        <v>13030</v>
      </c>
      <c r="N1274">
        <f>-702.994428865625 -127.739487541365 -557.007777164627</f>
        <v>-1387.7416935716169</v>
      </c>
      <c r="O1274">
        <f>-660.123652324377 -255.611316485344 -530.391143555871</f>
        <v>-1446.126112365592</v>
      </c>
      <c r="P1274">
        <f>-615.462153130774 -323.502827069144 -247.570809129196</f>
        <v>-1186.5357893291141</v>
      </c>
      <c r="Q1274">
        <f>-479.503727804634 -126.179617870632 -272.66602115263</f>
        <v>-878.34936682789612</v>
      </c>
      <c r="R1274" t="s">
        <v>13031</v>
      </c>
      <c r="S1274" t="s">
        <v>13032</v>
      </c>
      <c r="T1274" t="s">
        <v>13033</v>
      </c>
      <c r="U1274" t="s">
        <v>13034</v>
      </c>
      <c r="V1274">
        <f>-632.702753062325 -171.159252399843 -94.1467836312213</f>
        <v>-898.00878909338928</v>
      </c>
      <c r="W1274" t="s">
        <v>13035</v>
      </c>
      <c r="X1274" t="s">
        <v>13036</v>
      </c>
      <c r="Y1274" t="s">
        <v>13037</v>
      </c>
    </row>
    <row r="1275" spans="1:25" x14ac:dyDescent="0.3">
      <c r="A1275">
        <v>63700</v>
      </c>
      <c r="B1275" t="s">
        <v>13038</v>
      </c>
      <c r="C1275">
        <f>-671.795082892373 -83.0447814144263 -97.0629531439569</f>
        <v>-851.90281745075617</v>
      </c>
      <c r="D1275">
        <f>-690.406004126467 -96.6897883971949 -210.569208397907</f>
        <v>-997.66500092156889</v>
      </c>
      <c r="E1275">
        <f>-699.717461456738 -101.619719132316 -308.628508648691</f>
        <v>-1109.965689237745</v>
      </c>
      <c r="F1275">
        <f>-705.937130899674 -103.669374494917 -397.484355041082</f>
        <v>-1207.090860435673</v>
      </c>
      <c r="G1275">
        <f>-709.578607911033 -103.230896517721 -486.505692433844</f>
        <v>-1299.315196862598</v>
      </c>
      <c r="H1275">
        <f>-711.916784310596 -100.055144348878 -611.025744900338</f>
        <v>-1422.997673559812</v>
      </c>
      <c r="I1275">
        <f>-690.075808940739 -89.1621984883873 -690.45714928065</f>
        <v>-1469.6951567097763</v>
      </c>
      <c r="J1275">
        <f>-719.730243103919 -75.2056194623347 -555.395130426284</f>
        <v>-1350.3309929925376</v>
      </c>
      <c r="K1275" t="s">
        <v>13039</v>
      </c>
      <c r="L1275" t="s">
        <v>13040</v>
      </c>
      <c r="M1275" t="s">
        <v>13041</v>
      </c>
      <c r="N1275">
        <f>-702.045432876499 -127.699612746924 -557.066102738692</f>
        <v>-1386.8111483621151</v>
      </c>
      <c r="O1275">
        <f>-658.765049309869 -255.387845921825 -530.237585764775</f>
        <v>-1444.390480996469</v>
      </c>
      <c r="P1275">
        <f>-610.518927471809 -321.108797961873 -247.493473797202</f>
        <v>-1179.121199230884</v>
      </c>
      <c r="Q1275">
        <f>-478.420127758374 -120.635362908881 -267.77115784964</f>
        <v>-866.82664851689515</v>
      </c>
      <c r="R1275" t="s">
        <v>13042</v>
      </c>
      <c r="S1275" t="s">
        <v>13043</v>
      </c>
      <c r="T1275" t="s">
        <v>13044</v>
      </c>
      <c r="U1275" t="s">
        <v>13045</v>
      </c>
      <c r="V1275">
        <f>-632.251543772431 -170.857804071763 -94.1709475612922</f>
        <v>-897.28029540548619</v>
      </c>
      <c r="W1275" t="s">
        <v>13046</v>
      </c>
      <c r="X1275" t="s">
        <v>13047</v>
      </c>
      <c r="Y1275" t="s">
        <v>13048</v>
      </c>
    </row>
    <row r="1276" spans="1:25" x14ac:dyDescent="0.3">
      <c r="A1276">
        <v>63750</v>
      </c>
      <c r="B1276" t="s">
        <v>13049</v>
      </c>
      <c r="C1276">
        <f>-671.564002548137 -83.029213268708 -97.076111691552</f>
        <v>-851.66932750839692</v>
      </c>
      <c r="D1276">
        <f>-690.101060494963 -96.7133906774795 -210.589795280419</f>
        <v>-997.40424645286157</v>
      </c>
      <c r="E1276">
        <f>-699.359547980498 -101.66936772168 -308.652876385375</f>
        <v>-1109.681792087553</v>
      </c>
      <c r="F1276">
        <f>-705.534959326557 -103.740598758141 -397.511208729506</f>
        <v>-1206.7867668142039</v>
      </c>
      <c r="G1276">
        <f>-709.136606117086 -103.320406211251 -486.534224588193</f>
        <v>-1298.9912369165299</v>
      </c>
      <c r="H1276">
        <f>-711.423914840037 -100.166743012688 -611.055759619245</f>
        <v>-1422.6464174719699</v>
      </c>
      <c r="I1276">
        <f>-689.605192892118 -89.3139847225395 -690.498845270031</f>
        <v>-1469.4180228846885</v>
      </c>
      <c r="J1276">
        <f>-719.320561387745 -75.3278366820218 -555.432242353763</f>
        <v>-1350.0806404235298</v>
      </c>
      <c r="K1276" t="s">
        <v>13050</v>
      </c>
      <c r="L1276" t="s">
        <v>13051</v>
      </c>
      <c r="M1276" t="s">
        <v>13052</v>
      </c>
      <c r="N1276">
        <f>-701.514142957471 -127.781210737258 -557.08780694746</f>
        <v>-1386.3831606421891</v>
      </c>
      <c r="O1276">
        <f>-657.935188561656 -255.361804710299 -530.182669518385</f>
        <v>-1443.4796627903399</v>
      </c>
      <c r="P1276">
        <f>-608.641422118564 -320.165027087021 -247.407398961777</f>
        <v>-1176.2138481673621</v>
      </c>
      <c r="Q1276">
        <f>-478.107523287725 -118.514242863211 -266.081540064167</f>
        <v>-862.70330621510288</v>
      </c>
      <c r="R1276" t="s">
        <v>13053</v>
      </c>
      <c r="S1276" t="s">
        <v>13054</v>
      </c>
      <c r="T1276" t="s">
        <v>13055</v>
      </c>
      <c r="U1276" t="s">
        <v>13056</v>
      </c>
      <c r="V1276">
        <f>-631.895753045173 -170.835932278268 -94.1777435616926</f>
        <v>-896.90942888513371</v>
      </c>
      <c r="W1276" t="s">
        <v>13057</v>
      </c>
      <c r="X1276" t="s">
        <v>13058</v>
      </c>
      <c r="Y1276" t="s">
        <v>13059</v>
      </c>
    </row>
    <row r="1277" spans="1:25" x14ac:dyDescent="0.3">
      <c r="A1277">
        <v>63800</v>
      </c>
      <c r="B1277" t="s">
        <v>13060</v>
      </c>
      <c r="C1277">
        <f>-671.0549061656 -82.7471166008565 -97.1323101225984</f>
        <v>-850.93433288905487</v>
      </c>
      <c r="D1277">
        <f>-689.478542593305 -96.5235255080877 -210.653203518325</f>
        <v>-996.65527161971761</v>
      </c>
      <c r="E1277">
        <f>-698.670761970128 -101.525669006575 -308.720283336945</f>
        <v>-1108.9167143136478</v>
      </c>
      <c r="F1277">
        <f>-704.798431554309 -103.626439899172 -397.581273299765</f>
        <v>-1206.006144753246</v>
      </c>
      <c r="G1277">
        <f>-708.366008142183 -103.220879244173 -486.605733364836</f>
        <v>-1298.192620751192</v>
      </c>
      <c r="H1277">
        <f>-710.621007851737 -100.070361865445 -611.128076194203</f>
        <v>-1421.8194459113849</v>
      </c>
      <c r="I1277">
        <f>-688.843834183552 -89.2575898219889 -690.587916334516</f>
        <v>-1468.6893403400568</v>
      </c>
      <c r="J1277">
        <f>-718.716955215453 -75.2935626575047 -555.505364460215</f>
        <v>-1349.5158823331726</v>
      </c>
      <c r="K1277" t="s">
        <v>13061</v>
      </c>
      <c r="L1277" t="s">
        <v>13062</v>
      </c>
      <c r="M1277" t="s">
        <v>13063</v>
      </c>
      <c r="N1277">
        <f>-700.540472722133 -127.61995215443 -557.158388446956</f>
        <v>-1385.318813323519</v>
      </c>
      <c r="O1277">
        <f>-656.085714419902 -254.871532893497 -530.228351514302</f>
        <v>-1441.1855988277011</v>
      </c>
      <c r="P1277">
        <f>-605.578544540264 -318.149368447225 -247.321833660321</f>
        <v>-1171.04974664781</v>
      </c>
      <c r="Q1277">
        <f>-476.873244932512 -115.0303850322 -262.436763279244</f>
        <v>-854.3403932439561</v>
      </c>
      <c r="R1277" t="s">
        <v>13064</v>
      </c>
      <c r="S1277" t="s">
        <v>13065</v>
      </c>
      <c r="T1277" t="s">
        <v>13066</v>
      </c>
      <c r="U1277" t="s">
        <v>13067</v>
      </c>
      <c r="V1277">
        <f>-631.027426010511 -170.32712930712 -94.2109759341395</f>
        <v>-895.56553125177049</v>
      </c>
      <c r="W1277" t="s">
        <v>13068</v>
      </c>
      <c r="X1277" t="s">
        <v>13069</v>
      </c>
      <c r="Y1277" t="s">
        <v>13070</v>
      </c>
    </row>
    <row r="1278" spans="1:25" x14ac:dyDescent="0.3">
      <c r="A1278">
        <v>63850</v>
      </c>
      <c r="B1278" t="s">
        <v>13071</v>
      </c>
      <c r="C1278">
        <f>-670.838190314329 -82.6227376178067 -97.1638731459751</f>
        <v>-850.62480107811086</v>
      </c>
      <c r="D1278">
        <f>-689.21756008185 -96.4527053645859 -210.685433473166</f>
        <v>-996.35569891960188</v>
      </c>
      <c r="E1278">
        <f>-698.435363686317 -101.505402948873 -308.747452830834</f>
        <v>-1108.6882194660241</v>
      </c>
      <c r="F1278">
        <f>-704.611937878267 -103.654036818083 -397.60409933062</f>
        <v>-1205.8700740269701</v>
      </c>
      <c r="G1278">
        <f>-708.254902671762 -103.296785388305 -486.625601078188</f>
        <v>-1298.177289138255</v>
      </c>
      <c r="H1278">
        <f>-710.643469779572 -100.213212599758 -611.14701843731</f>
        <v>-1422.00370081664</v>
      </c>
      <c r="I1278">
        <f>-688.893595202432 -89.4368323911792 -690.619433651457</f>
        <v>-1468.9498612450684</v>
      </c>
      <c r="J1278">
        <f>-718.787347649461 -75.4442214774692 -555.528061613305</f>
        <v>-1349.7596307402353</v>
      </c>
      <c r="K1278" t="s">
        <v>13072</v>
      </c>
      <c r="L1278" t="s">
        <v>13073</v>
      </c>
      <c r="M1278" t="s">
        <v>13074</v>
      </c>
      <c r="N1278">
        <f>-700.397352576869 -127.696030627785 -557.17472774145</f>
        <v>-1385.2681109461041</v>
      </c>
      <c r="O1278">
        <f>-655.413063870055 -254.760722520513 -530.217417645736</f>
        <v>-1440.3912040363039</v>
      </c>
      <c r="P1278">
        <f>-604.177174268574 -315.986678332622 -246.990587022897</f>
        <v>-1167.1544396240929</v>
      </c>
      <c r="Q1278">
        <f>-475.25468896532 -112.887695894177 -260.431648995801</f>
        <v>-848.57403385529801</v>
      </c>
      <c r="R1278" t="s">
        <v>13075</v>
      </c>
      <c r="S1278" t="s">
        <v>13076</v>
      </c>
      <c r="T1278" t="s">
        <v>13077</v>
      </c>
      <c r="U1278" t="s">
        <v>13078</v>
      </c>
      <c r="V1278">
        <f>-630.590055840214 -170.084306223592 -94.2439159708829</f>
        <v>-894.9182780346888</v>
      </c>
      <c r="W1278" t="s">
        <v>13079</v>
      </c>
      <c r="X1278" t="s">
        <v>13080</v>
      </c>
      <c r="Y1278" t="s">
        <v>13081</v>
      </c>
    </row>
    <row r="1279" spans="1:25" x14ac:dyDescent="0.3">
      <c r="A1279">
        <v>63900</v>
      </c>
      <c r="B1279" t="s">
        <v>13082</v>
      </c>
      <c r="C1279">
        <f>-670.446430166616 -82.2465851401785 -97.2143578708194</f>
        <v>-849.90737317761386</v>
      </c>
      <c r="D1279">
        <f>-688.737191634216 -96.1779239121672 -210.737761512889</f>
        <v>-995.65287705927221</v>
      </c>
      <c r="E1279">
        <f>-698.041906547891 -101.371189934076 -308.784270982415</f>
        <v>-1108.1973674643821</v>
      </c>
      <c r="F1279">
        <f>-704.363419530137 -103.669210643966 -397.626952309241</f>
        <v>-1205.6595824833439</v>
      </c>
      <c r="G1279">
        <f>-708.220207069661 -103.479124574747 -486.639956213547</f>
        <v>-1298.339287857955</v>
      </c>
      <c r="H1279">
        <f>-710.980850300668 -100.645440854771 -611.159743872527</f>
        <v>-1422.7860350279659</v>
      </c>
      <c r="I1279">
        <f>-689.28825999209 -89.9776716952422 -690.662205446067</f>
        <v>-1469.9281371333991</v>
      </c>
      <c r="J1279">
        <f>-719.165561661814 -75.8384903989606 -555.563379135225</f>
        <v>-1350.5674311959997</v>
      </c>
      <c r="K1279" t="s">
        <v>13083</v>
      </c>
      <c r="L1279" t="s">
        <v>13084</v>
      </c>
      <c r="M1279" t="s">
        <v>13085</v>
      </c>
      <c r="N1279">
        <f>-700.366690698758 -127.94617011822 -557.165905070647</f>
        <v>-1385.4787658876251</v>
      </c>
      <c r="O1279">
        <f>-654.231651455948 -254.573742117332 -530.061053910952</f>
        <v>-1438.8664474842321</v>
      </c>
      <c r="P1279">
        <f>-599.82552624178 -311.594149026799 -246.547700607275</f>
        <v>-1157.967375875854</v>
      </c>
      <c r="Q1279">
        <f>-471.490953593328 -107.882906109002 -255.649033832401</f>
        <v>-835.022893534731</v>
      </c>
      <c r="R1279" t="s">
        <v>13086</v>
      </c>
      <c r="S1279" t="s">
        <v>13087</v>
      </c>
      <c r="T1279" t="s">
        <v>13088</v>
      </c>
      <c r="U1279" t="s">
        <v>13089</v>
      </c>
      <c r="V1279">
        <f>-629.706996988225 -169.584238399026 -94.2952272239776</f>
        <v>-893.58646261122851</v>
      </c>
      <c r="W1279" t="s">
        <v>13090</v>
      </c>
      <c r="X1279" t="s">
        <v>13091</v>
      </c>
      <c r="Y1279" t="s">
        <v>13092</v>
      </c>
    </row>
    <row r="1280" spans="1:25" x14ac:dyDescent="0.3">
      <c r="A1280">
        <v>63950</v>
      </c>
      <c r="B1280" t="s">
        <v>13093</v>
      </c>
      <c r="C1280">
        <f>-670.194467267919 -82.0410037255415 -97.2570155287166</f>
        <v>-849.49248652217705</v>
      </c>
      <c r="D1280">
        <f>-688.431542576062 -96.0144091455538 -210.783956144105</f>
        <v>-995.22990786572086</v>
      </c>
      <c r="E1280">
        <f>-697.742046002132 -101.279505482616 -308.826066188982</f>
        <v>-1107.8476176737299</v>
      </c>
      <c r="F1280">
        <f>-704.090285211881 -103.657202599495 -397.664646746653</f>
        <v>-1205.412134558029</v>
      </c>
      <c r="G1280">
        <f>-707.996531037576 -103.559662918659 -486.675618092798</f>
        <v>-1298.2318120490331</v>
      </c>
      <c r="H1280">
        <f>-710.850695299976 -100.868310446133 -611.196482869411</f>
        <v>-1422.9154886155202</v>
      </c>
      <c r="I1280">
        <f>-689.178417807551 -90.2550744901253 -690.711931669507</f>
        <v>-1470.1454239671832</v>
      </c>
      <c r="J1280">
        <f>-719.07934004917 -76.0290586860031 -555.621119783006</f>
        <v>-1350.729518518179</v>
      </c>
      <c r="K1280" t="s">
        <v>13094</v>
      </c>
      <c r="L1280" t="s">
        <v>13095</v>
      </c>
      <c r="M1280" t="s">
        <v>13096</v>
      </c>
      <c r="N1280">
        <f>-700.110045227033 -128.076207039544 -557.180984179665</f>
        <v>-1385.3672364462418</v>
      </c>
      <c r="O1280">
        <f>-653.352889777075 -254.454339761058 -529.910670072503</f>
        <v>-1437.7178996106359</v>
      </c>
      <c r="P1280">
        <f>-597.776512514463 -309.803285938169 -246.293052597841</f>
        <v>-1153.8728510504729</v>
      </c>
      <c r="Q1280">
        <f>-470.163555935064 -105.573511228896 -253.776002301508</f>
        <v>-829.51306946546799</v>
      </c>
      <c r="R1280" t="s">
        <v>13097</v>
      </c>
      <c r="S1280" t="s">
        <v>13098</v>
      </c>
      <c r="T1280" t="s">
        <v>13099</v>
      </c>
      <c r="U1280" t="s">
        <v>13100</v>
      </c>
      <c r="V1280">
        <f>-629.255225069613 -169.373252826783 -94.3220896645624</f>
        <v>-892.95056756095835</v>
      </c>
      <c r="W1280" t="s">
        <v>13101</v>
      </c>
      <c r="X1280" t="s">
        <v>13102</v>
      </c>
      <c r="Y1280" t="s">
        <v>13103</v>
      </c>
    </row>
    <row r="1281" spans="1:25" x14ac:dyDescent="0.3">
      <c r="A1281">
        <v>64000</v>
      </c>
      <c r="B1281" t="s">
        <v>13104</v>
      </c>
      <c r="C1281">
        <f>-669.628965424605 -81.3827257611297 -97.3781280318893</f>
        <v>-848.38981921762399</v>
      </c>
      <c r="D1281">
        <f>-687.665367335402 -95.3747950593861 -210.934961648253</f>
        <v>-993.97512404304109</v>
      </c>
      <c r="E1281">
        <f>-696.850033231524 -100.740709783316 -308.983406090868</f>
        <v>-1106.5741491057079</v>
      </c>
      <c r="F1281">
        <f>-703.105434184469 -103.244290172941 -397.824967725615</f>
        <v>-1204.1746920830251</v>
      </c>
      <c r="G1281">
        <f>-706.942713107008 -103.303380088929 -486.839168156319</f>
        <v>-1297.0852613522559</v>
      </c>
      <c r="H1281">
        <f>-709.727520376755 -100.861821202531 -611.36662164294</f>
        <v>-1421.955963222226</v>
      </c>
      <c r="I1281">
        <f>-688.158631189055 -90.3726065833737 -690.926624070419</f>
        <v>-1469.4578618428477</v>
      </c>
      <c r="J1281">
        <f>-718.177716316242 -75.9815025971495 -555.842922134902</f>
        <v>-1350.0021410482937</v>
      </c>
      <c r="K1281" t="s">
        <v>13105</v>
      </c>
      <c r="L1281" t="s">
        <v>13106</v>
      </c>
      <c r="M1281" t="s">
        <v>13107</v>
      </c>
      <c r="N1281">
        <f>-698.826571571803 -127.891033685877 -557.293520080865</f>
        <v>-1384.0111253385451</v>
      </c>
      <c r="O1281">
        <f>-650.990757264304 -253.806639393777 -529.800946120859</f>
        <v>-1434.5983427789399</v>
      </c>
      <c r="P1281">
        <f>-595.450036973045 -308.500356543915 -246.049261637998</f>
        <v>-1149.999655154958</v>
      </c>
      <c r="Q1281">
        <f>-468.995208116491 -103.533220633244 -253.014177320797</f>
        <v>-825.54260607053197</v>
      </c>
      <c r="R1281" t="s">
        <v>13108</v>
      </c>
      <c r="S1281" t="s">
        <v>13109</v>
      </c>
      <c r="T1281" t="s">
        <v>13110</v>
      </c>
      <c r="U1281" t="s">
        <v>13111</v>
      </c>
      <c r="V1281">
        <f>-628.319697639508 -168.487143275623 -94.4202131475145</f>
        <v>-891.22705406264549</v>
      </c>
      <c r="W1281" t="s">
        <v>13112</v>
      </c>
      <c r="X1281" t="s">
        <v>13113</v>
      </c>
      <c r="Y1281" t="s">
        <v>13114</v>
      </c>
    </row>
    <row r="1282" spans="1:25" x14ac:dyDescent="0.3">
      <c r="A1282">
        <v>64050</v>
      </c>
      <c r="B1282" t="s">
        <v>13115</v>
      </c>
      <c r="C1282">
        <f>-669.35852714115 -80.9260034943231 -97.4279287113881</f>
        <v>-847.71245934686124</v>
      </c>
      <c r="D1282">
        <f>-687.295693209776 -94.9048365561689 -211.001992927352</f>
        <v>-993.20252269329694</v>
      </c>
      <c r="E1282">
        <f>-696.405182818172 -100.329591643627 -309.054315778244</f>
        <v>-1105.7890902400429</v>
      </c>
      <c r="F1282">
        <f>-702.597665846151 -102.915401626808 -397.898023414007</f>
        <v>-1203.4110908869661</v>
      </c>
      <c r="G1282">
        <f>-706.378046853477 -103.084592607907 -486.914456536811</f>
        <v>-1296.377095998195</v>
      </c>
      <c r="H1282">
        <f>-709.090326943865 -100.825722565093 -611.446948791173</f>
        <v>-1421.362998300131</v>
      </c>
      <c r="I1282">
        <f>-687.566947420283 -90.4439890403032 -691.033282437201</f>
        <v>-1469.0442188977872</v>
      </c>
      <c r="J1282">
        <f>-717.642158490165 -75.8899328736991 -555.963815460273</f>
        <v>-1349.4959068241371</v>
      </c>
      <c r="K1282" t="s">
        <v>13116</v>
      </c>
      <c r="L1282" t="s">
        <v>13117</v>
      </c>
      <c r="M1282" t="s">
        <v>13118</v>
      </c>
      <c r="N1282">
        <f>-698.151465039074 -127.749610033819 -557.328992940411</f>
        <v>-1383.2300680133039</v>
      </c>
      <c r="O1282">
        <f>-650.022836665221 -253.559296957244 -529.806961660164</f>
        <v>-1433.3890952826291</v>
      </c>
      <c r="P1282">
        <f>-595.626381533199 -308.11701973578 -245.807484595504</f>
        <v>-1149.550885864483</v>
      </c>
      <c r="Q1282">
        <f>-469.084442690334 -103.242344129184 -253.827488177694</f>
        <v>-826.15427499721204</v>
      </c>
      <c r="R1282" t="s">
        <v>13119</v>
      </c>
      <c r="S1282" t="s">
        <v>13120</v>
      </c>
      <c r="T1282" t="s">
        <v>13121</v>
      </c>
      <c r="U1282" t="s">
        <v>13122</v>
      </c>
      <c r="V1282">
        <f>-627.865606478832 -167.925357611475 -94.4727647041635</f>
        <v>-890.26372879447047</v>
      </c>
      <c r="W1282" t="s">
        <v>13123</v>
      </c>
      <c r="X1282" t="s">
        <v>13124</v>
      </c>
      <c r="Y1282" t="s">
        <v>13125</v>
      </c>
    </row>
    <row r="1283" spans="1:25" x14ac:dyDescent="0.3">
      <c r="A1283">
        <v>64100</v>
      </c>
      <c r="B1283" t="s">
        <v>13126</v>
      </c>
      <c r="C1283">
        <f>-668.749188937903 -80.1426615984262 -97.4968118132941</f>
        <v>-846.38866234962336</v>
      </c>
      <c r="D1283">
        <f>-686.493498918055 -94.1744264260344 -211.094649891811</f>
        <v>-991.76257523590039</v>
      </c>
      <c r="E1283">
        <f>-695.523204985716 -99.6708662093288 -309.150332037852</f>
        <v>-1104.3444032328969</v>
      </c>
      <c r="F1283">
        <f>-701.676162026403 -102.334054210858 -397.994509290716</f>
        <v>-1202.0047255279769</v>
      </c>
      <c r="G1283">
        <f>-705.449205643543 -102.593089831105 -487.011082573934</f>
        <v>-1295.0533780485821</v>
      </c>
      <c r="H1283">
        <f>-708.184830268467 -100.473069585559 -611.545478540385</f>
        <v>-1420.2033783944109</v>
      </c>
      <c r="I1283">
        <f>-686.692068417596 -90.245042487747 -691.160101110033</f>
        <v>-1468.097212015376</v>
      </c>
      <c r="J1283">
        <f>-716.765882006966 -75.4903827903961 -556.087882726365</f>
        <v>-1348.3441475237271</v>
      </c>
      <c r="K1283" t="s">
        <v>13127</v>
      </c>
      <c r="L1283" t="s">
        <v>13128</v>
      </c>
      <c r="M1283" t="s">
        <v>13129</v>
      </c>
      <c r="N1283">
        <f>-697.196184260021 -127.321538969834 -557.400069377131</f>
        <v>-1381.917792606986</v>
      </c>
      <c r="O1283">
        <f>-649.0417353147 -253.152693165393 -530.017702789387</f>
        <v>-1432.2121312694799</v>
      </c>
      <c r="P1283">
        <f>-596.048638595121 -309.397094107284 -246.082083807817</f>
        <v>-1151.527816510222</v>
      </c>
      <c r="Q1283">
        <f>-469.716582878313 -104.475399164587 -255.990808992996</f>
        <v>-830.182791035896</v>
      </c>
      <c r="R1283" t="s">
        <v>13130</v>
      </c>
      <c r="S1283" t="s">
        <v>13131</v>
      </c>
      <c r="T1283" t="s">
        <v>13132</v>
      </c>
      <c r="U1283" t="s">
        <v>13133</v>
      </c>
      <c r="V1283">
        <f>-626.919246236338 -167.113523849459 -94.5195424731006</f>
        <v>-888.5523125588976</v>
      </c>
      <c r="W1283" t="s">
        <v>13134</v>
      </c>
      <c r="X1283" t="s">
        <v>13135</v>
      </c>
      <c r="Y1283" t="s">
        <v>13136</v>
      </c>
    </row>
    <row r="1284" spans="1:25" x14ac:dyDescent="0.3">
      <c r="A1284">
        <v>64150</v>
      </c>
      <c r="B1284" t="s">
        <v>13137</v>
      </c>
      <c r="C1284">
        <f>-668.431223060529 -79.8258543933594 -97.5250642416237</f>
        <v>-845.782141695512</v>
      </c>
      <c r="D1284">
        <f>-686.141572256232 -93.913027445499 -211.121392364381</f>
        <v>-991.17599206611203</v>
      </c>
      <c r="E1284">
        <f>-695.159394539088 -99.4365405533795 -309.176462296258</f>
        <v>-1103.7723973887255</v>
      </c>
      <c r="F1284">
        <f>-701.307464254659 -102.116911025704 -398.02063522467</f>
        <v>-1201.445010505033</v>
      </c>
      <c r="G1284">
        <f>-705.081245198287 -102.385687195284 -487.037067136728</f>
        <v>-1294.5039995302991</v>
      </c>
      <c r="H1284">
        <f>-707.822991403061 -100.271556984156 -611.571471954741</f>
        <v>-1419.6660203419578</v>
      </c>
      <c r="I1284">
        <f>-686.281189914823 -90.1029127773472 -691.180371546718</f>
        <v>-1467.5644742388881</v>
      </c>
      <c r="J1284">
        <f>-716.404662841144 -75.2874786893117 -556.114621543413</f>
        <v>-1347.8067630738688</v>
      </c>
      <c r="K1284" t="s">
        <v>13138</v>
      </c>
      <c r="L1284" t="s">
        <v>13139</v>
      </c>
      <c r="M1284" t="s">
        <v>13140</v>
      </c>
      <c r="N1284">
        <f>-696.828409871649 -127.116185451843 -557.425386509354</f>
        <v>-1381.369981832846</v>
      </c>
      <c r="O1284">
        <f>-648.6767987593 -252.923054104456 -530.062573885177</f>
        <v>-1431.6624267489331</v>
      </c>
      <c r="P1284">
        <f>-596.001917067888 -310.215430758753 -246.277311636244</f>
        <v>-1152.494659462885</v>
      </c>
      <c r="Q1284">
        <f>-469.781250151544 -105.252746696476 -256.740780064825</f>
        <v>-831.77477691284503</v>
      </c>
      <c r="R1284" t="s">
        <v>13141</v>
      </c>
      <c r="S1284" t="s">
        <v>13142</v>
      </c>
      <c r="T1284" t="s">
        <v>13143</v>
      </c>
      <c r="U1284" t="s">
        <v>13144</v>
      </c>
      <c r="V1284">
        <f>-626.548714348771 -166.765693319202 -94.5266858911516</f>
        <v>-887.8410935591246</v>
      </c>
      <c r="W1284" t="s">
        <v>13145</v>
      </c>
      <c r="X1284" t="s">
        <v>13146</v>
      </c>
      <c r="Y1284" t="s">
        <v>13147</v>
      </c>
    </row>
    <row r="1285" spans="1:25" x14ac:dyDescent="0.3">
      <c r="A1285">
        <v>64200</v>
      </c>
      <c r="B1285" t="s">
        <v>13148</v>
      </c>
      <c r="C1285">
        <f>-668.025502802704 -79.4411165227705 -97.5958564317264</f>
        <v>-845.06247575720079</v>
      </c>
      <c r="D1285">
        <f>-685.759809648148 -93.6533520775331 -211.172838446539</f>
        <v>-990.58600017222011</v>
      </c>
      <c r="E1285">
        <f>-694.819242826615 -99.2668204904851 -309.219126774381</f>
        <v>-1103.3051900914811</v>
      </c>
      <c r="F1285">
        <f>-701.012732708695 -102.021633508517 -398.05769604189</f>
        <v>-1201.092062259102</v>
      </c>
      <c r="G1285">
        <f>-704.838989223365 -102.358341910839 -487.071735582113</f>
        <v>-1294.269066716317</v>
      </c>
      <c r="H1285">
        <f>-707.660887980596 -100.332617661859 -611.605824370633</f>
        <v>-1419.5993300130881</v>
      </c>
      <c r="I1285">
        <f>-686.002975232418 -90.2995643396303 -691.20032064153</f>
        <v>-1467.5028602135781</v>
      </c>
      <c r="J1285">
        <f>-716.192266537514 -75.3037438174829 -556.161477187039</f>
        <v>-1347.6574875420361</v>
      </c>
      <c r="K1285" t="s">
        <v>13149</v>
      </c>
      <c r="L1285" t="s">
        <v>13150</v>
      </c>
      <c r="M1285" t="s">
        <v>13151</v>
      </c>
      <c r="N1285">
        <f>-696.645885300145 -127.144350968215 -557.447693425659</f>
        <v>-1381.2379296940189</v>
      </c>
      <c r="O1285">
        <f>-648.460851508419 -252.950042879678 -530.102694037235</f>
        <v>-1431.5135884253318</v>
      </c>
      <c r="P1285">
        <f>-596.115598271815 -313.248513913642 -246.879844135778</f>
        <v>-1156.2439563212349</v>
      </c>
      <c r="Q1285">
        <f>-470.953058599258 -107.632090690006 -257.227363429838</f>
        <v>-835.81251271910196</v>
      </c>
      <c r="R1285" t="s">
        <v>13152</v>
      </c>
      <c r="S1285" t="s">
        <v>13153</v>
      </c>
      <c r="T1285" t="s">
        <v>13154</v>
      </c>
      <c r="U1285" t="s">
        <v>13155</v>
      </c>
      <c r="V1285">
        <f>-626.121179676782 -166.313160411935 -94.5304964591359</f>
        <v>-886.96483654785288</v>
      </c>
      <c r="W1285" t="s">
        <v>13156</v>
      </c>
      <c r="X1285" t="s">
        <v>13157</v>
      </c>
      <c r="Y1285" t="s">
        <v>13158</v>
      </c>
    </row>
    <row r="1286" spans="1:25" x14ac:dyDescent="0.3">
      <c r="A1286">
        <v>64250</v>
      </c>
      <c r="B1286" t="s">
        <v>13159</v>
      </c>
      <c r="C1286">
        <f>-667.930925273702 -79.4304950725223 -97.631187599456</f>
        <v>-844.99260794568022</v>
      </c>
      <c r="D1286">
        <f>-685.681663477953 -93.6774607729581 -211.201249470206</f>
        <v>-990.560373721117</v>
      </c>
      <c r="E1286">
        <f>-694.775821119742 -99.3053701890842 -309.24352827927</f>
        <v>-1103.3247195880963</v>
      </c>
      <c r="F1286">
        <f>-701.008306512683 -102.066740359083 -398.079230879643</f>
        <v>-1201.1542777514092</v>
      </c>
      <c r="G1286">
        <f>-704.881184425846 -102.403860176383 -487.091142584423</f>
        <v>-1294.3761871866518</v>
      </c>
      <c r="H1286">
        <f>-707.776081600613 -100.372224630803 -611.623435840825</f>
        <v>-1419.7717420722411</v>
      </c>
      <c r="I1286">
        <f>-686.089902706261 -90.3668116792589 -691.213846516792</f>
        <v>-1467.670560902312</v>
      </c>
      <c r="J1286">
        <f>-716.263761690945 -75.3416821566561 -556.173081093084</f>
        <v>-1347.7785249406852</v>
      </c>
      <c r="K1286" t="s">
        <v>13160</v>
      </c>
      <c r="L1286" t="s">
        <v>13161</v>
      </c>
      <c r="M1286" t="s">
        <v>13162</v>
      </c>
      <c r="N1286">
        <f>-696.740652239844 -127.190760995056 -557.472816903114</f>
        <v>-1381.4042301380141</v>
      </c>
      <c r="O1286">
        <f>-648.54648772133 -253.002295040485 -530.145954575906</f>
        <v>-1431.6947373377211</v>
      </c>
      <c r="P1286">
        <f>-596.359289728963 -314.087515607963 -247.062342655461</f>
        <v>-1157.5091479923869</v>
      </c>
      <c r="Q1286">
        <f>-471.688145068162 -108.164809884356 -257.250374320213</f>
        <v>-837.10332927273089</v>
      </c>
      <c r="R1286" t="s">
        <v>13163</v>
      </c>
      <c r="S1286" t="s">
        <v>13164</v>
      </c>
      <c r="T1286" t="s">
        <v>13165</v>
      </c>
      <c r="U1286" t="s">
        <v>13166</v>
      </c>
      <c r="V1286">
        <f>-625.99278318943 -166.302130511717 -94.5350078526452</f>
        <v>-886.82992155379225</v>
      </c>
      <c r="W1286" t="s">
        <v>13167</v>
      </c>
      <c r="X1286" t="s">
        <v>13168</v>
      </c>
      <c r="Y1286" t="s">
        <v>13169</v>
      </c>
    </row>
    <row r="1287" spans="1:25" x14ac:dyDescent="0.3">
      <c r="A1287">
        <v>64300</v>
      </c>
      <c r="B1287" t="s">
        <v>13170</v>
      </c>
      <c r="C1287">
        <f>-667.756048937055 -79.2509028097022 -97.6907992815818</f>
        <v>-844.69775102833898</v>
      </c>
      <c r="D1287">
        <f>-685.532436282403 -93.5660023178709 -211.24828275612</f>
        <v>-990.34672135639391</v>
      </c>
      <c r="E1287">
        <f>-694.670861874393 -99.2256258215562 -309.284575087616</f>
        <v>-1103.1810627835653</v>
      </c>
      <c r="F1287">
        <f>-700.951564841618 -102.004988727029 -398.116198705471</f>
        <v>-1201.0727522741181</v>
      </c>
      <c r="G1287">
        <f>-704.879658549104 -102.349872985672 -487.125747124027</f>
        <v>-1294.3552786588029</v>
      </c>
      <c r="H1287">
        <f>-707.858184004083 -100.319111699791 -611.656196488786</f>
        <v>-1419.8334921926601</v>
      </c>
      <c r="I1287">
        <f>-686.098159428634 -90.3565412989776 -691.231769359451</f>
        <v>-1467.6864700870626</v>
      </c>
      <c r="J1287">
        <f>-716.242124633661 -75.2632755410577 -556.201409267392</f>
        <v>-1347.7068094421106</v>
      </c>
      <c r="K1287" t="s">
        <v>13171</v>
      </c>
      <c r="L1287" t="s">
        <v>13172</v>
      </c>
      <c r="M1287" t="s">
        <v>13173</v>
      </c>
      <c r="N1287">
        <f>-696.852807754355 -127.162163474919 -557.511504177438</f>
        <v>-1381.5264754067121</v>
      </c>
      <c r="O1287">
        <f>-648.937728793542 -253.052383802835 -530.072902633897</f>
        <v>-1432.063015230274</v>
      </c>
      <c r="P1287">
        <f>-597.232210737668 -314.291777796586 -246.934240821798</f>
        <v>-1158.458229356052</v>
      </c>
      <c r="Q1287">
        <f>-473.105160914457 -108.061758157635 -257.541817803405</f>
        <v>-838.70873687549704</v>
      </c>
      <c r="R1287" t="s">
        <v>13174</v>
      </c>
      <c r="S1287" t="s">
        <v>13175</v>
      </c>
      <c r="T1287" t="s">
        <v>13176</v>
      </c>
      <c r="U1287" t="s">
        <v>13177</v>
      </c>
      <c r="V1287">
        <f>-625.924542256527 -165.934482856715 -94.5376925882721</f>
        <v>-886.39671770151415</v>
      </c>
      <c r="W1287" t="s">
        <v>13178</v>
      </c>
      <c r="X1287" t="s">
        <v>13179</v>
      </c>
      <c r="Y1287" t="s">
        <v>13180</v>
      </c>
    </row>
    <row r="1288" spans="1:25" x14ac:dyDescent="0.3">
      <c r="A1288">
        <v>64350</v>
      </c>
      <c r="B1288" t="s">
        <v>13181</v>
      </c>
      <c r="C1288">
        <f>-667.76078558221 -79.2283905634081 -97.7103657870176</f>
        <v>-844.69954193263573</v>
      </c>
      <c r="D1288">
        <f>-685.566076108201 -93.5380218424689 -211.263918275325</f>
        <v>-990.36801622599478</v>
      </c>
      <c r="E1288">
        <f>-694.730154043373 -99.2094662625395 -309.297192958308</f>
        <v>-1103.2368132642205</v>
      </c>
      <c r="F1288">
        <f>-701.034902574678 -102.005129534823 -398.12660098734</f>
        <v>-1201.166633096841</v>
      </c>
      <c r="G1288">
        <f>-704.987735213557 -102.372781747664 -487.135095693768</f>
        <v>-1294.4956126549891</v>
      </c>
      <c r="H1288">
        <f>-708.00180130052 -100.380291875398 -611.665201608451</f>
        <v>-1420.0472947843691</v>
      </c>
      <c r="I1288">
        <f>-686.232034855569 -90.454222667775 -691.2426674327</f>
        <v>-1467.9289249560441</v>
      </c>
      <c r="J1288">
        <f>-716.330418867316 -75.2926290234032 -556.216545544305</f>
        <v>-1347.8395934350242</v>
      </c>
      <c r="K1288" t="s">
        <v>13182</v>
      </c>
      <c r="L1288" t="s">
        <v>13183</v>
      </c>
      <c r="M1288" t="s">
        <v>13184</v>
      </c>
      <c r="N1288">
        <f>-697.020479040958 -127.22150131602 -557.514704338979</f>
        <v>-1381.7566846959569</v>
      </c>
      <c r="O1288">
        <f>-649.325306767192 -253.187985793384 -529.99434786943</f>
        <v>-1432.5076404300062</v>
      </c>
      <c r="P1288">
        <f>-598.05253365614 -314.264246658472 -246.741670779788</f>
        <v>-1159.0584510944</v>
      </c>
      <c r="Q1288">
        <f>-473.770756519707 -108.160243476599 -257.969448098357</f>
        <v>-839.90044809466303</v>
      </c>
      <c r="R1288" t="s">
        <v>13185</v>
      </c>
      <c r="S1288" t="s">
        <v>13186</v>
      </c>
      <c r="T1288" t="s">
        <v>13187</v>
      </c>
      <c r="U1288" t="s">
        <v>13188</v>
      </c>
      <c r="V1288">
        <f>-626.098537981425 -165.943406233253 -94.5338996206723</f>
        <v>-886.57584383535027</v>
      </c>
      <c r="W1288" t="s">
        <v>13189</v>
      </c>
      <c r="X1288" t="s">
        <v>13190</v>
      </c>
      <c r="Y1288" t="s">
        <v>13191</v>
      </c>
    </row>
    <row r="1289" spans="1:25" x14ac:dyDescent="0.3">
      <c r="A1289">
        <v>64400</v>
      </c>
      <c r="B1289" t="s">
        <v>13192</v>
      </c>
      <c r="C1289">
        <f>-667.910964985255 -79.0683922547955 -97.7424406050476</f>
        <v>-844.72179784509808</v>
      </c>
      <c r="D1289">
        <f>-685.733434595153 -93.3775749056636 -211.29338777645</f>
        <v>-990.40439727726653</v>
      </c>
      <c r="E1289">
        <f>-694.879065315476 -99.0259202211901 -309.329703668356</f>
        <v>-1103.2346892050221</v>
      </c>
      <c r="F1289">
        <f>-701.155815842958 -101.789013822873 -398.162229107338</f>
        <v>-1201.107058773169</v>
      </c>
      <c r="G1289">
        <f>-705.069149738022 -102.112816774778 -487.172441368076</f>
        <v>-1294.3544078808761</v>
      </c>
      <c r="H1289">
        <f>-708.016833749079 -100.046619212185 -611.70300076968</f>
        <v>-1419.7664537309438</v>
      </c>
      <c r="I1289">
        <f>-686.210755943644 -90.1692566003835 -691.276636570331</f>
        <v>-1467.6566491143585</v>
      </c>
      <c r="J1289">
        <f>-716.332377004375 -74.9759567309757 -556.244734226275</f>
        <v>-1347.5530679616256</v>
      </c>
      <c r="K1289" t="s">
        <v>13193</v>
      </c>
      <c r="L1289" t="s">
        <v>13194</v>
      </c>
      <c r="M1289" t="s">
        <v>13195</v>
      </c>
      <c r="N1289">
        <f>-697.107084734246 -126.935758299975 -557.561783687972</f>
        <v>-1381.604626722193</v>
      </c>
      <c r="O1289">
        <f>-649.855919547318 -253.044298614763 -530.032219106165</f>
        <v>-1432.9324372682458</v>
      </c>
      <c r="P1289">
        <f>-599.45536448097 -313.95565116124 -246.587657042133</f>
        <v>-1159.9986726843431</v>
      </c>
      <c r="Q1289">
        <f>-474.07584400727 -108.565686075368 -258.664871428006</f>
        <v>-841.30640151064404</v>
      </c>
      <c r="R1289" t="s">
        <v>13196</v>
      </c>
      <c r="S1289" t="s">
        <v>13197</v>
      </c>
      <c r="T1289" t="s">
        <v>13198</v>
      </c>
      <c r="U1289" t="s">
        <v>13199</v>
      </c>
      <c r="V1289">
        <f>-626.529137686964 -165.751414891302 -94.5346588170702</f>
        <v>-886.81521139533618</v>
      </c>
      <c r="W1289" t="s">
        <v>13200</v>
      </c>
      <c r="X1289" t="s">
        <v>13201</v>
      </c>
      <c r="Y1289" t="s">
        <v>13202</v>
      </c>
    </row>
    <row r="1290" spans="1:25" x14ac:dyDescent="0.3">
      <c r="A1290">
        <v>64450</v>
      </c>
      <c r="B1290" t="s">
        <v>13203</v>
      </c>
      <c r="C1290">
        <f>-667.986995553331 -78.865980880511 -97.7821126514096</f>
        <v>-844.63508908525159</v>
      </c>
      <c r="D1290">
        <f>-685.797600036348 -93.1497414633186 -211.338127006787</f>
        <v>-990.28546850645353</v>
      </c>
      <c r="E1290">
        <f>-694.903634155467 -98.8097595966035 -309.377496441423</f>
        <v>-1103.0908901934936</v>
      </c>
      <c r="F1290">
        <f>-701.134160631996 -101.595609356915 -398.212547709218</f>
        <v>-1200.942317698129</v>
      </c>
      <c r="G1290">
        <f>-704.991787111815 -101.954038736097 -487.225083029262</f>
        <v>-1294.170908877174</v>
      </c>
      <c r="H1290">
        <f>-707.85229613787 -99.9484770401225 -611.758674459594</f>
        <v>-1419.5594476375863</v>
      </c>
      <c r="I1290">
        <f>-686.003413934691 -90.1485010801987 -691.330084055716</f>
        <v>-1467.4819990706058</v>
      </c>
      <c r="J1290">
        <f>-716.19521775028 -74.8466054457083 -556.318540305669</f>
        <v>-1347.3603635016573</v>
      </c>
      <c r="K1290" t="s">
        <v>13204</v>
      </c>
      <c r="L1290" t="s">
        <v>13205</v>
      </c>
      <c r="M1290" t="s">
        <v>13206</v>
      </c>
      <c r="N1290">
        <f>-696.991924111946 -126.815504139139 -557.596600659313</f>
        <v>-1381.404028910398</v>
      </c>
      <c r="O1290">
        <f>-649.827708737844 -252.96698142036 -530.089096417374</f>
        <v>-1432.8837865755781</v>
      </c>
      <c r="P1290">
        <f>-599.511452803403 -313.849636029821 -246.623351232987</f>
        <v>-1159.9844400662109</v>
      </c>
      <c r="Q1290">
        <f>-473.930943538176 -108.575634477075 -258.583309667862</f>
        <v>-841.08988768311292</v>
      </c>
      <c r="R1290" t="s">
        <v>13207</v>
      </c>
      <c r="S1290" t="s">
        <v>13208</v>
      </c>
      <c r="T1290" t="s">
        <v>13209</v>
      </c>
      <c r="U1290" t="s">
        <v>13210</v>
      </c>
      <c r="V1290">
        <f>-626.747821248092 -165.500878229552 -94.550849892021</f>
        <v>-886.79954936966499</v>
      </c>
      <c r="W1290" t="s">
        <v>13211</v>
      </c>
      <c r="X1290" t="s">
        <v>13212</v>
      </c>
      <c r="Y1290" t="s">
        <v>13213</v>
      </c>
    </row>
    <row r="1291" spans="1:25" x14ac:dyDescent="0.3">
      <c r="A1291">
        <v>64500</v>
      </c>
      <c r="B1291" t="s">
        <v>13214</v>
      </c>
      <c r="C1291">
        <f>-668.238687463835 -78.3143676662762 -97.8418266198527</f>
        <v>-844.39488174996393</v>
      </c>
      <c r="D1291">
        <f>-686.040176865089 -92.4711522416678 -211.415248986015</f>
        <v>-989.92657809277193</v>
      </c>
      <c r="E1291">
        <f>-695.113106534552 -98.2441195708961 -309.451062934552</f>
        <v>-1102.8082890400001</v>
      </c>
      <c r="F1291">
        <f>-701.309188019478 -101.218159668855 -398.282357110877</f>
        <v>-1200.8097047992101</v>
      </c>
      <c r="G1291">
        <f>-705.130899848493 -101.850819958742 -487.294828767212</f>
        <v>-1294.2765485744469</v>
      </c>
      <c r="H1291">
        <f>-707.941947121395 -100.317563786401 -611.836212580699</f>
        <v>-1420.095723488495</v>
      </c>
      <c r="I1291">
        <f>-685.975245187989 -90.7924664141917 -691.408571951059</f>
        <v>-1468.1762835532397</v>
      </c>
      <c r="J1291">
        <f>-716.281313298423 -74.9961898761819 -556.495518509615</f>
        <v>-1347.7730216842199</v>
      </c>
      <c r="K1291" t="s">
        <v>13215</v>
      </c>
      <c r="L1291" t="s">
        <v>13216</v>
      </c>
      <c r="M1291" t="s">
        <v>13217</v>
      </c>
      <c r="N1291">
        <f>-697.128574067147 -126.988383473254 -557.567812057285</f>
        <v>-1381.684769597686</v>
      </c>
      <c r="O1291">
        <f>-649.993683446643 -253.088615824256 -529.728323566401</f>
        <v>-1432.8106228372999</v>
      </c>
      <c r="P1291">
        <f>-599.526567833576 -313.885160557752 -246.270929374593</f>
        <v>-1159.682657765921</v>
      </c>
      <c r="Q1291">
        <f>-474.643654986267 -108.172051253963 -257.985942716214</f>
        <v>-840.80164895644407</v>
      </c>
      <c r="R1291" t="s">
        <v>13218</v>
      </c>
      <c r="S1291" t="s">
        <v>13219</v>
      </c>
      <c r="T1291" t="s">
        <v>13220</v>
      </c>
      <c r="U1291" t="s">
        <v>13221</v>
      </c>
      <c r="V1291">
        <f>-627.209690731181 -165.082613164935 -94.5953826189073</f>
        <v>-886.88768651502323</v>
      </c>
      <c r="W1291" t="s">
        <v>13222</v>
      </c>
      <c r="X1291" t="s">
        <v>13223</v>
      </c>
      <c r="Y1291" t="s">
        <v>13224</v>
      </c>
    </row>
    <row r="1292" spans="1:25" x14ac:dyDescent="0.3">
      <c r="A1292">
        <v>64550</v>
      </c>
      <c r="B1292" t="s">
        <v>13225</v>
      </c>
      <c r="C1292">
        <f>-668.3034822698 -78.0338961957134 -97.8585664814781</f>
        <v>-844.19594494699152</v>
      </c>
      <c r="D1292">
        <f>-686.08736473853 -92.1286766369894 -211.442487144639</f>
        <v>-989.65852852015848</v>
      </c>
      <c r="E1292">
        <f>-695.151220249782 -97.9805035615323 -309.474371588009</f>
        <v>-1102.6060953993233</v>
      </c>
      <c r="F1292">
        <f>-701.345137928197 -101.077380898887 -398.3016430146</f>
        <v>-1200.724161841684</v>
      </c>
      <c r="G1292">
        <f>-705.171552106276 -101.88405258385 -487.312634704885</f>
        <v>-1294.368239395011</v>
      </c>
      <c r="H1292">
        <f>-707.997891230822 -100.647214317486 -611.856999909983</f>
        <v>-1420.502105458291</v>
      </c>
      <c r="I1292">
        <f>-685.952780659477 -91.2702868476936 -691.425305208161</f>
        <v>-1468.6483727153316</v>
      </c>
      <c r="J1292">
        <f>-716.325029667759 -75.1922494167875 -556.575708965795</f>
        <v>-1348.0929880503415</v>
      </c>
      <c r="K1292" t="s">
        <v>13226</v>
      </c>
      <c r="L1292" t="s">
        <v>13227</v>
      </c>
      <c r="M1292" t="s">
        <v>13228</v>
      </c>
      <c r="N1292">
        <f>-697.183346893207 -127.190740032675 -557.526503101975</f>
        <v>-1381.9005900278571</v>
      </c>
      <c r="O1292">
        <f>-649.988908026403 -253.215592262352 -529.419204672069</f>
        <v>-1432.6237049608239</v>
      </c>
      <c r="P1292">
        <f>-600.21552998602 -313.83375061667 -245.801049498247</f>
        <v>-1159.8503301009371</v>
      </c>
      <c r="Q1292">
        <f>-475.798381053226 -107.834630490697 -257.44531292618</f>
        <v>-841.07832447010298</v>
      </c>
      <c r="R1292" t="s">
        <v>13229</v>
      </c>
      <c r="S1292" t="s">
        <v>13230</v>
      </c>
      <c r="T1292" t="s">
        <v>13231</v>
      </c>
      <c r="U1292" t="s">
        <v>13232</v>
      </c>
      <c r="V1292">
        <f>-627.353704665527 -164.846052924245 -94.6236772237758</f>
        <v>-886.82343481354769</v>
      </c>
      <c r="W1292" t="s">
        <v>13233</v>
      </c>
      <c r="X1292" t="s">
        <v>13234</v>
      </c>
      <c r="Y1292" t="s">
        <v>13235</v>
      </c>
    </row>
    <row r="1293" spans="1:25" x14ac:dyDescent="0.3">
      <c r="A1293">
        <v>64600</v>
      </c>
      <c r="B1293" t="s">
        <v>13236</v>
      </c>
      <c r="C1293">
        <f>-668.34937424597 -77.4862910992993 -97.8927513934644</f>
        <v>-843.7284167387337</v>
      </c>
      <c r="D1293">
        <f>-686.067305997081 -91.5319438520985 -211.493065965773</f>
        <v>-989.09231581495249</v>
      </c>
      <c r="E1293">
        <f>-695.015956779151 -97.5168000916754 -309.527561126288</f>
        <v>-1102.0603179971145</v>
      </c>
      <c r="F1293">
        <f>-701.084897854247 -100.804367813897 -398.356621451903</f>
        <v>-1200.245887120047</v>
      </c>
      <c r="G1293">
        <f>-704.767736345679 -101.872121431541 -487.370777149469</f>
        <v>-1294.0106349266891</v>
      </c>
      <c r="H1293">
        <f>-707.374991744853 -101.073833527483 -611.923454548872</f>
        <v>-1420.3722798212079</v>
      </c>
      <c r="I1293">
        <f>-685.078630424773 -91.923191964371 -691.44809746784</f>
        <v>-1468.4499198569838</v>
      </c>
      <c r="J1293">
        <f>-715.792493645396 -75.4218738933141 -556.747180417814</f>
        <v>-1347.9615479565241</v>
      </c>
      <c r="K1293" t="s">
        <v>13237</v>
      </c>
      <c r="L1293" t="s">
        <v>13238</v>
      </c>
      <c r="M1293" t="s">
        <v>13239</v>
      </c>
      <c r="N1293">
        <f>-696.662753286195 -127.428447038209 -557.480977111532</f>
        <v>-1381.5721774359358</v>
      </c>
      <c r="O1293">
        <f>-649.538030526531 -253.371662934145 -528.924952878863</f>
        <v>-1431.8346463395389</v>
      </c>
      <c r="P1293">
        <f>-603.604932027468 -313.062147500747 -244.463268056923</f>
        <v>-1161.130347585138</v>
      </c>
      <c r="Q1293">
        <f>-477.402927741042 -108.144716761739 -255.986000817736</f>
        <v>-841.53364532051694</v>
      </c>
      <c r="R1293" t="s">
        <v>13240</v>
      </c>
      <c r="S1293" t="s">
        <v>13241</v>
      </c>
      <c r="T1293" t="s">
        <v>13242</v>
      </c>
      <c r="U1293" t="s">
        <v>13243</v>
      </c>
      <c r="V1293">
        <f>-627.481878508992 -164.361653249353 -94.6505727622585</f>
        <v>-886.49410452060363</v>
      </c>
      <c r="W1293" t="s">
        <v>13244</v>
      </c>
      <c r="X1293" t="s">
        <v>13245</v>
      </c>
      <c r="Y1293" t="s">
        <v>13246</v>
      </c>
    </row>
    <row r="1294" spans="1:25" x14ac:dyDescent="0.3">
      <c r="A1294">
        <v>64650</v>
      </c>
      <c r="B1294" t="s">
        <v>13247</v>
      </c>
      <c r="C1294">
        <f>-668.309013817667 -77.1298081592654 -97.9252844647541</f>
        <v>-843.36410644168654</v>
      </c>
      <c r="D1294">
        <f>-685.937584539553 -91.130607511717 -211.544905876598</f>
        <v>-988.61309792786801</v>
      </c>
      <c r="E1294">
        <f>-694.699856067866 -97.1577871816223 -309.59379960664</f>
        <v>-1101.4514428561283</v>
      </c>
      <c r="F1294">
        <f>-700.557047787879 -100.516898943509 -398.434254946342</f>
        <v>-1199.5082016777301</v>
      </c>
      <c r="G1294">
        <f>-703.985034263648 -101.690771635366 -487.457291008807</f>
        <v>-1293.133096907821</v>
      </c>
      <c r="H1294">
        <f>-706.191567575185 -101.078186067749 -612.018948503092</f>
        <v>-1419.288702146026</v>
      </c>
      <c r="I1294">
        <f>-683.712056216921 -92.0171986905316 -691.502106728555</f>
        <v>-1467.2313616360075</v>
      </c>
      <c r="J1294">
        <f>-714.763441920286 -75.3354834838726 -556.908649987657</f>
        <v>-1347.0075753918156</v>
      </c>
      <c r="K1294" t="s">
        <v>13248</v>
      </c>
      <c r="L1294" t="s">
        <v>13249</v>
      </c>
      <c r="M1294" t="s">
        <v>13250</v>
      </c>
      <c r="N1294">
        <f>-695.677622475319 -127.359998468989 -557.502409266213</f>
        <v>-1380.5400302105211</v>
      </c>
      <c r="O1294">
        <f>-648.84583457905 -253.369385596618 -528.774720821414</f>
        <v>-1430.9899409970822</v>
      </c>
      <c r="P1294">
        <f>-605.1900220253 -312.340689208203 -243.804935364827</f>
        <v>-1161.33564659833</v>
      </c>
      <c r="Q1294">
        <f>-476.809717980102 -108.773452802201 -255.195858677624</f>
        <v>-840.77902945992696</v>
      </c>
      <c r="R1294" t="s">
        <v>13251</v>
      </c>
      <c r="S1294" t="s">
        <v>13252</v>
      </c>
      <c r="T1294" t="s">
        <v>13253</v>
      </c>
      <c r="U1294" t="s">
        <v>13254</v>
      </c>
      <c r="V1294">
        <f>-627.406902972104 -164.110114681841 -94.6731396758593</f>
        <v>-886.19015732980426</v>
      </c>
      <c r="W1294" t="s">
        <v>13255</v>
      </c>
      <c r="X1294" t="s">
        <v>13256</v>
      </c>
      <c r="Y1294" t="s">
        <v>13257</v>
      </c>
    </row>
    <row r="1295" spans="1:25" x14ac:dyDescent="0.3">
      <c r="A1295">
        <v>64700</v>
      </c>
      <c r="B1295" t="s">
        <v>13258</v>
      </c>
      <c r="C1295">
        <f>-668.260411852343 -76.1512266434149 -97.9600356590028</f>
        <v>-842.37167415476074</v>
      </c>
      <c r="D1295">
        <f>-685.783580721537 -89.9958311184773 -211.615132619938</f>
        <v>-987.39454445995227</v>
      </c>
      <c r="E1295">
        <f>-694.256021861232 -96.1470019436417 -309.681634424355</f>
        <v>-1100.0846582292288</v>
      </c>
      <c r="F1295">
        <f>-699.776054580217 -99.7216356495696 -398.535451714204</f>
        <v>-1198.0331419439906</v>
      </c>
      <c r="G1295">
        <f>-702.794019832799 -101.215584869344 -487.568544414124</f>
        <v>-1291.578149116267</v>
      </c>
      <c r="H1295">
        <f>-704.353366501674 -101.160121249856 -612.141414899143</f>
        <v>-1417.6549026506732</v>
      </c>
      <c r="I1295">
        <f>-681.461556489572 -92.4411210603128 -691.54522656987</f>
        <v>-1465.4479041197546</v>
      </c>
      <c r="J1295">
        <f>-713.204946484857 -75.1690866601036 -557.191983128523</f>
        <v>-1345.5660162734837</v>
      </c>
      <c r="K1295" t="s">
        <v>13259</v>
      </c>
      <c r="L1295" t="s">
        <v>13260</v>
      </c>
      <c r="M1295" t="s">
        <v>13261</v>
      </c>
      <c r="N1295">
        <f>-694.129127711944 -127.199902747022 -557.454006013105</f>
        <v>-1378.7830364720708</v>
      </c>
      <c r="O1295">
        <f>-647.429633590621 -253.154829153739 -528.214506418635</f>
        <v>-1428.798969162995</v>
      </c>
      <c r="P1295">
        <f>-605.186510390184 -313.53563001266 -243.327115531455</f>
        <v>-1162.049255934299</v>
      </c>
      <c r="Q1295">
        <f>-475.429245030012 -110.745269523353 -252.81342682874</f>
        <v>-838.98794138210508</v>
      </c>
      <c r="R1295" t="s">
        <v>13262</v>
      </c>
      <c r="S1295" t="s">
        <v>13263</v>
      </c>
      <c r="T1295" t="s">
        <v>13264</v>
      </c>
      <c r="U1295" t="s">
        <v>13265</v>
      </c>
      <c r="V1295">
        <f>-627.642986418102 -163.133391086529 -94.7438380157881</f>
        <v>-885.52021552041913</v>
      </c>
      <c r="W1295" t="s">
        <v>13266</v>
      </c>
      <c r="X1295" t="s">
        <v>13267</v>
      </c>
      <c r="Y1295" t="s">
        <v>13268</v>
      </c>
    </row>
    <row r="1296" spans="1:25" x14ac:dyDescent="0.3">
      <c r="A1296">
        <v>64750</v>
      </c>
      <c r="B1296" t="s">
        <v>13269</v>
      </c>
      <c r="C1296">
        <f>-668.406641549342 -75.5894087410757 -97.960516198457</f>
        <v>-841.95656648887461</v>
      </c>
      <c r="D1296">
        <f>-685.896946625445 -89.3948795323563 -211.625475344975</f>
        <v>-986.91730150277635</v>
      </c>
      <c r="E1296">
        <f>-694.247129795668 -95.574896152501 -309.700554383991</f>
        <v>-1099.52258033216</v>
      </c>
      <c r="F1296">
        <f>-699.619695470627 -99.2014816034912 -398.561310810239</f>
        <v>-1197.382487884357</v>
      </c>
      <c r="G1296">
        <f>-702.453861176584 -100.773554654355 -487.599163109256</f>
        <v>-1290.8265789401948</v>
      </c>
      <c r="H1296">
        <f>-703.718847372244 -100.855269338566 -612.175305019208</f>
        <v>-1416.7494217300182</v>
      </c>
      <c r="I1296">
        <f>-680.595168769413 -92.2286643258749 -691.522039886404</f>
        <v>-1464.3458729816919</v>
      </c>
      <c r="J1296">
        <f>-712.698933450056 -74.8032530491657 -557.27565388553</f>
        <v>-1344.7778403847517</v>
      </c>
      <c r="K1296" t="s">
        <v>13270</v>
      </c>
      <c r="L1296" t="s">
        <v>13271</v>
      </c>
      <c r="M1296" t="s">
        <v>13272</v>
      </c>
      <c r="N1296">
        <f>-693.625436975826 -126.835272820345 -557.435300608612</f>
        <v>-1377.8960104047831</v>
      </c>
      <c r="O1296">
        <f>-646.765999107274 -252.66646261286 -527.935978522838</f>
        <v>-1427.3684402429719</v>
      </c>
      <c r="P1296">
        <f>-605.323949855555 -313.592177302292 -243.046880272128</f>
        <v>-1161.9630074299751</v>
      </c>
      <c r="Q1296">
        <f>-474.808787062187 -111.272492293931 -252.179685782454</f>
        <v>-838.26096513857192</v>
      </c>
      <c r="R1296" t="s">
        <v>13273</v>
      </c>
      <c r="S1296" t="s">
        <v>13274</v>
      </c>
      <c r="T1296" t="s">
        <v>13275</v>
      </c>
      <c r="U1296" t="s">
        <v>13276</v>
      </c>
      <c r="V1296">
        <f>-627.835480816265 -162.475689047307 -94.7558557277986</f>
        <v>-885.06702559137057</v>
      </c>
      <c r="W1296" t="s">
        <v>13277</v>
      </c>
      <c r="X1296" t="s">
        <v>13278</v>
      </c>
      <c r="Y1296" t="s">
        <v>13279</v>
      </c>
    </row>
    <row r="1297" spans="1:25" x14ac:dyDescent="0.3">
      <c r="A1297">
        <v>64800</v>
      </c>
      <c r="B1297" t="s">
        <v>13280</v>
      </c>
      <c r="C1297">
        <f>-668.516250097215 -74.5486600206038 -98.025956212879</f>
        <v>-841.09086633069785</v>
      </c>
      <c r="D1297">
        <f>-685.851650856812 -88.3754353183563 -211.711935923264</f>
        <v>-985.93902209843225</v>
      </c>
      <c r="E1297">
        <f>-693.922272497396 -94.567119022644 -309.809938643507</f>
        <v>-1098.299330163547</v>
      </c>
      <c r="F1297">
        <f>-698.981551119095 -98.2049337004096 -398.688454473198</f>
        <v>-1195.8749392927025</v>
      </c>
      <c r="G1297">
        <f>-701.441145251407 -99.7901523392454 -487.737241601547</f>
        <v>-1288.9685391921994</v>
      </c>
      <c r="H1297">
        <f>-702.118221169826 -99.8944868671342 -612.317979527971</f>
        <v>-1414.3306875649314</v>
      </c>
      <c r="I1297">
        <f>-678.612360994921 -91.2930290840827 -691.555029346279</f>
        <v>-1461.4604194252827</v>
      </c>
      <c r="J1297">
        <f>-711.363386331385 -73.8348452321363 -557.466066264271</f>
        <v>-1342.6642978277923</v>
      </c>
      <c r="K1297" t="s">
        <v>13281</v>
      </c>
      <c r="L1297" t="s">
        <v>13282</v>
      </c>
      <c r="M1297" t="s">
        <v>13283</v>
      </c>
      <c r="N1297">
        <f>-692.277003039576 -125.862435595301 -557.52620504716</f>
        <v>-1375.6656436820372</v>
      </c>
      <c r="O1297">
        <f>-645.446846528754 -251.667837773763 -527.863621845834</f>
        <v>-1424.9783061483511</v>
      </c>
      <c r="P1297">
        <f>-605.848795240018 -313.297704981825 -242.863698520388</f>
        <v>-1162.0101987422311</v>
      </c>
      <c r="Q1297">
        <f>-474.618988485089 -111.434247351335 -251.848203547745</f>
        <v>-837.90143938416907</v>
      </c>
      <c r="R1297" t="s">
        <v>13284</v>
      </c>
      <c r="S1297" t="s">
        <v>13285</v>
      </c>
      <c r="T1297" t="s">
        <v>13286</v>
      </c>
      <c r="U1297" t="s">
        <v>13287</v>
      </c>
      <c r="V1297">
        <f>-627.601674000178 -161.462831958093 -94.8043296919672</f>
        <v>-883.86883565023822</v>
      </c>
      <c r="W1297" t="s">
        <v>13288</v>
      </c>
      <c r="X1297" t="s">
        <v>13289</v>
      </c>
      <c r="Y1297" t="s">
        <v>13290</v>
      </c>
    </row>
    <row r="1298" spans="1:25" x14ac:dyDescent="0.3">
      <c r="A1298">
        <v>64850</v>
      </c>
      <c r="B1298" t="s">
        <v>13291</v>
      </c>
      <c r="C1298">
        <f>-668.495691780872 -74.0857486091072 -98.0894746189415</f>
        <v>-840.6709150089207</v>
      </c>
      <c r="D1298">
        <f>-685.729858541759 -87.9355641659029 -211.788020453662</f>
        <v>-985.45344316132378</v>
      </c>
      <c r="E1298">
        <f>-693.651986763881 -94.1460284845275 -309.896862483841</f>
        <v>-1097.6948777322496</v>
      </c>
      <c r="F1298">
        <f>-698.550927124865 -97.8028807603121 -398.783570709115</f>
        <v>-1195.1373785942919</v>
      </c>
      <c r="G1298">
        <f>-700.823175529992 -99.4107298902686 -487.836885527558</f>
        <v>-1288.0707909478188</v>
      </c>
      <c r="H1298">
        <f>-701.209443778504 -99.5510687588187 -612.418964274286</f>
        <v>-1413.1794768116088</v>
      </c>
      <c r="I1298">
        <f>-677.477057921451 -90.9210573723051 -691.585330945905</f>
        <v>-1459.9834462396611</v>
      </c>
      <c r="J1298">
        <f>-710.579917714838 -73.4745001921754 -557.59631891028</f>
        <v>-1341.6507368172934</v>
      </c>
      <c r="K1298" t="s">
        <v>13292</v>
      </c>
      <c r="L1298" t="s">
        <v>13293</v>
      </c>
      <c r="M1298" t="s">
        <v>13294</v>
      </c>
      <c r="N1298">
        <f>-691.499047654897 -125.504164022378 -557.596712204866</f>
        <v>-1374.599923882141</v>
      </c>
      <c r="O1298">
        <f>-644.808241025171 -251.334168668842 -527.888095027878</f>
        <v>-1424.030504721891</v>
      </c>
      <c r="P1298">
        <f>-605.802194200059 -313.067120181783 -242.828925641374</f>
        <v>-1161.6982400232162</v>
      </c>
      <c r="Q1298">
        <f>-474.654249563254 -111.153143300576 -251.872283163412</f>
        <v>-837.67967602724207</v>
      </c>
      <c r="R1298" t="s">
        <v>13295</v>
      </c>
      <c r="S1298" t="s">
        <v>13296</v>
      </c>
      <c r="T1298" t="s">
        <v>13297</v>
      </c>
      <c r="U1298" t="s">
        <v>13298</v>
      </c>
      <c r="V1298">
        <f>-627.476807768031 -160.911186102032 -94.8398148978036</f>
        <v>-883.22780876786658</v>
      </c>
      <c r="W1298" t="s">
        <v>13299</v>
      </c>
      <c r="X1298" t="s">
        <v>13300</v>
      </c>
      <c r="Y1298" t="s">
        <v>13301</v>
      </c>
    </row>
    <row r="1299" spans="1:25" x14ac:dyDescent="0.3">
      <c r="A1299">
        <v>64900</v>
      </c>
      <c r="B1299" t="s">
        <v>13302</v>
      </c>
      <c r="C1299">
        <f>-668.439685688807 -73.6802727880411 -98.1220398766251</f>
        <v>-840.24199835347315</v>
      </c>
      <c r="D1299">
        <f>-685.585763049412 -87.5160440713805 -211.835797106951</f>
        <v>-984.93760422774346</v>
      </c>
      <c r="E1299">
        <f>-693.372219045362 -93.7932189917535 -309.951172380566</f>
        <v>-1097.1166104176816</v>
      </c>
      <c r="F1299">
        <f>-698.123661451079 -97.5450246545413 -398.841938340001</f>
        <v>-1194.5106244456213</v>
      </c>
      <c r="G1299">
        <f>-700.223839505203 -99.2834911538055 -487.896977434517</f>
        <v>-1287.4043080935255</v>
      </c>
      <c r="H1299">
        <f>-700.344026988968 -99.6448472252523 -612.479048388197</f>
        <v>-1412.4679226024173</v>
      </c>
      <c r="I1299">
        <f>-676.145500335927 -90.9518600297677 -691.497318539627</f>
        <v>-1458.5946789053216</v>
      </c>
      <c r="J1299">
        <f>-709.841857781298 -73.4748642070822 -557.722899124082</f>
        <v>-1341.0396211124621</v>
      </c>
      <c r="K1299" t="s">
        <v>13303</v>
      </c>
      <c r="L1299" t="s">
        <v>13304</v>
      </c>
      <c r="M1299" t="s">
        <v>13305</v>
      </c>
      <c r="N1299">
        <f>-690.740295567495 -125.496760052396 -557.590416718438</f>
        <v>-1373.8274723383288</v>
      </c>
      <c r="O1299">
        <f>-644.181656017391 -251.354656690326 -527.804657869465</f>
        <v>-1423.3409705771819</v>
      </c>
      <c r="P1299">
        <f>-605.341372361385 -313.904099149479 -242.900714257547</f>
        <v>-1162.146185768411</v>
      </c>
      <c r="Q1299">
        <f>-475.20593411325 -111.304217940462 -251.202124273096</f>
        <v>-837.71227632680802</v>
      </c>
      <c r="R1299" t="s">
        <v>13306</v>
      </c>
      <c r="S1299" t="s">
        <v>13307</v>
      </c>
      <c r="T1299" t="s">
        <v>13308</v>
      </c>
      <c r="U1299" t="s">
        <v>13309</v>
      </c>
      <c r="V1299">
        <f>-627.369774969285 -160.561790644542 -94.8687010408912</f>
        <v>-882.80026665471814</v>
      </c>
      <c r="W1299" t="s">
        <v>13310</v>
      </c>
      <c r="X1299" t="s">
        <v>13311</v>
      </c>
      <c r="Y1299" t="s">
        <v>13312</v>
      </c>
    </row>
    <row r="1300" spans="1:25" x14ac:dyDescent="0.3">
      <c r="A1300">
        <v>64950</v>
      </c>
      <c r="B1300" t="s">
        <v>13313</v>
      </c>
      <c r="C1300">
        <f>-668.349547305353 -73.5444089036268 -98.1142110768601</f>
        <v>-840.00816728583993</v>
      </c>
      <c r="D1300">
        <f>-685.492005642296 -87.3856948917237 -211.827837957575</f>
        <v>-984.70553849159478</v>
      </c>
      <c r="E1300">
        <f>-693.267386822878 -93.7389818372965 -309.939176345876</f>
        <v>-1096.9455450060505</v>
      </c>
      <c r="F1300">
        <f>-698.006334659274 -97.5890282289636 -398.826514449665</f>
        <v>-1194.4218773379025</v>
      </c>
      <c r="G1300">
        <f>-700.092190186497 -99.4545490205928 -487.879318876623</f>
        <v>-1287.4260580837129</v>
      </c>
      <c r="H1300">
        <f>-700.191006911466 -100.024342642977 -612.460591410654</f>
        <v>-1412.6759409650972</v>
      </c>
      <c r="I1300">
        <f>-675.696341532747 -91.2995489630364 -691.384054785094</f>
        <v>-1458.3799452808776</v>
      </c>
      <c r="J1300">
        <f>-709.71020071379 -73.7671993838012 -557.749808661033</f>
        <v>-1341.2272087586241</v>
      </c>
      <c r="K1300" t="s">
        <v>13314</v>
      </c>
      <c r="L1300" t="s">
        <v>13315</v>
      </c>
      <c r="M1300" t="s">
        <v>13316</v>
      </c>
      <c r="N1300">
        <f>-690.584916820058 -125.780125940659 -557.527226965254</f>
        <v>-1373.8922697259709</v>
      </c>
      <c r="O1300">
        <f>-644.09926059682 -251.656164528122 -527.686792382626</f>
        <v>-1423.4422175075679</v>
      </c>
      <c r="P1300">
        <f>-605.391071111335 -313.58284706645 -242.628980176783</f>
        <v>-1161.602898354568</v>
      </c>
      <c r="Q1300">
        <f>-475.348359965165 -110.909304609027 -250.577555297967</f>
        <v>-836.83521987215897</v>
      </c>
      <c r="R1300" t="s">
        <v>13317</v>
      </c>
      <c r="S1300" t="s">
        <v>13318</v>
      </c>
      <c r="T1300" t="s">
        <v>13319</v>
      </c>
      <c r="U1300" t="s">
        <v>13320</v>
      </c>
      <c r="V1300">
        <f>-627.201895467503 -160.403598967892 -94.8803838733746</f>
        <v>-882.48587830876966</v>
      </c>
      <c r="W1300" t="s">
        <v>13321</v>
      </c>
      <c r="X1300" t="s">
        <v>13322</v>
      </c>
      <c r="Y1300" t="s">
        <v>13323</v>
      </c>
    </row>
    <row r="1301" spans="1:25" x14ac:dyDescent="0.3">
      <c r="A1301">
        <v>65000</v>
      </c>
      <c r="B1301" t="s">
        <v>13324</v>
      </c>
      <c r="C1301">
        <f>-668.083442276486 -73.089019477977 -98.1042644891204</f>
        <v>-839.27672624358343</v>
      </c>
      <c r="D1301">
        <f>-685.282292135989 -87.0167708732981 -211.798842906859</f>
        <v>-984.09790591614615</v>
      </c>
      <c r="E1301">
        <f>-693.080961084359 -93.6028822843903 -309.892931861868</f>
        <v>-1096.5767752306174</v>
      </c>
      <c r="F1301">
        <f>-697.833530231295 -97.7270981704421 -398.76723622532</f>
        <v>-1194.3278646270571</v>
      </c>
      <c r="G1301">
        <f>-699.926405331616 -99.9308024067282 -487.81215047266</f>
        <v>-1287.6693582110042</v>
      </c>
      <c r="H1301">
        <f>-700.028879396857 -101.040393611411 -612.389769871603</f>
        <v>-1413.459042879871</v>
      </c>
      <c r="I1301">
        <f>-674.840150875891 -92.2478115958627 -691.086958483941</f>
        <v>-1458.1749209556947</v>
      </c>
      <c r="J1301">
        <f>-709.53394202719 -74.5419021630407 -557.793136524218</f>
        <v>-1341.8689807144488</v>
      </c>
      <c r="K1301" t="s">
        <v>13325</v>
      </c>
      <c r="L1301" t="s">
        <v>13326</v>
      </c>
      <c r="M1301" t="s">
        <v>13327</v>
      </c>
      <c r="N1301">
        <f>-690.433660570108 -126.562353706897 -557.345417234268</f>
        <v>-1374.3414315112732</v>
      </c>
      <c r="O1301">
        <f>-644.159380335806 -252.428788639532 -527.099642699891</f>
        <v>-1423.6878116752291</v>
      </c>
      <c r="P1301">
        <f>-605.062662259922 -312.015673183643 -241.59655524419</f>
        <v>-1158.6748906877551</v>
      </c>
      <c r="Q1301">
        <f>-475.086361570067 -109.322879283724 -250.123151569907</f>
        <v>-834.53239242369807</v>
      </c>
      <c r="R1301" t="s">
        <v>13328</v>
      </c>
      <c r="S1301" t="s">
        <v>13329</v>
      </c>
      <c r="T1301" t="s">
        <v>13330</v>
      </c>
      <c r="U1301" t="s">
        <v>13331</v>
      </c>
      <c r="V1301">
        <f>-626.946447526699 -159.918328505872 -94.8495959315107</f>
        <v>-881.71437196408169</v>
      </c>
      <c r="W1301" t="s">
        <v>13332</v>
      </c>
      <c r="X1301" t="s">
        <v>13333</v>
      </c>
      <c r="Y1301" t="s">
        <v>13334</v>
      </c>
    </row>
    <row r="1302" spans="1:25" x14ac:dyDescent="0.3">
      <c r="A1302">
        <v>65050</v>
      </c>
      <c r="B1302" t="s">
        <v>13335</v>
      </c>
      <c r="C1302">
        <f>-667.936096261541 -72.7888995997519 -98.1177171619707</f>
        <v>-838.84271302326363</v>
      </c>
      <c r="D1302">
        <f>-685.184955543484 -86.7385843183836 -211.801948729181</f>
        <v>-983.72548859104859</v>
      </c>
      <c r="E1302">
        <f>-692.994362558397 -93.4431553468628 -309.887150275555</f>
        <v>-1096.3246681808148</v>
      </c>
      <c r="F1302">
        <f>-697.745321610517 -97.7135168496761 -398.754644271428</f>
        <v>-1194.2134827316211</v>
      </c>
      <c r="G1302">
        <f>-699.82654762022 -100.102855219666 -487.795067284575</f>
        <v>-1287.724470124461</v>
      </c>
      <c r="H1302">
        <f>-699.902932873737 -101.513099983192 -612.369679746939</f>
        <v>-1413.785712603868</v>
      </c>
      <c r="I1302">
        <f>-674.356542717403 -92.6819265688987 -690.94725276274</f>
        <v>-1457.9857220490417</v>
      </c>
      <c r="J1302">
        <f>-709.399111239891 -74.8754729880118 -557.839310196868</f>
        <v>-1342.1138944247709</v>
      </c>
      <c r="K1302" t="s">
        <v>13336</v>
      </c>
      <c r="L1302" t="s">
        <v>13337</v>
      </c>
      <c r="M1302" t="s">
        <v>13338</v>
      </c>
      <c r="N1302">
        <f>-690.339472689734 -126.909698354903 -557.261910820149</f>
        <v>-1374.5110818647859</v>
      </c>
      <c r="O1302">
        <f>-644.189560333326 -252.766495038032 -526.766808268689</f>
        <v>-1423.7228636400469</v>
      </c>
      <c r="P1302">
        <f>-604.702224456897 -310.849109221193 -241.007539998527</f>
        <v>-1156.5588736766169</v>
      </c>
      <c r="Q1302">
        <f>-475.392340666219 -107.772790157655 -250.486299184729</f>
        <v>-833.65143000860303</v>
      </c>
      <c r="R1302" t="s">
        <v>13339</v>
      </c>
      <c r="S1302" t="s">
        <v>13340</v>
      </c>
      <c r="T1302" t="s">
        <v>13341</v>
      </c>
      <c r="U1302" t="s">
        <v>13342</v>
      </c>
      <c r="V1302">
        <f>-626.892845619929 -159.637672308591 -94.8424978920298</f>
        <v>-881.37301582054965</v>
      </c>
      <c r="W1302" t="s">
        <v>13343</v>
      </c>
      <c r="X1302" t="s">
        <v>13344</v>
      </c>
      <c r="Y1302" t="s">
        <v>13345</v>
      </c>
    </row>
    <row r="1303" spans="1:25" x14ac:dyDescent="0.3">
      <c r="A1303">
        <v>65100</v>
      </c>
      <c r="B1303" t="s">
        <v>13346</v>
      </c>
      <c r="C1303">
        <f>-667.580627474593 -72.0897887656015 -98.1958941527307</f>
        <v>-837.86631039292524</v>
      </c>
      <c r="D1303">
        <f>-684.877023760907 -86.0396505942624 -211.872901092763</f>
        <v>-982.78957544793241</v>
      </c>
      <c r="E1303">
        <f>-692.72697967699 -92.9723151936792 -309.939021557873</f>
        <v>-1095.6383164285421</v>
      </c>
      <c r="F1303">
        <f>-697.520953889664 -97.5355138542338 -398.789799739693</f>
        <v>-1193.846267483591</v>
      </c>
      <c r="G1303">
        <f>-699.654336409288 -100.302807609296 -487.817951738523</f>
        <v>-1287.775095757107</v>
      </c>
      <c r="H1303">
        <f>-699.815872155405 -102.328105543194 -612.383981975713</f>
        <v>-1414.5279596743121</v>
      </c>
      <c r="I1303">
        <f>-673.694774368963 -93.4157196110268 -690.763082285955</f>
        <v>-1457.8735762659448</v>
      </c>
      <c r="J1303">
        <f>-709.292962876905 -75.4280979800519 -557.979078226926</f>
        <v>-1342.700139083883</v>
      </c>
      <c r="K1303" t="s">
        <v>13347</v>
      </c>
      <c r="L1303" t="s">
        <v>13348</v>
      </c>
      <c r="M1303" t="s">
        <v>13349</v>
      </c>
      <c r="N1303">
        <f>-690.196579201568 -127.445469207211 -557.15815667673</f>
        <v>-1374.8002050855089</v>
      </c>
      <c r="O1303">
        <f>-644.033060137431 -253.183897311038 -526.216548188357</f>
        <v>-1423.4335056368259</v>
      </c>
      <c r="P1303">
        <f>-604.110022863691 -309.146834116146 -240.095027996062</f>
        <v>-1153.3518849758991</v>
      </c>
      <c r="Q1303">
        <f>-477.26830532225 -104.565182478964 -250.506628341474</f>
        <v>-832.34011614268798</v>
      </c>
      <c r="R1303" t="s">
        <v>13350</v>
      </c>
      <c r="S1303" t="s">
        <v>13351</v>
      </c>
      <c r="T1303" t="s">
        <v>13352</v>
      </c>
      <c r="U1303" t="s">
        <v>13353</v>
      </c>
      <c r="V1303">
        <f>-626.729913669809 -158.970902048074 -94.8552437942153</f>
        <v>-880.55605951209827</v>
      </c>
      <c r="W1303" t="s">
        <v>13354</v>
      </c>
      <c r="X1303" t="s">
        <v>13355</v>
      </c>
      <c r="Y1303" t="s">
        <v>13356</v>
      </c>
    </row>
    <row r="1304" spans="1:25" x14ac:dyDescent="0.3">
      <c r="A1304">
        <v>65150</v>
      </c>
      <c r="B1304" t="s">
        <v>13357</v>
      </c>
      <c r="C1304">
        <f>-667.399621960949 -71.7185072516497 -98.2077394815971</f>
        <v>-837.32586869419583</v>
      </c>
      <c r="D1304">
        <f>-684.725254296768 -85.6914918674966 -211.877417848841</f>
        <v>-982.2941640131055</v>
      </c>
      <c r="E1304">
        <f>-692.593048490577 -92.7328134962024 -309.93439774682</f>
        <v>-1095.2602597335995</v>
      </c>
      <c r="F1304">
        <f>-697.403317349162 -97.4278086828208 -398.77723494988</f>
        <v>-1193.6083609818627</v>
      </c>
      <c r="G1304">
        <f>-699.554824422994 -100.35869413887 -487.799904729329</f>
        <v>-1287.7134232911931</v>
      </c>
      <c r="H1304">
        <f>-699.74494917611 -102.644495381469 -612.36126452063</f>
        <v>-1414.7507090782092</v>
      </c>
      <c r="I1304">
        <f>-673.408238413768 -93.6744991733499 -690.661701385855</f>
        <v>-1457.7444389729731</v>
      </c>
      <c r="J1304">
        <f>-709.260947635891 -75.6496654531729 -558.010220503989</f>
        <v>-1342.920833593053</v>
      </c>
      <c r="K1304" t="s">
        <v>13358</v>
      </c>
      <c r="L1304" t="s">
        <v>13359</v>
      </c>
      <c r="M1304" t="s">
        <v>13360</v>
      </c>
      <c r="N1304">
        <f>-690.061699939627 -127.627598808709 -557.085847898697</f>
        <v>-1374.7751466470331</v>
      </c>
      <c r="O1304">
        <f>-643.726343149141 -253.242856472591 -525.93222499225</f>
        <v>-1422.901424613982</v>
      </c>
      <c r="P1304">
        <f>-603.937746563313 -308.684993117873 -239.690552954349</f>
        <v>-1152.3132926355349</v>
      </c>
      <c r="Q1304">
        <f>-478.203047562122 -103.410319475908 -249.884899669194</f>
        <v>-831.49826670722405</v>
      </c>
      <c r="R1304" t="s">
        <v>13361</v>
      </c>
      <c r="S1304" t="s">
        <v>13362</v>
      </c>
      <c r="T1304" t="s">
        <v>13363</v>
      </c>
      <c r="U1304" t="s">
        <v>13364</v>
      </c>
      <c r="V1304">
        <f>-626.613709040604 -158.54759295127 -94.8588862392313</f>
        <v>-880.02018823110529</v>
      </c>
      <c r="W1304" t="s">
        <v>13365</v>
      </c>
      <c r="X1304" t="s">
        <v>13366</v>
      </c>
      <c r="Y1304" t="s">
        <v>13367</v>
      </c>
    </row>
    <row r="1305" spans="1:25" x14ac:dyDescent="0.3">
      <c r="A1305">
        <v>65200</v>
      </c>
      <c r="B1305" t="s">
        <v>13368</v>
      </c>
      <c r="C1305">
        <f>-666.96315871887 -71.4240169311281 -98.2484458312878</f>
        <v>-836.63562148128585</v>
      </c>
      <c r="D1305">
        <f>-684.334454382389 -85.4736933382276 -211.901644099359</f>
        <v>-981.70979181997564</v>
      </c>
      <c r="E1305">
        <f>-692.179249566795 -92.7743426879017 -309.941611848907</f>
        <v>-1094.8952041036036</v>
      </c>
      <c r="F1305">
        <f>-696.94781867715 -97.7795799631367 -398.769779769471</f>
        <v>-1193.4971784097577</v>
      </c>
      <c r="G1305">
        <f>-699.039427536527 -101.094652754522 -487.780398615242</f>
        <v>-1287.9144789062912</v>
      </c>
      <c r="H1305">
        <f>-699.129101278808 -103.993298076106 -612.329085726062</f>
        <v>-1415.451485080976</v>
      </c>
      <c r="I1305">
        <f>-672.499294331075 -94.9878854928136 -690.526267125825</f>
        <v>-1458.0134469497136</v>
      </c>
      <c r="J1305">
        <f>-708.787854108208 -76.7681072048651 -558.118330201398</f>
        <v>-1343.674291514471</v>
      </c>
      <c r="K1305" t="s">
        <v>13369</v>
      </c>
      <c r="L1305" t="s">
        <v>13370</v>
      </c>
      <c r="M1305" t="s">
        <v>13371</v>
      </c>
      <c r="N1305">
        <f>-689.39153378044 -128.667246904038 -556.924438649431</f>
        <v>-1374.9832193339089</v>
      </c>
      <c r="O1305">
        <f>-642.692945881579 -254.035017496371 -525.292516689473</f>
        <v>-1422.020480067423</v>
      </c>
      <c r="P1305">
        <f>-604.192142137964 -308.760694212063 -238.736943707878</f>
        <v>-1151.689780057905</v>
      </c>
      <c r="Q1305">
        <f>-479.944317932929 -102.500999747487 -247.121980565107</f>
        <v>-829.56729824552303</v>
      </c>
      <c r="R1305" t="s">
        <v>13372</v>
      </c>
      <c r="S1305" t="s">
        <v>13373</v>
      </c>
      <c r="T1305" t="s">
        <v>13374</v>
      </c>
      <c r="U1305" t="s">
        <v>13375</v>
      </c>
      <c r="V1305">
        <f>-626.059094817612 -158.383608660735 -94.8495855937</f>
        <v>-879.29228907204708</v>
      </c>
      <c r="W1305" t="s">
        <v>13376</v>
      </c>
      <c r="X1305" t="s">
        <v>13377</v>
      </c>
      <c r="Y1305" t="s">
        <v>13378</v>
      </c>
    </row>
    <row r="1306" spans="1:25" x14ac:dyDescent="0.3">
      <c r="A1306">
        <v>65250</v>
      </c>
      <c r="B1306" t="s">
        <v>13379</v>
      </c>
      <c r="C1306">
        <f>-666.722725464366 -71.3340566102497 -98.262525458319</f>
        <v>-836.31930753293477</v>
      </c>
      <c r="D1306">
        <f>-684.065299990559 -85.3961515999865 -211.918684500577</f>
        <v>-981.38013609112249</v>
      </c>
      <c r="E1306">
        <f>-691.847715845676 -92.8054577201844 -309.955369220371</f>
        <v>-1094.6085427862315</v>
      </c>
      <c r="F1306">
        <f>-696.545324810237 -97.9487885246647 -398.779468786473</f>
        <v>-1193.2735821213746</v>
      </c>
      <c r="G1306">
        <f>-698.552542082582 -101.441695215811 -487.785151912029</f>
        <v>-1287.7793892104221</v>
      </c>
      <c r="H1306">
        <f>-698.510907510109 -104.631205385582 -612.326928086449</f>
        <v>-1415.4690409821401</v>
      </c>
      <c r="I1306">
        <f>-671.80635482306 -95.6747192419696 -690.504145182505</f>
        <v>-1457.9852192475346</v>
      </c>
      <c r="J1306">
        <f>-708.244992709107 -77.2863602048676 -558.189769983098</f>
        <v>-1343.7211228970727</v>
      </c>
      <c r="K1306" t="s">
        <v>13380</v>
      </c>
      <c r="L1306" t="s">
        <v>13381</v>
      </c>
      <c r="M1306" t="s">
        <v>13382</v>
      </c>
      <c r="N1306">
        <f>-688.813550847644 -129.16888179877 -556.854559393257</f>
        <v>-1374.836992039671</v>
      </c>
      <c r="O1306">
        <f>-642.099724284759 -254.481726436763 -524.985280064537</f>
        <v>-1421.566730786059</v>
      </c>
      <c r="P1306">
        <f>-604.733255358129 -309.821080561655 -238.397570725419</f>
        <v>-1152.9519066452031</v>
      </c>
      <c r="Q1306">
        <f>-480.452600205214 -103.551095181938 -246.005834200001</f>
        <v>-830.009529587153</v>
      </c>
      <c r="R1306" t="s">
        <v>13383</v>
      </c>
      <c r="S1306" t="s">
        <v>13384</v>
      </c>
      <c r="T1306" t="s">
        <v>13385</v>
      </c>
      <c r="U1306" t="s">
        <v>13386</v>
      </c>
      <c r="V1306">
        <f>-625.758965565987 -158.349275194374 -94.8477154444239</f>
        <v>-878.95595620478491</v>
      </c>
      <c r="W1306" t="s">
        <v>13387</v>
      </c>
      <c r="X1306" t="s">
        <v>13388</v>
      </c>
      <c r="Y1306" t="s">
        <v>13389</v>
      </c>
    </row>
    <row r="1307" spans="1:25" x14ac:dyDescent="0.3">
      <c r="A1307">
        <v>65300</v>
      </c>
      <c r="B1307" t="s">
        <v>13390</v>
      </c>
      <c r="C1307">
        <f>-666.182190110075 -70.9753589779268 -98.3193099109626</f>
        <v>-835.47685899896442</v>
      </c>
      <c r="D1307">
        <f>-683.346243643946 -85.0432408675263 -212.001908811301</f>
        <v>-980.39139332277318</v>
      </c>
      <c r="E1307">
        <f>-690.941048970764 -92.5566362412812 -310.045296045262</f>
        <v>-1093.5429812573072</v>
      </c>
      <c r="F1307">
        <f>-695.455271955044 -97.8365011802318 -398.87088211765</f>
        <v>-1192.162655252926</v>
      </c>
      <c r="G1307">
        <f>-697.265088862061 -101.509567355729 -487.873566658712</f>
        <v>-1286.6482228765021</v>
      </c>
      <c r="H1307">
        <f>-696.933407263986 -104.997622532838 -612.406826805188</f>
        <v>-1414.3378566020119</v>
      </c>
      <c r="I1307">
        <f>-670.207705498456 -96.2124811757994 -690.596239186498</f>
        <v>-1457.0164258607533</v>
      </c>
      <c r="J1307">
        <f>-706.78545910827 -77.5201784892126 -558.358342475099</f>
        <v>-1342.6639800725816</v>
      </c>
      <c r="K1307" t="s">
        <v>13391</v>
      </c>
      <c r="L1307" t="s">
        <v>13392</v>
      </c>
      <c r="M1307" t="s">
        <v>13393</v>
      </c>
      <c r="N1307">
        <f>-687.373327449835 -129.405348745332 -556.853415936376</f>
        <v>-1373.632092131543</v>
      </c>
      <c r="O1307">
        <f>-640.966208562868 -254.807086987415 -524.867028863375</f>
        <v>-1420.6403244136582</v>
      </c>
      <c r="P1307">
        <f>-607.737632374976 -311.194986213755 -237.974245993023</f>
        <v>-1156.906864581754</v>
      </c>
      <c r="Q1307">
        <f>-480.521403245921 -106.788939395185 -247.195682088065</f>
        <v>-834.50602472917103</v>
      </c>
      <c r="R1307" t="s">
        <v>13394</v>
      </c>
      <c r="S1307" t="s">
        <v>13395</v>
      </c>
      <c r="T1307" t="s">
        <v>13396</v>
      </c>
      <c r="U1307" t="s">
        <v>13397</v>
      </c>
      <c r="V1307">
        <f>-625.07893813907 -157.961061548914 -94.8707523137834</f>
        <v>-877.91075200176749</v>
      </c>
      <c r="W1307" t="s">
        <v>13398</v>
      </c>
      <c r="X1307" t="s">
        <v>13399</v>
      </c>
      <c r="Y1307" t="s">
        <v>13400</v>
      </c>
    </row>
    <row r="1308" spans="1:25" x14ac:dyDescent="0.3">
      <c r="A1308">
        <v>65350</v>
      </c>
      <c r="B1308" t="s">
        <v>13401</v>
      </c>
      <c r="C1308">
        <f>-665.927893589057 -70.6141105789977 -98.3564413367544</f>
        <v>-834.89844550480916</v>
      </c>
      <c r="D1308">
        <f>-683.00103740136 -84.6868272493757 -212.052117675539</f>
        <v>-979.73998232627468</v>
      </c>
      <c r="E1308">
        <f>-690.493221586482 -92.1765635942652 -310.10528864905</f>
        <v>-1092.7750738297973</v>
      </c>
      <c r="F1308">
        <f>-694.903196312026 -97.4261035471793 -398.937823518241</f>
        <v>-1191.2671233774463</v>
      </c>
      <c r="G1308">
        <f>-696.596490233006 -101.061397983609 -487.944279941261</f>
        <v>-1285.6021681578759</v>
      </c>
      <c r="H1308">
        <f>-696.087979566193 -104.490420294598 -612.478684454943</f>
        <v>-1413.0570843157341</v>
      </c>
      <c r="I1308">
        <f>-669.342075032506 -95.8084474353652 -690.672759801804</f>
        <v>-1455.8232822696752</v>
      </c>
      <c r="J1308">
        <f>-705.964251935865 -77.0189292136281 -558.431652097867</f>
        <v>-1341.4148332473601</v>
      </c>
      <c r="K1308" t="s">
        <v>13402</v>
      </c>
      <c r="L1308" t="s">
        <v>13403</v>
      </c>
      <c r="M1308" t="s">
        <v>13404</v>
      </c>
      <c r="N1308">
        <f>-686.659171601098 -128.944054463481 -556.923109161332</f>
        <v>-1372.5263352259112</v>
      </c>
      <c r="O1308">
        <f>-640.709362831357 -254.514679405604 -524.973678243157</f>
        <v>-1420.1977204801178</v>
      </c>
      <c r="P1308">
        <f>-609.049296631769 -311.239698983791 -237.969962878741</f>
        <v>-1158.2589584943009</v>
      </c>
      <c r="Q1308">
        <f>-479.844201534555 -108.185497777588 -249.189267492192</f>
        <v>-837.21896680433497</v>
      </c>
      <c r="R1308" t="s">
        <v>13405</v>
      </c>
      <c r="S1308" t="s">
        <v>13406</v>
      </c>
      <c r="T1308" t="s">
        <v>13407</v>
      </c>
      <c r="U1308" t="s">
        <v>13408</v>
      </c>
      <c r="V1308">
        <f>-624.811702017204 -157.632570217024 -94.8872541366391</f>
        <v>-877.3315263708671</v>
      </c>
      <c r="W1308" t="s">
        <v>13409</v>
      </c>
      <c r="X1308" t="s">
        <v>13410</v>
      </c>
      <c r="Y1308" t="s">
        <v>13411</v>
      </c>
    </row>
    <row r="1309" spans="1:25" x14ac:dyDescent="0.3">
      <c r="A1309">
        <v>65400</v>
      </c>
      <c r="B1309" t="s">
        <v>13412</v>
      </c>
      <c r="C1309">
        <f>-665.290234668678 -69.6177682972482 -98.4487413875768</f>
        <v>-833.3567443535029</v>
      </c>
      <c r="D1309">
        <f>-682.181872679796 -83.5786599982468 -212.185256984676</f>
        <v>-977.94578966271888</v>
      </c>
      <c r="E1309">
        <f>-689.462551457773 -90.8808582680874 -310.268479511295</f>
        <v>-1090.6118892371555</v>
      </c>
      <c r="F1309">
        <f>-693.657096991752 -95.9247548539024 -399.123458892832</f>
        <v>-1188.7053107384863</v>
      </c>
      <c r="G1309">
        <f>-695.108533353356 -99.3217177842903 -488.143695891989</f>
        <v>-1282.5739470296353</v>
      </c>
      <c r="H1309">
        <f>-694.233058758758 -102.384760415472 -612.68544002999</f>
        <v>-1409.30325920422</v>
      </c>
      <c r="I1309">
        <f>-667.48685124617 -93.9795618683283 -690.909668001994</f>
        <v>-1452.3760811164923</v>
      </c>
      <c r="J1309">
        <f>-704.12301957861 -75.0185986236779 -558.587463029849</f>
        <v>-1337.7290812321369</v>
      </c>
      <c r="K1309" t="s">
        <v>13413</v>
      </c>
      <c r="L1309" t="s">
        <v>13414</v>
      </c>
      <c r="M1309" t="s">
        <v>13415</v>
      </c>
      <c r="N1309">
        <f>-685.113699858463 -127.055232387399 -557.174115822052</f>
        <v>-1369.343048067914</v>
      </c>
      <c r="O1309">
        <f>-640.198879616903 -253.044323926015 -525.430486057519</f>
        <v>-1418.6736896004372</v>
      </c>
      <c r="P1309">
        <f>-610.776408950673 -310.969381737587 -238.428395750742</f>
        <v>-1160.1741864390021</v>
      </c>
      <c r="Q1309">
        <f>-477.925698011737 -110.715409827854 -255.746386493705</f>
        <v>-844.38749433329599</v>
      </c>
      <c r="R1309" t="s">
        <v>13416</v>
      </c>
      <c r="S1309" t="s">
        <v>13417</v>
      </c>
      <c r="T1309" t="s">
        <v>13418</v>
      </c>
      <c r="U1309" t="s">
        <v>13419</v>
      </c>
      <c r="V1309">
        <f>-624.432428993712 -156.652488841155 -94.9356124015665</f>
        <v>-876.0205302364335</v>
      </c>
      <c r="W1309" t="s">
        <v>13420</v>
      </c>
      <c r="X1309" t="s">
        <v>13421</v>
      </c>
      <c r="Y1309" t="s">
        <v>13422</v>
      </c>
    </row>
    <row r="1310" spans="1:25" x14ac:dyDescent="0.3">
      <c r="A1310">
        <v>65450</v>
      </c>
      <c r="B1310" t="s">
        <v>13423</v>
      </c>
      <c r="C1310">
        <f>-664.966581815275 -69.1778877349541 -98.4970580251089</f>
        <v>-832.64152757533805</v>
      </c>
      <c r="D1310">
        <f>-681.770807823826 -83.0234969372591 -212.260579654988</f>
        <v>-977.05488441607304</v>
      </c>
      <c r="E1310">
        <f>-688.969002246209 -90.2010004801705 -310.359136412186</f>
        <v>-1089.5291391385654</v>
      </c>
      <c r="F1310">
        <f>-693.086109417698 -95.1206650908416 -399.224619523959</f>
        <v>-1187.4313940324987</v>
      </c>
      <c r="G1310">
        <f>-694.456715795111 -98.3830659460009 -488.251210242679</f>
        <v>-1281.0909919837909</v>
      </c>
      <c r="H1310">
        <f>-693.463981806994 -101.247264820139 -612.796774320837</f>
        <v>-1407.50802094797</v>
      </c>
      <c r="I1310">
        <f>-666.789058210198 -92.9793447003208 -691.060000672078</f>
        <v>-1450.8284035825968</v>
      </c>
      <c r="J1310">
        <f>-703.329606259063 -73.9401581254879 -558.664728390944</f>
        <v>-1335.9344927754948</v>
      </c>
      <c r="K1310" t="s">
        <v>13424</v>
      </c>
      <c r="L1310" t="s">
        <v>13425</v>
      </c>
      <c r="M1310" t="s">
        <v>13426</v>
      </c>
      <c r="N1310">
        <f>-684.472035931551 -126.033683967 -557.316287981093</f>
        <v>-1367.8220078796439</v>
      </c>
      <c r="O1310">
        <f>-640.035625947285 -252.224892134889 -525.702023175505</f>
        <v>-1417.962541257679</v>
      </c>
      <c r="P1310">
        <f>-611.320974746589 -310.961554207848 -238.793207197952</f>
        <v>-1161.0757361523888</v>
      </c>
      <c r="Q1310">
        <f>-477.075036287983 -111.923076528749 -259.106732966632</f>
        <v>-848.104845783364</v>
      </c>
      <c r="R1310" t="s">
        <v>13427</v>
      </c>
      <c r="S1310" t="s">
        <v>13428</v>
      </c>
      <c r="T1310" t="s">
        <v>13429</v>
      </c>
      <c r="U1310" t="s">
        <v>13430</v>
      </c>
      <c r="V1310">
        <f>-624.34460288014 -156.263372361088 -94.969256705563</f>
        <v>-875.5772319467909</v>
      </c>
      <c r="W1310" t="s">
        <v>13431</v>
      </c>
      <c r="X1310" t="s">
        <v>13432</v>
      </c>
      <c r="Y1310" t="s">
        <v>13433</v>
      </c>
    </row>
    <row r="1311" spans="1:25" x14ac:dyDescent="0.3">
      <c r="A1311">
        <v>65500</v>
      </c>
      <c r="B1311" t="s">
        <v>13434</v>
      </c>
      <c r="C1311">
        <f>-664.185339130743 -68.3608420347225 -98.5073426694447</f>
        <v>-831.05352383491027</v>
      </c>
      <c r="D1311">
        <f>-680.786847341406 -81.9605535141181 -212.330318417653</f>
        <v>-975.07771927317708</v>
      </c>
      <c r="E1311">
        <f>-687.779878057128 -88.8490283781794 -310.4644816341</f>
        <v>-1087.0933880694074</v>
      </c>
      <c r="F1311">
        <f>-691.698351441598 -93.4749002220544 -399.354707393452</f>
        <v>-1184.5279590571045</v>
      </c>
      <c r="G1311">
        <f>-692.854848368744 -96.4140877004086 -488.395570348548</f>
        <v>-1277.6645064177005</v>
      </c>
      <c r="H1311">
        <f>-691.546016289081 -98.7977172240805 -612.948394428871</f>
        <v>-1403.2921279420325</v>
      </c>
      <c r="I1311">
        <f>-665.03998105719 -90.7355781675753 -691.290376802718</f>
        <v>-1447.0659360274833</v>
      </c>
      <c r="J1311">
        <f>-701.345101948797 -71.6266122133054 -558.735691312527</f>
        <v>-1331.7074054746295</v>
      </c>
      <c r="K1311" t="s">
        <v>13435</v>
      </c>
      <c r="L1311" t="s">
        <v>13436</v>
      </c>
      <c r="M1311" t="s">
        <v>13437</v>
      </c>
      <c r="N1311">
        <f>-682.898834384318 -123.870919227021 -557.542084403096</f>
        <v>-1364.3118380144351</v>
      </c>
      <c r="O1311">
        <f>-639.563282832131 -250.512736559955 -526.220704117661</f>
        <v>-1416.2967235097469</v>
      </c>
      <c r="P1311">
        <f>-612.081667045993 -311.310054302324 -239.62047368641</f>
        <v>-1163.0121950347268</v>
      </c>
      <c r="Q1311">
        <f>-475.553875924524 -114.551952666923 -266.026924379715</f>
        <v>-856.13275297116206</v>
      </c>
      <c r="R1311" t="s">
        <v>13438</v>
      </c>
      <c r="S1311" t="s">
        <v>13439</v>
      </c>
      <c r="T1311" t="s">
        <v>13440</v>
      </c>
      <c r="U1311" t="s">
        <v>13441</v>
      </c>
      <c r="V1311">
        <f>-624.093613630371 -155.542009035999 -95.0000354845286</f>
        <v>-874.63565815089851</v>
      </c>
      <c r="W1311" t="s">
        <v>13442</v>
      </c>
      <c r="X1311" t="s">
        <v>13443</v>
      </c>
      <c r="Y1311" t="s">
        <v>13444</v>
      </c>
    </row>
    <row r="1312" spans="1:25" x14ac:dyDescent="0.3">
      <c r="A1312">
        <v>65550</v>
      </c>
      <c r="B1312" t="s">
        <v>13445</v>
      </c>
      <c r="C1312">
        <f>-663.623373119145 -67.809044927548 -98.4767322658706</f>
        <v>-829.90915031256361</v>
      </c>
      <c r="D1312">
        <f>-680.140755084128 -81.2796614085341 -212.327364062019</f>
        <v>-973.74778055468119</v>
      </c>
      <c r="E1312">
        <f>-687.032057622429 -88.0262728250968 -310.478441786884</f>
        <v>-1085.5367722344099</v>
      </c>
      <c r="F1312">
        <f>-690.845892988351 -92.5110462547655 -399.38053344689</f>
        <v>-1182.7374726900066</v>
      </c>
      <c r="G1312">
        <f>-691.88400246546 -95.2988229009652 -488.427641070481</f>
        <v>-1275.6104664369061</v>
      </c>
      <c r="H1312">
        <f>-690.394449489948 -97.4612160904212 -612.982528542543</f>
        <v>-1400.8381941229122</v>
      </c>
      <c r="I1312">
        <f>-663.997166260815 -89.4966008659451 -691.371234521652</f>
        <v>-1444.8650016484121</v>
      </c>
      <c r="J1312">
        <f>-700.138754114542 -70.3396877648486 -558.735096799018</f>
        <v>-1329.2135386784087</v>
      </c>
      <c r="K1312" t="s">
        <v>13446</v>
      </c>
      <c r="L1312" t="s">
        <v>13447</v>
      </c>
      <c r="M1312" t="s">
        <v>13448</v>
      </c>
      <c r="N1312">
        <f>-681.961191561962 -122.679653971365 -557.6090609904</f>
        <v>-1362.2499065237271</v>
      </c>
      <c r="O1312">
        <f>-639.289520421071 -249.581778826573 -526.412443200048</f>
        <v>-1415.283742447692</v>
      </c>
      <c r="P1312">
        <f>-612.287097613166 -311.358876748074 -239.976325604212</f>
        <v>-1163.6222999654519</v>
      </c>
      <c r="Q1312">
        <f>-474.806083764526 -115.618587665384 -268.882266681323</f>
        <v>-859.30693811123308</v>
      </c>
      <c r="R1312" t="s">
        <v>13449</v>
      </c>
      <c r="S1312" t="s">
        <v>13450</v>
      </c>
      <c r="T1312" t="s">
        <v>13451</v>
      </c>
      <c r="U1312" t="s">
        <v>13452</v>
      </c>
      <c r="V1312">
        <f>-623.811996418998 -154.993599407769 -94.9918021288815</f>
        <v>-873.79739795564853</v>
      </c>
      <c r="W1312" t="s">
        <v>13453</v>
      </c>
      <c r="X1312" t="s">
        <v>13454</v>
      </c>
      <c r="Y1312" t="s">
        <v>13455</v>
      </c>
    </row>
    <row r="1313" spans="1:25" x14ac:dyDescent="0.3">
      <c r="A1313">
        <v>65600</v>
      </c>
      <c r="B1313" t="s">
        <v>13456</v>
      </c>
      <c r="C1313">
        <f>-662.21164310645 -66.7441440495084 -98.3877245343425</f>
        <v>-827.34351169030094</v>
      </c>
      <c r="D1313">
        <f>-678.609031590217 -79.9467484403624 -212.286968126038</f>
        <v>-970.8427481566174</v>
      </c>
      <c r="E1313">
        <f>-685.327805786194 -86.4203024115711 -310.468578802942</f>
        <v>-1082.216687000707</v>
      </c>
      <c r="F1313">
        <f>-688.957716078249 -90.6390231811886 -399.391289606587</f>
        <v>-1178.9880288660245</v>
      </c>
      <c r="G1313">
        <f>-689.780817868885 -93.146774799915 -488.44895854475</f>
        <v>-1271.3765512135501</v>
      </c>
      <c r="H1313">
        <f>-687.957850235183 -94.9053025023038 -613.005806613946</f>
        <v>-1395.8689593514327</v>
      </c>
      <c r="I1313">
        <f>-661.831498569671 -87.1577754547061 -691.506936557487</f>
        <v>-1440.496210581864</v>
      </c>
      <c r="J1313">
        <f>-697.568814815203 -67.8646036702025 -558.694349963114</f>
        <v>-1324.1277684485194</v>
      </c>
      <c r="K1313" t="s">
        <v>13457</v>
      </c>
      <c r="L1313" t="s">
        <v>13458</v>
      </c>
      <c r="M1313" t="s">
        <v>13459</v>
      </c>
      <c r="N1313">
        <f>-679.951345804069 -120.39839914354 -557.694782847446</f>
        <v>-1358.044527795055</v>
      </c>
      <c r="O1313">
        <f>-638.619429797646 -247.781116895035 -526.667364037996</f>
        <v>-1413.0679107306769</v>
      </c>
      <c r="P1313">
        <f>-612.49798617488 -311.251246159477 -240.51993317648</f>
        <v>-1164.269165510837</v>
      </c>
      <c r="Q1313">
        <f>-473.254145238161 -117.294884345064 -272.815144739472</f>
        <v>-863.36417432269695</v>
      </c>
      <c r="R1313" t="s">
        <v>13460</v>
      </c>
      <c r="S1313" t="s">
        <v>13461</v>
      </c>
      <c r="T1313" t="s">
        <v>13462</v>
      </c>
      <c r="U1313" t="s">
        <v>13463</v>
      </c>
      <c r="V1313">
        <f>-623.128986463125 -154.127980426131 -94.9389938419396</f>
        <v>-872.19596073119556</v>
      </c>
      <c r="W1313" t="s">
        <v>13464</v>
      </c>
      <c r="X1313" t="s">
        <v>13465</v>
      </c>
      <c r="Y1313" t="s">
        <v>13466</v>
      </c>
    </row>
    <row r="1314" spans="1:25" x14ac:dyDescent="0.3">
      <c r="A1314">
        <v>65650</v>
      </c>
      <c r="B1314" t="s">
        <v>13467</v>
      </c>
      <c r="C1314">
        <f>-661.372631624863 -66.2071823756851 -98.3531148744287</f>
        <v>-825.93292887497671</v>
      </c>
      <c r="D1314">
        <f>-677.741706794218 -79.2718039386396 -212.272416547759</f>
        <v>-969.28592728061653</v>
      </c>
      <c r="E1314">
        <f>-684.382231250362 -85.6145443392763 -310.467652325518</f>
        <v>-1080.4644279151562</v>
      </c>
      <c r="F1314">
        <f>-687.919701011523 -89.7090446750799 -399.400046797863</f>
        <v>-1177.0287924844658</v>
      </c>
      <c r="G1314">
        <f>-688.628103021511 -92.0890200645315 -488.46215494497</f>
        <v>-1269.1792780310125</v>
      </c>
      <c r="H1314">
        <f>-686.620760980966 -93.6661303213984 -613.018633646633</f>
        <v>-1393.3055249489976</v>
      </c>
      <c r="I1314">
        <f>-660.631544097641 -86.006732588665 -691.573910909291</f>
        <v>-1438.2121875955972</v>
      </c>
      <c r="J1314">
        <f>-696.182705948742 -66.6614030863873 -558.680643136931</f>
        <v>-1321.5247521720603</v>
      </c>
      <c r="K1314" t="s">
        <v>13468</v>
      </c>
      <c r="L1314" t="s">
        <v>13469</v>
      </c>
      <c r="M1314" t="s">
        <v>13470</v>
      </c>
      <c r="N1314">
        <f>-678.825415017469 -119.282727642387 -557.734481809079</f>
        <v>-1355.8426244689351</v>
      </c>
      <c r="O1314">
        <f>-638.109004969978 -246.893051350265 -526.831626149907</f>
        <v>-1411.8336824701501</v>
      </c>
      <c r="P1314">
        <f>-612.581233303716 -311.077737625453 -240.789936410089</f>
        <v>-1164.4489073392579</v>
      </c>
      <c r="Q1314">
        <f>-472.603550337276 -117.801683159862 -273.97877402034</f>
        <v>-864.38400751747793</v>
      </c>
      <c r="R1314" t="s">
        <v>13471</v>
      </c>
      <c r="S1314" t="s">
        <v>13472</v>
      </c>
      <c r="T1314" t="s">
        <v>13473</v>
      </c>
      <c r="U1314" t="s">
        <v>13474</v>
      </c>
      <c r="V1314">
        <f>-622.614983696473 -153.712343527048 -94.9245208530284</f>
        <v>-871.25184807654944</v>
      </c>
      <c r="W1314" t="s">
        <v>13475</v>
      </c>
      <c r="X1314" t="s">
        <v>13476</v>
      </c>
      <c r="Y1314" t="s">
        <v>13477</v>
      </c>
    </row>
    <row r="1315" spans="1:25" x14ac:dyDescent="0.3">
      <c r="A1315">
        <v>65700</v>
      </c>
      <c r="B1315" t="s">
        <v>13478</v>
      </c>
      <c r="C1315">
        <f>-659.479170431988 -64.9447370747232 -98.260165567246</f>
        <v>-822.68407307395717</v>
      </c>
      <c r="D1315">
        <f>-675.763655953959 -77.7677296302115 -212.219050271323</f>
        <v>-965.75043585549349</v>
      </c>
      <c r="E1315">
        <f>-682.253051713615 -83.853677923586 -310.440619642667</f>
        <v>-1076.5473492798681</v>
      </c>
      <c r="F1315">
        <f>-685.622460530358 -87.6941994832812 -399.390829277942</f>
        <v>-1172.7074892915812</v>
      </c>
      <c r="G1315">
        <f>-686.129294356432 -89.8026810543977 -488.461354690531</f>
        <v>-1264.3933301013606</v>
      </c>
      <c r="H1315">
        <f>-683.804394560007 -90.9832035092998 -613.016618622313</f>
        <v>-1387.8042166916198</v>
      </c>
      <c r="I1315">
        <f>-658.146705434941 -83.4892487284394 -691.696658807185</f>
        <v>-1433.3326129705656</v>
      </c>
      <c r="J1315">
        <f>-693.276540807286 -64.0773671909856 -558.613740474716</f>
        <v>-1315.9676484729875</v>
      </c>
      <c r="K1315" t="s">
        <v>13479</v>
      </c>
      <c r="L1315" t="s">
        <v>13480</v>
      </c>
      <c r="M1315" t="s">
        <v>13481</v>
      </c>
      <c r="N1315">
        <f>-676.378308847272 -116.850010748436 -557.798127282955</f>
        <v>-1351.0264468786631</v>
      </c>
      <c r="O1315">
        <f>-636.728090521441 -244.866536072472 -527.174079295714</f>
        <v>-1408.7687058896272</v>
      </c>
      <c r="P1315">
        <f>-612.40058015769 -310.273964426928 -241.304717573264</f>
        <v>-1163.979262157882</v>
      </c>
      <c r="Q1315">
        <f>-471.07061780424 -118.119394713581 -275.265820837537</f>
        <v>-864.45583335535798</v>
      </c>
      <c r="R1315" t="s">
        <v>13482</v>
      </c>
      <c r="S1315" t="s">
        <v>13483</v>
      </c>
      <c r="T1315" t="s">
        <v>13484</v>
      </c>
      <c r="U1315" t="s">
        <v>13485</v>
      </c>
      <c r="V1315">
        <f>-621.312935270988 -152.63818954318 -94.8548154309236</f>
        <v>-868.80594024509162</v>
      </c>
      <c r="W1315" t="s">
        <v>13486</v>
      </c>
      <c r="X1315" t="s">
        <v>13487</v>
      </c>
      <c r="Y1315" t="s">
        <v>13488</v>
      </c>
    </row>
    <row r="1316" spans="1:25" x14ac:dyDescent="0.3">
      <c r="A1316">
        <v>65750</v>
      </c>
      <c r="B1316" t="s">
        <v>13489</v>
      </c>
      <c r="C1316">
        <f>-658.503686378109 -64.2263359653555 -98.2033533765281</f>
        <v>-820.93337571999257</v>
      </c>
      <c r="D1316">
        <f>-674.742706654745 -76.918620681347 -212.183328800509</f>
        <v>-963.84465613660097</v>
      </c>
      <c r="E1316">
        <f>-681.146323354596 -82.8572388687164 -310.419678295528</f>
        <v>-1074.4232405188404</v>
      </c>
      <c r="F1316">
        <f>-684.419167957481 -86.5497792131055 -399.379684838522</f>
        <v>-1170.3486320091085</v>
      </c>
      <c r="G1316">
        <f>-684.809596405173 -88.4967757687175 -488.454432333292</f>
        <v>-1261.7608045071825</v>
      </c>
      <c r="H1316">
        <f>-682.301103241809 -89.438575771939 -613.008132743384</f>
        <v>-1384.7478117571318</v>
      </c>
      <c r="I1316">
        <f>-656.796214785222 -82.0193436986544 -691.744910293985</f>
        <v>-1430.5604687778614</v>
      </c>
      <c r="J1316">
        <f>-691.755467387677 -62.6059705102118 -558.566212055544</f>
        <v>-1312.9276499534328</v>
      </c>
      <c r="K1316" t="s">
        <v>13490</v>
      </c>
      <c r="L1316" t="s">
        <v>13491</v>
      </c>
      <c r="M1316" t="s">
        <v>13492</v>
      </c>
      <c r="N1316">
        <f>-675.054494230293 -115.442517370748 -557.83036092824</f>
        <v>-1348.3273725292811</v>
      </c>
      <c r="O1316">
        <f>-635.891228073194 -243.641327451039 -527.350647484392</f>
        <v>-1406.8832030086251</v>
      </c>
      <c r="P1316">
        <f>-612.088827434063 -309.452816745645 -241.529925055987</f>
        <v>-1163.0715692356951</v>
      </c>
      <c r="Q1316">
        <f>-470.126666476886 -117.72336702061 -275.254957399667</f>
        <v>-863.10499089716302</v>
      </c>
      <c r="R1316" t="s">
        <v>13493</v>
      </c>
      <c r="S1316" t="s">
        <v>13494</v>
      </c>
      <c r="T1316" t="s">
        <v>13495</v>
      </c>
      <c r="U1316" t="s">
        <v>13496</v>
      </c>
      <c r="V1316">
        <f>-620.592312362871 -151.984208858534 -94.8354201294381</f>
        <v>-867.41194135084311</v>
      </c>
      <c r="W1316" t="s">
        <v>13497</v>
      </c>
      <c r="X1316" t="s">
        <v>13498</v>
      </c>
      <c r="Y1316" t="s">
        <v>13499</v>
      </c>
    </row>
    <row r="1317" spans="1:25" x14ac:dyDescent="0.3">
      <c r="A1317">
        <v>65800</v>
      </c>
      <c r="B1317" t="s">
        <v>13500</v>
      </c>
      <c r="C1317">
        <f>-656.779593442283 -62.3595416111127 -98.143431285925</f>
        <v>-817.28256633932074</v>
      </c>
      <c r="D1317">
        <f>-672.934315227131 -74.7909290251769 -212.164060854334</f>
        <v>-959.88930510664193</v>
      </c>
      <c r="E1317">
        <f>-679.124400434368 -80.4332582782538 -310.43159919229</f>
        <v>-1069.9892579049117</v>
      </c>
      <c r="F1317">
        <f>-682.147169717639 -83.8271259068936 -399.412522493411</f>
        <v>-1165.3868181179437</v>
      </c>
      <c r="G1317">
        <f>-682.229128626415 -85.4487752072241 -488.494383913031</f>
        <v>-1256.17228774667</v>
      </c>
      <c r="H1317">
        <f>-679.227661619588 -85.9090617486092 -613.040043966487</f>
        <v>-1378.1767673346844</v>
      </c>
      <c r="I1317">
        <f>-653.920650555843 -78.6427267686213 -691.854878156311</f>
        <v>-1424.4182554807753</v>
      </c>
      <c r="J1317">
        <f>-688.721168841655 -59.2318450990601 -558.528328310523</f>
        <v>-1306.4813422512379</v>
      </c>
      <c r="K1317" t="s">
        <v>13501</v>
      </c>
      <c r="L1317" t="s">
        <v>13502</v>
      </c>
      <c r="M1317" t="s">
        <v>13503</v>
      </c>
      <c r="N1317">
        <f>-672.37582693737 -112.181327400782 -557.938817034256</f>
        <v>-1342.4959713724079</v>
      </c>
      <c r="O1317">
        <f>-634.083611165948 -240.709494349277 -527.729744934396</f>
        <v>-1402.522850449621</v>
      </c>
      <c r="P1317">
        <f>-611.412232586304 -307.380668236535 -242.016269724224</f>
        <v>-1160.8091705470629</v>
      </c>
      <c r="Q1317">
        <f>-468.459537660868 -116.241300293856 -274.897565607477</f>
        <v>-859.59840356220093</v>
      </c>
      <c r="R1317" t="s">
        <v>13504</v>
      </c>
      <c r="S1317" t="s">
        <v>13505</v>
      </c>
      <c r="T1317" t="s">
        <v>13506</v>
      </c>
      <c r="U1317" t="s">
        <v>13507</v>
      </c>
      <c r="V1317">
        <f>-619.324461073148 -150.351280991897 -94.8413283372686</f>
        <v>-864.51707040231463</v>
      </c>
      <c r="W1317" t="s">
        <v>13508</v>
      </c>
      <c r="X1317" t="s">
        <v>13509</v>
      </c>
      <c r="Y1317" t="s">
        <v>13510</v>
      </c>
    </row>
    <row r="1318" spans="1:25" x14ac:dyDescent="0.3">
      <c r="A1318">
        <v>65850</v>
      </c>
      <c r="B1318" t="s">
        <v>13511</v>
      </c>
      <c r="C1318">
        <f>-656.020228373055 -61.4099055533056 -98.129919346168</f>
        <v>-815.56005327252865</v>
      </c>
      <c r="D1318">
        <f>-672.140583059359 -73.6804162208227 -212.17284359542</f>
        <v>-957.99384287560167</v>
      </c>
      <c r="E1318">
        <f>-678.228273429454 -79.1935005874002 -310.454079341804</f>
        <v>-1067.8758533586583</v>
      </c>
      <c r="F1318">
        <f>-681.129688308741 -82.4738670318627 -399.443235692644</f>
        <v>-1163.0467910332477</v>
      </c>
      <c r="G1318">
        <f>-681.061217702096 -83.986604590521 -488.52714757283</f>
        <v>-1253.574969865447</v>
      </c>
      <c r="H1318">
        <f>-677.818878856983 -84.3008239538276 -613.067073839635</f>
        <v>-1375.1867766504456</v>
      </c>
      <c r="I1318">
        <f>-652.597800846813 -77.16355714713 -691.921328048872</f>
        <v>-1421.682686042815</v>
      </c>
      <c r="J1318">
        <f>-687.335090231157 -57.6621542306711 -558.540672625923</f>
        <v>-1303.5379170877511</v>
      </c>
      <c r="K1318" t="s">
        <v>13512</v>
      </c>
      <c r="L1318" t="s">
        <v>13513</v>
      </c>
      <c r="M1318" t="s">
        <v>13514</v>
      </c>
      <c r="N1318">
        <f>-671.156171448415 -110.663139582642 -557.985752585244</f>
        <v>-1339.8050636163009</v>
      </c>
      <c r="O1318">
        <f>-633.271435209925 -239.322015792032 -527.880210586039</f>
        <v>-1400.473661587996</v>
      </c>
      <c r="P1318">
        <f>-611.175511844848 -306.281118746532 -242.188959748175</f>
        <v>-1159.6455903395549</v>
      </c>
      <c r="Q1318">
        <f>-467.625979192636 -115.561952103381 -274.908332784076</f>
        <v>-858.09626408009308</v>
      </c>
      <c r="R1318" t="s">
        <v>13515</v>
      </c>
      <c r="S1318" t="s">
        <v>13516</v>
      </c>
      <c r="T1318" t="s">
        <v>13517</v>
      </c>
      <c r="U1318" t="s">
        <v>13518</v>
      </c>
      <c r="V1318">
        <f>-618.824510200648 -149.447102876113 -94.8794046694399</f>
        <v>-863.15101774620086</v>
      </c>
      <c r="W1318" t="s">
        <v>13519</v>
      </c>
      <c r="X1318" t="s">
        <v>13520</v>
      </c>
      <c r="Y1318" t="s">
        <v>13521</v>
      </c>
    </row>
    <row r="1319" spans="1:25" x14ac:dyDescent="0.3">
      <c r="A1319">
        <v>65900</v>
      </c>
      <c r="B1319" t="s">
        <v>13522</v>
      </c>
      <c r="C1319">
        <f>-654.63925055252 -59.5710493834745 -98.0546379444636</f>
        <v>-812.26493788045809</v>
      </c>
      <c r="D1319">
        <f>-670.645625121336 -71.5297575434986 -212.146727435242</f>
        <v>-954.32211010007666</v>
      </c>
      <c r="E1319">
        <f>-676.610282082349 -76.8699856382486 -310.445034758146</f>
        <v>-1063.9253024787436</v>
      </c>
      <c r="F1319">
        <f>-679.391925519772 -80.0306772384274 -399.442397377591</f>
        <v>-1158.8650001357905</v>
      </c>
      <c r="G1319">
        <f>-679.19439719239 -81.4639934839618 -488.527381733047</f>
        <v>-1249.1857724093989</v>
      </c>
      <c r="H1319">
        <f>-675.762790689245 -81.7098282873528 -613.062395333948</f>
        <v>-1370.5350143105456</v>
      </c>
      <c r="I1319">
        <f>-650.751171689906 -74.9878875691784 -692.019784303591</f>
        <v>-1417.7588435626753</v>
      </c>
      <c r="J1319">
        <f>-685.189183937017 -55.0488757883759 -558.531246060035</f>
        <v>-1298.7693057854278</v>
      </c>
      <c r="K1319" t="s">
        <v>13523</v>
      </c>
      <c r="L1319" t="s">
        <v>13524</v>
      </c>
      <c r="M1319" t="s">
        <v>13525</v>
      </c>
      <c r="N1319">
        <f>-669.356579576417 -108.154509135818 -557.990138456314</f>
        <v>-1335.5012271685489</v>
      </c>
      <c r="O1319">
        <f>-632.282156722383 -237.081337151717 -527.992448397087</f>
        <v>-1397.3559422711869</v>
      </c>
      <c r="P1319">
        <f>-611.289468492015 -304.435651754442 -242.310913669098</f>
        <v>-1158.036033915555</v>
      </c>
      <c r="Q1319">
        <f>-466.627519533071 -114.577930931322 -275.141473901056</f>
        <v>-856.34692436544901</v>
      </c>
      <c r="R1319" t="s">
        <v>13526</v>
      </c>
      <c r="S1319" t="s">
        <v>13527</v>
      </c>
      <c r="T1319" t="s">
        <v>13528</v>
      </c>
      <c r="U1319" t="s">
        <v>13529</v>
      </c>
      <c r="V1319">
        <f>-617.83116609474 -147.768847234514 -94.9441492852193</f>
        <v>-860.54416261447318</v>
      </c>
      <c r="W1319" t="s">
        <v>13530</v>
      </c>
      <c r="X1319" t="s">
        <v>13531</v>
      </c>
      <c r="Y1319" t="s">
        <v>13532</v>
      </c>
    </row>
    <row r="1320" spans="1:25" x14ac:dyDescent="0.3">
      <c r="A1320">
        <v>65950</v>
      </c>
      <c r="B1320" t="s">
        <v>13533</v>
      </c>
      <c r="C1320">
        <f>-654.098347872302 -58.6743817461213 -97.9989660359053</f>
        <v>-810.7716956543286</v>
      </c>
      <c r="D1320">
        <f>-670.082769309056 -70.5170363912569 -212.106201865454</f>
        <v>-952.70600756576687</v>
      </c>
      <c r="E1320">
        <f>-676.024799916461 -75.8009935563559 -310.408872767676</f>
        <v>-1062.234666240493</v>
      </c>
      <c r="F1320">
        <f>-678.785325321023 -78.9271608677027 -399.408060479941</f>
        <v>-1157.1205466686667</v>
      </c>
      <c r="G1320">
        <f>-678.565981614687 -80.3437768758411 -488.493359540361</f>
        <v>-1247.4031180308889</v>
      </c>
      <c r="H1320">
        <f>-675.102823902474 -80.5850253265317 -613.027510502026</f>
        <v>-1368.7153597310316</v>
      </c>
      <c r="I1320">
        <f>-650.189780104853 -74.1128591428142 -692.036814585113</f>
        <v>-1416.3394538327802</v>
      </c>
      <c r="J1320">
        <f>-684.464422772829 -53.9027045927887 -558.495725877627</f>
        <v>-1296.8628532432449</v>
      </c>
      <c r="K1320" t="s">
        <v>13534</v>
      </c>
      <c r="L1320" t="s">
        <v>13535</v>
      </c>
      <c r="M1320" t="s">
        <v>13536</v>
      </c>
      <c r="N1320">
        <f>-668.789202796503 -107.054934233348 -557.956778398398</f>
        <v>-1333.800915428249</v>
      </c>
      <c r="O1320">
        <f>-632.147010576317 -236.120192327698 -528.010615549517</f>
        <v>-1396.2778184535318</v>
      </c>
      <c r="P1320">
        <f>-611.765115130961 -303.36664543826 -242.259421800926</f>
        <v>-1157.3911823701469</v>
      </c>
      <c r="Q1320">
        <f>-466.373707049898 -114.103850260408 -275.30193570198</f>
        <v>-855.77949301228603</v>
      </c>
      <c r="R1320" t="s">
        <v>13537</v>
      </c>
      <c r="S1320" t="s">
        <v>13538</v>
      </c>
      <c r="T1320" t="s">
        <v>13539</v>
      </c>
      <c r="U1320" t="s">
        <v>13540</v>
      </c>
      <c r="V1320">
        <f>-617.489195685719 -147.040843829733 -94.9460134445109</f>
        <v>-859.47605295996289</v>
      </c>
      <c r="W1320" t="s">
        <v>13541</v>
      </c>
      <c r="X1320" t="s">
        <v>13542</v>
      </c>
      <c r="Y1320" t="s">
        <v>13543</v>
      </c>
    </row>
    <row r="1321" spans="1:25" x14ac:dyDescent="0.3">
      <c r="A1321">
        <v>66000</v>
      </c>
      <c r="B1321" t="s">
        <v>13544</v>
      </c>
      <c r="C1321">
        <f>-653.216311178123 -56.9408208583916 -97.9252448785047</f>
        <v>-808.08237691501927</v>
      </c>
      <c r="D1321">
        <f>-669.312240321086 -68.5586813832888 -212.039936768456</f>
        <v>-949.9108584728308</v>
      </c>
      <c r="E1321">
        <f>-675.345193540938 -73.779932965112 -310.340472666177</f>
        <v>-1059.465599172227</v>
      </c>
      <c r="F1321">
        <f>-678.189280899642 -76.8980074583949 -399.337304623598</f>
        <v>-1154.4245929816348</v>
      </c>
      <c r="G1321">
        <f>-678.055673472445 -78.3564394876068 -488.422130278107</f>
        <v>-1244.8342432381589</v>
      </c>
      <c r="H1321">
        <f>-674.715413895181 -78.7082800712235 -612.959305931248</f>
        <v>-1366.3829998976526</v>
      </c>
      <c r="I1321">
        <f>-649.984260890609 -72.7919724240351 -692.069399550628</f>
        <v>-1414.8456328652719</v>
      </c>
      <c r="J1321">
        <f>-683.878619222799 -51.9352378466835 -558.43813455483</f>
        <v>-1294.2519916243125</v>
      </c>
      <c r="K1321" t="s">
        <v>13545</v>
      </c>
      <c r="L1321" t="s">
        <v>13546</v>
      </c>
      <c r="M1321" t="s">
        <v>13547</v>
      </c>
      <c r="N1321">
        <f>-668.491883374906 -105.171461221793 -557.875082498885</f>
        <v>-1331.5384270955842</v>
      </c>
      <c r="O1321">
        <f>-632.534634818793 -234.44050529942 -527.960124284751</f>
        <v>-1394.9352644029641</v>
      </c>
      <c r="P1321">
        <f>-613.418097934925 -301.171833525406 -242.000861512192</f>
        <v>-1156.5907929725229</v>
      </c>
      <c r="Q1321">
        <f>-466.787200066799 -112.902067685666 -275.238507272357</f>
        <v>-854.92777502482204</v>
      </c>
      <c r="R1321" t="s">
        <v>13548</v>
      </c>
      <c r="S1321" t="s">
        <v>13549</v>
      </c>
      <c r="T1321" t="s">
        <v>13550</v>
      </c>
      <c r="U1321" t="s">
        <v>13551</v>
      </c>
      <c r="V1321">
        <f>-617.030238500816 -145.518217630545 -94.9865143713628</f>
        <v>-857.53497050272381</v>
      </c>
      <c r="W1321" t="s">
        <v>13552</v>
      </c>
      <c r="X1321" t="s">
        <v>13553</v>
      </c>
      <c r="Y1321" t="s">
        <v>13554</v>
      </c>
    </row>
    <row r="1322" spans="1:25" x14ac:dyDescent="0.3">
      <c r="A1322">
        <v>66050</v>
      </c>
      <c r="B1322" t="s">
        <v>13555</v>
      </c>
      <c r="C1322">
        <f>-652.882696649623 -56.1513630681379 -97.9188482599499</f>
        <v>-806.95290797771077</v>
      </c>
      <c r="D1322">
        <f>-669.018588703191 -67.6841647690192 -212.036480571744</f>
        <v>-948.73923404395418</v>
      </c>
      <c r="E1322">
        <f>-675.125313422924 -72.8907833257288 -310.33332976087</f>
        <v>-1058.3494265095228</v>
      </c>
      <c r="F1322">
        <f>-678.053933020146 -76.0166041350137 -399.327141028773</f>
        <v>-1153.3976781839328</v>
      </c>
      <c r="G1322">
        <f>-678.022767320212 -77.5036365438161 -488.411476532881</f>
        <v>-1243.9378803969091</v>
      </c>
      <c r="H1322">
        <f>-674.845560842966 -77.9173920224796 -612.952806074993</f>
        <v>-1365.7157589404387</v>
      </c>
      <c r="I1322">
        <f>-650.216509512819 -72.2771400227321 -692.11490527227</f>
        <v>-1414.6085548078211</v>
      </c>
      <c r="J1322">
        <f>-683.867975912238 -51.0973659674114 -558.431347818001</f>
        <v>-1293.3966896976503</v>
      </c>
      <c r="K1322" t="s">
        <v>13556</v>
      </c>
      <c r="L1322" t="s">
        <v>13557</v>
      </c>
      <c r="M1322" t="s">
        <v>13558</v>
      </c>
      <c r="N1322">
        <f>-668.619341895356 -104.373265276247 -557.865311731224</f>
        <v>-1330.8579189028269</v>
      </c>
      <c r="O1322">
        <f>-633.029579566288 -233.751900748454 -527.958051689576</f>
        <v>-1394.7395320043179</v>
      </c>
      <c r="P1322">
        <f>-614.429488918682 -300.104532038995 -241.876603717337</f>
        <v>-1156.4106246750139</v>
      </c>
      <c r="Q1322">
        <f>-467.323179212381 -112.232266399788 -275.26191038398</f>
        <v>-854.81735599614899</v>
      </c>
      <c r="R1322" t="s">
        <v>13559</v>
      </c>
      <c r="S1322" t="s">
        <v>13560</v>
      </c>
      <c r="T1322" t="s">
        <v>13561</v>
      </c>
      <c r="U1322" t="s">
        <v>13562</v>
      </c>
      <c r="V1322">
        <f>-616.957217951601 -144.79916893751 -94.9977002310608</f>
        <v>-856.75408712017179</v>
      </c>
      <c r="W1322" t="s">
        <v>13563</v>
      </c>
      <c r="X1322" t="s">
        <v>13564</v>
      </c>
      <c r="Y1322" t="s">
        <v>13565</v>
      </c>
    </row>
    <row r="1323" spans="1:25" x14ac:dyDescent="0.3">
      <c r="A1323">
        <v>66100</v>
      </c>
      <c r="B1323" t="s">
        <v>13566</v>
      </c>
      <c r="C1323">
        <f>-652.391260476723 -54.638209602829 -97.8784525469234</f>
        <v>-804.9079226264754</v>
      </c>
      <c r="D1323">
        <f>-668.609874315297 -66.0658336008869 -211.994967796722</f>
        <v>-946.6706757129059</v>
      </c>
      <c r="E1323">
        <f>-674.856107167274 -71.2746320909826 -310.28285703057</f>
        <v>-1056.4135962888267</v>
      </c>
      <c r="F1323">
        <f>-677.94049180399 -74.4362906377053 -399.270106241209</f>
        <v>-1151.6468886829043</v>
      </c>
      <c r="G1323">
        <f>-678.094093152831 -75.9953014866219 -488.353192700016</f>
        <v>-1242.4425873394689</v>
      </c>
      <c r="H1323">
        <f>-675.205954776132 -76.5471142198933 -612.9010889138</f>
        <v>-1364.6541579098252</v>
      </c>
      <c r="I1323">
        <f>-650.727769883699 -71.4587416211791 -692.147198224382</f>
        <v>-1414.3337097292601</v>
      </c>
      <c r="J1323">
        <f>-683.929091476281 -49.617754116952 -558.384815495113</f>
        <v>-1291.9316610883461</v>
      </c>
      <c r="K1323" t="s">
        <v>13567</v>
      </c>
      <c r="L1323" t="s">
        <v>13568</v>
      </c>
      <c r="M1323" t="s">
        <v>13569</v>
      </c>
      <c r="N1323">
        <f>-669.02466777477 -102.990800892841 -557.802547545035</f>
        <v>-1329.8180162126459</v>
      </c>
      <c r="O1323">
        <f>-634.273454725432 -232.597249293659 -527.924325842234</f>
        <v>-1394.795029861325</v>
      </c>
      <c r="P1323">
        <f>-616.512976852596 -298.451018143236 -241.674335594893</f>
        <v>-1156.638330590725</v>
      </c>
      <c r="Q1323">
        <f>-468.744315452015 -111.116341749697 -275.156289173973</f>
        <v>-855.01694637568494</v>
      </c>
      <c r="R1323" t="s">
        <v>13570</v>
      </c>
      <c r="S1323" t="s">
        <v>13571</v>
      </c>
      <c r="T1323" t="s">
        <v>13572</v>
      </c>
      <c r="U1323" t="s">
        <v>13573</v>
      </c>
      <c r="V1323">
        <f>-616.878696659131 -143.388075333211 -94.9774056330456</f>
        <v>-855.24417762538758</v>
      </c>
      <c r="W1323" t="s">
        <v>13574</v>
      </c>
      <c r="X1323" t="s">
        <v>13575</v>
      </c>
      <c r="Y1323" t="s">
        <v>13576</v>
      </c>
    </row>
    <row r="1324" spans="1:25" x14ac:dyDescent="0.3">
      <c r="A1324">
        <v>66150</v>
      </c>
      <c r="B1324" t="s">
        <v>13577</v>
      </c>
      <c r="C1324">
        <f>-652.138495552317 -53.9401732617741 -97.8459838840918</f>
        <v>-803.92465269818285</v>
      </c>
      <c r="D1324">
        <f>-668.401094135748 -65.3301738107532 -211.960109042453</f>
        <v>-945.69137698895429</v>
      </c>
      <c r="E1324">
        <f>-674.719028426824 -70.5664540247985 -310.2418896129</f>
        <v>-1055.5273720645225</v>
      </c>
      <c r="F1324">
        <f>-677.882371532772 -73.7757770660103 -399.224727498725</f>
        <v>-1150.8828760975073</v>
      </c>
      <c r="G1324">
        <f>-678.12941578543 -75.4069720137304 -488.306207730099</f>
        <v>-1241.8425955292594</v>
      </c>
      <c r="H1324">
        <f>-675.386653978784 -76.085393248648 -612.856685275154</f>
        <v>-1364.3287325025858</v>
      </c>
      <c r="I1324">
        <f>-650.967229364801 -71.2639441960962 -692.137721655737</f>
        <v>-1414.3688952166342</v>
      </c>
      <c r="J1324">
        <f>-683.946574319546 -49.0729544476039 -558.355718406953</f>
        <v>-1291.3752471741029</v>
      </c>
      <c r="K1324" t="s">
        <v>13578</v>
      </c>
      <c r="L1324" t="s">
        <v>13579</v>
      </c>
      <c r="M1324" t="s">
        <v>13580</v>
      </c>
      <c r="N1324">
        <f>-669.240599827234 -102.500753332067 -557.740743297879</f>
        <v>-1329.48209645718</v>
      </c>
      <c r="O1324">
        <f>-634.962594358583 -232.213229068262 -527.806499477683</f>
        <v>-1394.982322904528</v>
      </c>
      <c r="P1324">
        <f>-617.668881761263 -297.447344082587 -241.386227687756</f>
        <v>-1156.5024535316061</v>
      </c>
      <c r="Q1324">
        <f>-469.117187030674 -110.78129641438 -275.135800124094</f>
        <v>-855.03428356914799</v>
      </c>
      <c r="R1324" t="s">
        <v>13581</v>
      </c>
      <c r="S1324" t="s">
        <v>13582</v>
      </c>
      <c r="T1324" t="s">
        <v>13583</v>
      </c>
      <c r="U1324" t="s">
        <v>13584</v>
      </c>
      <c r="V1324">
        <f>-616.815616339612 -142.726644370855 -94.9560479284717</f>
        <v>-854.49830863893862</v>
      </c>
      <c r="W1324" t="s">
        <v>13585</v>
      </c>
      <c r="X1324" t="s">
        <v>13586</v>
      </c>
      <c r="Y1324" t="s">
        <v>13587</v>
      </c>
    </row>
    <row r="1325" spans="1:25" x14ac:dyDescent="0.3">
      <c r="A1325">
        <v>66200</v>
      </c>
      <c r="B1325" t="s">
        <v>13588</v>
      </c>
      <c r="C1325">
        <f>-651.706927279647 -52.7789974740604 -97.7829910234049</f>
        <v>-802.26891577711217</v>
      </c>
      <c r="D1325">
        <f>-668.044423165658 -64.1501795163206 -211.88823852184</f>
        <v>-944.08284120381859</v>
      </c>
      <c r="E1325">
        <f>-674.496161748793 -69.5038022450744 -310.155148179308</f>
        <v>-1054.1551121731754</v>
      </c>
      <c r="F1325">
        <f>-677.810182566937 -72.8710881684235 -399.126543347731</f>
        <v>-1149.8078140830914</v>
      </c>
      <c r="G1325">
        <f>-678.237149561327 -74.7153010845516 -488.20325635748</f>
        <v>-1241.1557070033587</v>
      </c>
      <c r="H1325">
        <f>-675.776565196133 -75.750601812686 -612.757154315763</f>
        <v>-1364.2843213245819</v>
      </c>
      <c r="I1325">
        <f>-651.532551574893 -71.51265060379 -692.125336351287</f>
        <v>-1415.1705385299701</v>
      </c>
      <c r="J1325">
        <f>-684.00149094399 -48.5246867478963 -558.310736212862</f>
        <v>-1290.8369139047484</v>
      </c>
      <c r="K1325" t="s">
        <v>13589</v>
      </c>
      <c r="L1325" t="s">
        <v>13590</v>
      </c>
      <c r="M1325" t="s">
        <v>13591</v>
      </c>
      <c r="N1325">
        <f>-669.717136402789 -102.065318858584 -557.583583751086</f>
        <v>-1329.3660390124592</v>
      </c>
      <c r="O1325">
        <f>-636.478602927513 -232.010455741845 -527.427732126455</f>
        <v>-1395.9167907958131</v>
      </c>
      <c r="P1325">
        <f>-620.074772992372 -295.846036535629 -240.640175843454</f>
        <v>-1156.560985371455</v>
      </c>
      <c r="Q1325">
        <f>-469.643817280053 -110.799912162021 -274.98095627603</f>
        <v>-855.424685718104</v>
      </c>
      <c r="R1325" t="s">
        <v>13592</v>
      </c>
      <c r="S1325" t="s">
        <v>13593</v>
      </c>
      <c r="T1325" t="s">
        <v>13594</v>
      </c>
      <c r="U1325" t="s">
        <v>13595</v>
      </c>
      <c r="V1325">
        <f>-616.91075808289 -141.688865566261 -94.8955856283678</f>
        <v>-853.49520927751882</v>
      </c>
      <c r="W1325" t="s">
        <v>13596</v>
      </c>
      <c r="X1325" t="s">
        <v>13597</v>
      </c>
      <c r="Y1325" t="s">
        <v>13598</v>
      </c>
    </row>
    <row r="1326" spans="1:25" x14ac:dyDescent="0.3">
      <c r="A1326">
        <v>66250</v>
      </c>
      <c r="B1326" t="s">
        <v>13599</v>
      </c>
      <c r="C1326">
        <f>-651.538863997639 -52.2687761392015 -97.7576394355092</f>
        <v>-801.56527957234971</v>
      </c>
      <c r="D1326">
        <f>-667.919175230194 -63.6142002669249 -211.859270591032</f>
        <v>-943.39264608815085</v>
      </c>
      <c r="E1326">
        <f>-674.437439958413 -69.0234014218249 -310.118711252091</f>
        <v>-1053.5795526323291</v>
      </c>
      <c r="F1326">
        <f>-677.8247650539 -72.4714064416635 -399.084352644457</f>
        <v>-1149.3805241400205</v>
      </c>
      <c r="G1326">
        <f>-678.338047579423 -74.4281244268821 -488.158113245195</f>
        <v>-1240.9242852515001</v>
      </c>
      <c r="H1326">
        <f>-676.012207820232 -75.6540165382519 -612.712913353974</f>
        <v>-1364.379137712458</v>
      </c>
      <c r="I1326">
        <f>-651.86970089368 -71.698013787767 -692.126624480677</f>
        <v>-1415.6943391621239</v>
      </c>
      <c r="J1326">
        <f>-684.07357433706 -48.317151878095 -558.297766817314</f>
        <v>-1290.6884930324691</v>
      </c>
      <c r="K1326" t="s">
        <v>13600</v>
      </c>
      <c r="L1326" t="s">
        <v>13601</v>
      </c>
      <c r="M1326" t="s">
        <v>13602</v>
      </c>
      <c r="N1326">
        <f>-669.997553800162 -101.912041072058 -557.507395135693</f>
        <v>-1329.4169900079128</v>
      </c>
      <c r="O1326">
        <f>-637.265434387966 -231.946754890944 -527.212656928584</f>
        <v>-1396.4248462074941</v>
      </c>
      <c r="P1326">
        <f>-621.362450463824 -295.029583488191 -240.230364150803</f>
        <v>-1156.6223981028181</v>
      </c>
      <c r="Q1326">
        <f>-470.083987920787 -110.774555643071 -275.098394645007</f>
        <v>-855.95693820886504</v>
      </c>
      <c r="R1326" t="s">
        <v>13603</v>
      </c>
      <c r="S1326" t="s">
        <v>13604</v>
      </c>
      <c r="T1326" t="s">
        <v>13605</v>
      </c>
      <c r="U1326" t="s">
        <v>13606</v>
      </c>
      <c r="V1326">
        <f>-616.961551763904 -141.240554139703 -94.8728046693193</f>
        <v>-853.07491057292634</v>
      </c>
      <c r="W1326" t="s">
        <v>13607</v>
      </c>
      <c r="X1326" t="s">
        <v>13608</v>
      </c>
      <c r="Y1326" t="s">
        <v>13609</v>
      </c>
    </row>
    <row r="1327" spans="1:25" x14ac:dyDescent="0.3">
      <c r="A1327">
        <v>66300</v>
      </c>
      <c r="B1327" t="s">
        <v>13610</v>
      </c>
      <c r="C1327">
        <f>-651.172936261659 -51.2660352866747 -97.7281940620006</f>
        <v>-800.16716561033422</v>
      </c>
      <c r="D1327">
        <f>-667.642218194166 -62.5890951152705 -211.819320547226</f>
        <v>-942.05063385666256</v>
      </c>
      <c r="E1327">
        <f>-674.291014423224 -68.1483020521966 -310.06149673609</f>
        <v>-1052.5008132115108</v>
      </c>
      <c r="F1327">
        <f>-677.820894401738 -71.7971243531708 -399.013589079654</f>
        <v>-1148.6316078345628</v>
      </c>
      <c r="G1327">
        <f>-678.501422640086 -74.0230476634856 -488.080065413163</f>
        <v>-1240.6045357167347</v>
      </c>
      <c r="H1327">
        <f>-676.43585282393 -75.6973793260581 -612.634250450094</f>
        <v>-1364.7674826000821</v>
      </c>
      <c r="I1327">
        <f>-652.511890593178 -72.3235204497137 -692.140719593806</f>
        <v>-1416.9761306366977</v>
      </c>
      <c r="J1327">
        <f>-684.186404615301 -48.113635957041 -558.298425976869</f>
        <v>-1290.598466549211</v>
      </c>
      <c r="K1327" t="s">
        <v>13611</v>
      </c>
      <c r="L1327" t="s">
        <v>13612</v>
      </c>
      <c r="M1327" t="s">
        <v>13613</v>
      </c>
      <c r="N1327">
        <f>-670.503197198655 -101.807498691953 -557.349693399314</f>
        <v>-1329.660389289922</v>
      </c>
      <c r="O1327">
        <f>-638.689400980877 -231.98853933583 -526.698813362235</f>
        <v>-1397.3767536789419</v>
      </c>
      <c r="P1327">
        <f>-623.470709768527 -293.740036997511 -239.3899675073</f>
        <v>-1156.6007142733381</v>
      </c>
      <c r="Q1327">
        <f>-470.793050330796 -110.843343996742 -275.295774853981</f>
        <v>-856.93216918151904</v>
      </c>
      <c r="R1327" t="s">
        <v>13614</v>
      </c>
      <c r="S1327" t="s">
        <v>13615</v>
      </c>
      <c r="T1327" t="s">
        <v>13616</v>
      </c>
      <c r="U1327" t="s">
        <v>13617</v>
      </c>
      <c r="V1327">
        <f>-616.963610571605 -140.31553444503 -94.8147360270565</f>
        <v>-852.09388104369157</v>
      </c>
      <c r="W1327" t="s">
        <v>13618</v>
      </c>
      <c r="X1327" t="s">
        <v>13619</v>
      </c>
      <c r="Y1327" t="s">
        <v>13620</v>
      </c>
    </row>
    <row r="1328" spans="1:25" x14ac:dyDescent="0.3">
      <c r="A1328">
        <v>66350</v>
      </c>
      <c r="B1328" t="s">
        <v>13621</v>
      </c>
      <c r="C1328">
        <f>-651.013529790722 -50.8401129642946 -97.728950268786</f>
        <v>-799.58259302380259</v>
      </c>
      <c r="D1328">
        <f>-667.530946433858 -62.1706379974294 -211.812286779549</f>
        <v>-941.51387121083644</v>
      </c>
      <c r="E1328">
        <f>-674.23972902382 -67.8108442877519 -310.045991001555</f>
        <v>-1052.0965643131269</v>
      </c>
      <c r="F1328">
        <f>-677.832802180752 -71.5621110194149 -398.99117506331</f>
        <v>-1148.3860882634769</v>
      </c>
      <c r="G1328">
        <f>-678.585426721235 -73.920470106149 -488.05360965995</f>
        <v>-1240.5595064873339</v>
      </c>
      <c r="H1328">
        <f>-676.630457437431 -75.8119343101391 -612.606448949758</f>
        <v>-1365.0488406973282</v>
      </c>
      <c r="I1328">
        <f>-652.822601873878 -72.6969542800807 -692.158378024388</f>
        <v>-1417.6779341783467</v>
      </c>
      <c r="J1328">
        <f>-684.253567622426 -48.1133757534394 -558.310991588406</f>
        <v>-1290.6779349642713</v>
      </c>
      <c r="K1328" t="s">
        <v>13622</v>
      </c>
      <c r="L1328" t="s">
        <v>13623</v>
      </c>
      <c r="M1328" t="s">
        <v>13624</v>
      </c>
      <c r="N1328">
        <f>-670.72795757262 -101.845764467725 -557.282747330877</f>
        <v>-1329.8564693712219</v>
      </c>
      <c r="O1328">
        <f>-639.281969555568 -232.070930404721 -526.445540352251</f>
        <v>-1397.7984403125402</v>
      </c>
      <c r="P1328">
        <f>-624.267099690542 -293.23554234577 -239.00045896894</f>
        <v>-1156.5031010052519</v>
      </c>
      <c r="Q1328">
        <f>-470.927344904719 -110.995723894376 -275.421028526928</f>
        <v>-857.34409732602307</v>
      </c>
      <c r="R1328" t="s">
        <v>13625</v>
      </c>
      <c r="S1328" t="s">
        <v>13626</v>
      </c>
      <c r="T1328" t="s">
        <v>13627</v>
      </c>
      <c r="U1328" t="s">
        <v>13628</v>
      </c>
      <c r="V1328">
        <f>-616.982835736581 -139.869077513528 -94.7931350590743</f>
        <v>-851.64504830918327</v>
      </c>
      <c r="W1328" t="s">
        <v>13629</v>
      </c>
      <c r="X1328" t="s">
        <v>13630</v>
      </c>
      <c r="Y1328" t="s">
        <v>13631</v>
      </c>
    </row>
    <row r="1329" spans="1:25" x14ac:dyDescent="0.3">
      <c r="A1329">
        <v>66400</v>
      </c>
      <c r="B1329" t="s">
        <v>13632</v>
      </c>
      <c r="C1329">
        <f>-650.776984508819 -50.2879574864139 -97.7443416607873</f>
        <v>-798.80928365602028</v>
      </c>
      <c r="D1329">
        <f>-667.354765541048 -61.6310396551762 -211.817687110879</f>
        <v>-940.80349230710317</v>
      </c>
      <c r="E1329">
        <f>-674.178568596325 -67.4280878004988 -310.034135427628</f>
        <v>-1051.6407918244518</v>
      </c>
      <c r="F1329">
        <f>-677.902771332283 -71.3777527752175 -398.965495636137</f>
        <v>-1148.2460197436376</v>
      </c>
      <c r="G1329">
        <f>-678.81518679665 -73.9927723126589 -488.019257803878</f>
        <v>-1240.8272169131869</v>
      </c>
      <c r="H1329">
        <f>-677.113814965813 -76.3040598443788 -612.568748325578</f>
        <v>-1365.9866231357698</v>
      </c>
      <c r="I1329">
        <f>-653.504416189671 -73.6223950825281 -692.195533602293</f>
        <v>-1419.322344874492</v>
      </c>
      <c r="J1329">
        <f>-684.501928827925 -48.3915673500408 -558.350381301712</f>
        <v>-1291.2438774796778</v>
      </c>
      <c r="K1329" t="s">
        <v>13633</v>
      </c>
      <c r="L1329" t="s">
        <v>13634</v>
      </c>
      <c r="M1329" t="s">
        <v>13635</v>
      </c>
      <c r="N1329">
        <f>-671.22321059545 -102.182312321199 -557.170844007184</f>
        <v>-1330.5763669238331</v>
      </c>
      <c r="O1329">
        <f>-640.299353997782 -232.449433979248 -525.991932151967</f>
        <v>-1398.7407201289971</v>
      </c>
      <c r="P1329">
        <f>-625.438688674749 -292.692165821189 -238.344285883281</f>
        <v>-1156.4751403792188</v>
      </c>
      <c r="Q1329">
        <f>-471.164854402141 -111.351507739744 -275.303610974795</f>
        <v>-857.81997311667999</v>
      </c>
      <c r="R1329" t="s">
        <v>13636</v>
      </c>
      <c r="S1329" t="s">
        <v>13637</v>
      </c>
      <c r="T1329" t="s">
        <v>13638</v>
      </c>
      <c r="U1329" t="s">
        <v>13639</v>
      </c>
      <c r="V1329">
        <f>-616.97176587872 -139.484305526892 -94.7574636094645</f>
        <v>-851.21353501507645</v>
      </c>
      <c r="W1329" t="s">
        <v>13640</v>
      </c>
      <c r="X1329" t="s">
        <v>13641</v>
      </c>
      <c r="Y1329" t="s">
        <v>13642</v>
      </c>
    </row>
    <row r="1330" spans="1:25" x14ac:dyDescent="0.3">
      <c r="A1330">
        <v>66450</v>
      </c>
      <c r="B1330" t="s">
        <v>13643</v>
      </c>
      <c r="C1330">
        <f>-650.688612539846 -50.0795862308937 -97.7526385798002</f>
        <v>-798.52083735053986</v>
      </c>
      <c r="D1330">
        <f>-667.279654902891 -61.4458843594289 -211.821655002014</f>
        <v>-940.54719426433394</v>
      </c>
      <c r="E1330">
        <f>-674.151622414673 -67.3270926664823 -310.029967276252</f>
        <v>-1051.5086823574075</v>
      </c>
      <c r="F1330">
        <f>-677.935674513316 -71.3778103299189 -398.95408129502</f>
        <v>-1148.267566138255</v>
      </c>
      <c r="G1330">
        <f>-678.92396151355 -74.1191014046844 -488.003209386749</f>
        <v>-1241.0462723049834</v>
      </c>
      <c r="H1330">
        <f>-677.346445748825 -76.6332757491296 -612.550383481669</f>
        <v>-1366.5301049796235</v>
      </c>
      <c r="I1330">
        <f>-653.834853730026 -74.1422101784301 -692.212472512363</f>
        <v>-1420.189536420819</v>
      </c>
      <c r="J1330">
        <f>-684.642413253332 -48.62309720653 -558.369999019126</f>
        <v>-1291.6355094789881</v>
      </c>
      <c r="K1330" t="s">
        <v>13644</v>
      </c>
      <c r="L1330" t="s">
        <v>13645</v>
      </c>
      <c r="M1330" t="s">
        <v>13646</v>
      </c>
      <c r="N1330">
        <f>-671.438877980539 -102.430738694912 -557.116679273274</f>
        <v>-1330.986295948725</v>
      </c>
      <c r="O1330">
        <f>-640.698088070945 -232.691400104183 -525.758519801929</f>
        <v>-1399.148007977057</v>
      </c>
      <c r="P1330">
        <f>-625.897252916193 -292.529126531956 -238.023246509531</f>
        <v>-1156.4496259576799</v>
      </c>
      <c r="Q1330">
        <f>-471.288766074641 -111.519725192706 -275.207082018905</f>
        <v>-858.01557328625199</v>
      </c>
      <c r="R1330" t="s">
        <v>13647</v>
      </c>
      <c r="S1330" t="s">
        <v>13648</v>
      </c>
      <c r="T1330" t="s">
        <v>13649</v>
      </c>
      <c r="U1330" t="s">
        <v>13650</v>
      </c>
      <c r="V1330">
        <f>-616.943636695235 -139.32555697964 -94.7421620239902</f>
        <v>-851.01135569886515</v>
      </c>
      <c r="W1330" t="s">
        <v>13651</v>
      </c>
      <c r="X1330" t="s">
        <v>13652</v>
      </c>
      <c r="Y1330" t="s">
        <v>13653</v>
      </c>
    </row>
    <row r="1331" spans="1:25" x14ac:dyDescent="0.3">
      <c r="A1331">
        <v>66500</v>
      </c>
      <c r="B1331" t="s">
        <v>13654</v>
      </c>
      <c r="C1331">
        <f>-650.466896227601 -50.0000889071989 -97.773628359784</f>
        <v>-798.24061349458384</v>
      </c>
      <c r="D1331">
        <f>-667.03819593598 -61.4281744439218 -211.839443739729</f>
        <v>-940.30581411963067</v>
      </c>
      <c r="E1331">
        <f>-673.938762818132 -67.4767638872438 -310.035461849795</f>
        <v>-1051.4509885551709</v>
      </c>
      <c r="F1331">
        <f>-677.768233717395 -71.7247499156795 -398.948530182931</f>
        <v>-1148.4415138160055</v>
      </c>
      <c r="G1331">
        <f>-678.822468472957 -74.7100390658179 -487.989030821666</f>
        <v>-1241.5215383604409</v>
      </c>
      <c r="H1331">
        <f>-677.358867598585 -77.6139069438514 -612.529186770235</f>
        <v>-1367.5019613126715</v>
      </c>
      <c r="I1331">
        <f>-654.062534811049 -75.4645756906968 -692.264237323445</f>
        <v>-1421.7913478251908</v>
      </c>
      <c r="J1331">
        <f>-684.558972924271 -49.4229302373262 -558.429752166249</f>
        <v>-1292.4116553278463</v>
      </c>
      <c r="K1331" t="s">
        <v>13655</v>
      </c>
      <c r="L1331" t="s">
        <v>13656</v>
      </c>
      <c r="M1331" t="s">
        <v>13657</v>
      </c>
      <c r="N1331">
        <f>-671.446911086089 -103.249184637854 -557.020544005484</f>
        <v>-1331.716639729427</v>
      </c>
      <c r="O1331">
        <f>-640.889282951837 -233.463426065104 -525.274324050783</f>
        <v>-1399.6270330677239</v>
      </c>
      <c r="P1331">
        <f>-626.398794641698 -292.313160892763 -237.31957041742</f>
        <v>-1156.0315259518811</v>
      </c>
      <c r="Q1331">
        <f>-471.33237727978 -111.833430077941 -275.166254986624</f>
        <v>-858.3320623443451</v>
      </c>
      <c r="R1331" t="s">
        <v>13658</v>
      </c>
      <c r="S1331" t="s">
        <v>13659</v>
      </c>
      <c r="T1331" t="s">
        <v>13660</v>
      </c>
      <c r="U1331" t="s">
        <v>13661</v>
      </c>
      <c r="V1331">
        <f>-616.796977397947 -139.214168880671 -94.7130460921815</f>
        <v>-850.72419237079941</v>
      </c>
      <c r="W1331" t="s">
        <v>13662</v>
      </c>
      <c r="X1331" t="s">
        <v>13663</v>
      </c>
      <c r="Y1331" t="s">
        <v>13664</v>
      </c>
    </row>
    <row r="1332" spans="1:25" x14ac:dyDescent="0.3">
      <c r="A1332">
        <v>66550</v>
      </c>
      <c r="B1332" t="s">
        <v>13665</v>
      </c>
      <c r="C1332">
        <f>-650.385457369608 -49.9399718076968 -97.7934586336479</f>
        <v>-798.11888781095274</v>
      </c>
      <c r="D1332">
        <f>-666.927927612553 -61.3894180937559 -211.861226097478</f>
        <v>-940.17857180378701</v>
      </c>
      <c r="E1332">
        <f>-673.801281067001 -67.506952171994 -310.054923666445</f>
        <v>-1051.3631569054401</v>
      </c>
      <c r="F1332">
        <f>-677.605673282116 -71.8378868437958 -398.965010634183</f>
        <v>-1148.4085707600948</v>
      </c>
      <c r="G1332">
        <f>-678.634512490257 -74.9272625409037 -488.002391500115</f>
        <v>-1241.5641665312755</v>
      </c>
      <c r="H1332">
        <f>-677.135661790245 -77.9994991841897 -612.538080556842</f>
        <v>-1367.6732415312767</v>
      </c>
      <c r="I1332">
        <f>-653.910728099122 -75.978797882306 -692.297308310427</f>
        <v>-1422.1868342918551</v>
      </c>
      <c r="J1332">
        <f>-684.342842964591 -49.7334536446624 -558.478840547247</f>
        <v>-1292.5551371565005</v>
      </c>
      <c r="K1332" t="s">
        <v>13666</v>
      </c>
      <c r="L1332" t="s">
        <v>13667</v>
      </c>
      <c r="M1332" t="s">
        <v>13668</v>
      </c>
      <c r="N1332">
        <f>-671.247526862153 -103.561661174909 -556.993247250203</f>
        <v>-1331.8024352872649</v>
      </c>
      <c r="O1332">
        <f>-640.70973760369 -233.734732066906 -525.052704553406</f>
        <v>-1399.4971742240018</v>
      </c>
      <c r="P1332">
        <f>-626.429115595794 -292.020970251382 -236.972784759381</f>
        <v>-1155.4228706065569</v>
      </c>
      <c r="Q1332">
        <f>-471.15649865322 -111.756039889488 -274.996882844407</f>
        <v>-857.90942138711512</v>
      </c>
      <c r="R1332" t="s">
        <v>13669</v>
      </c>
      <c r="S1332" t="s">
        <v>13670</v>
      </c>
      <c r="T1332" t="s">
        <v>13671</v>
      </c>
      <c r="U1332" t="s">
        <v>13672</v>
      </c>
      <c r="V1332">
        <f>-616.698287110721 -139.152914322773 -94.7003958475527</f>
        <v>-850.55159728104672</v>
      </c>
      <c r="W1332" t="s">
        <v>13673</v>
      </c>
      <c r="X1332" t="s">
        <v>13674</v>
      </c>
      <c r="Y1332" t="s">
        <v>13675</v>
      </c>
    </row>
    <row r="1333" spans="1:25" x14ac:dyDescent="0.3">
      <c r="A1333">
        <v>66600</v>
      </c>
      <c r="B1333" t="s">
        <v>13676</v>
      </c>
      <c r="C1333">
        <f>-650.194541068126 -49.8871237311796 -97.8291549838376</f>
        <v>-797.91081978314321</v>
      </c>
      <c r="D1333">
        <f>-666.663442416708 -61.3701862998992 -211.904292812923</f>
        <v>-939.93792152953017</v>
      </c>
      <c r="E1333">
        <f>-673.462029364642 -67.6367475495983 -310.093788116776</f>
        <v>-1051.1925650310163</v>
      </c>
      <c r="F1333">
        <f>-677.196092861743 -72.1514323825063 -398.997692637998</f>
        <v>-1148.3452178822472</v>
      </c>
      <c r="G1333">
        <f>-678.152449567265 -75.4740676658896 -488.027268957036</f>
        <v>-1241.6537861901907</v>
      </c>
      <c r="H1333">
        <f>-676.551371771692 -78.9243405084621 -612.551925413154</f>
        <v>-1368.027637693308</v>
      </c>
      <c r="I1333">
        <f>-653.467204824899 -77.1438694679944 -692.357672840432</f>
        <v>-1422.9687471333255</v>
      </c>
      <c r="J1333">
        <f>-683.795936032361 -50.4926450190942 -558.584615272663</f>
        <v>-1292.8731963241182</v>
      </c>
      <c r="K1333" t="s">
        <v>13677</v>
      </c>
      <c r="L1333" t="s">
        <v>13678</v>
      </c>
      <c r="M1333" t="s">
        <v>13679</v>
      </c>
      <c r="N1333">
        <f>-670.715813177388 -104.319377069811 -556.925029859891</f>
        <v>-1331.96022010709</v>
      </c>
      <c r="O1333">
        <f>-640.136041860959 -234.382257929419 -524.583735741389</f>
        <v>-1399.1020355317669</v>
      </c>
      <c r="P1333">
        <f>-626.080069172226 -291.822992138803 -236.323071805104</f>
        <v>-1154.226133116133</v>
      </c>
      <c r="Q1333">
        <f>-470.674231472224 -111.637303120999 -274.17834815049</f>
        <v>-856.489882743713</v>
      </c>
      <c r="R1333" t="s">
        <v>13680</v>
      </c>
      <c r="S1333" t="s">
        <v>13681</v>
      </c>
      <c r="T1333" t="s">
        <v>13682</v>
      </c>
      <c r="U1333" t="s">
        <v>13683</v>
      </c>
      <c r="V1333">
        <f>-616.457689173769 -139.018169701769 -94.7055556575511</f>
        <v>-850.1814145330892</v>
      </c>
      <c r="W1333" t="s">
        <v>13684</v>
      </c>
      <c r="X1333" t="s">
        <v>13685</v>
      </c>
      <c r="Y1333" t="s">
        <v>13686</v>
      </c>
    </row>
    <row r="1334" spans="1:25" x14ac:dyDescent="0.3">
      <c r="A1334">
        <v>66650</v>
      </c>
      <c r="B1334" t="s">
        <v>13687</v>
      </c>
      <c r="C1334">
        <f>-650.151191704448 -49.9688261132255 -97.8344787877069</f>
        <v>-797.95449660538043</v>
      </c>
      <c r="D1334">
        <f>-666.573812994284 -61.4847366801973 -211.912936578433</f>
        <v>-939.97148625291436</v>
      </c>
      <c r="E1334">
        <f>-673.32500612983 -67.8256032475276 -310.100807808929</f>
        <v>-1051.2514171862865</v>
      </c>
      <c r="F1334">
        <f>-677.013174383191 -72.4271867058226 -399.002361919182</f>
        <v>-1148.4427230081956</v>
      </c>
      <c r="G1334">
        <f>-677.921628846078 -75.8560367927032 -488.028453319284</f>
        <v>-1241.8061189580651</v>
      </c>
      <c r="H1334">
        <f>-676.251053284806 -79.4763615683335 -612.547232697325</f>
        <v>-1368.2746475504644</v>
      </c>
      <c r="I1334">
        <f>-653.216056230516 -77.7797686781566 -692.369129884817</f>
        <v>-1423.3649547934897</v>
      </c>
      <c r="J1334">
        <f>-683.522988139899 -50.9703336200553 -558.622811098422</f>
        <v>-1293.1161328583762</v>
      </c>
      <c r="K1334" t="s">
        <v>13688</v>
      </c>
      <c r="L1334" t="s">
        <v>13689</v>
      </c>
      <c r="M1334" t="s">
        <v>13690</v>
      </c>
      <c r="N1334">
        <f>-670.449615147764 -104.796223108962 -556.882615194914</f>
        <v>-1332.1284534516399</v>
      </c>
      <c r="O1334">
        <f>-639.860643964164 -234.810046624047 -524.346861561667</f>
        <v>-1399.0175521498779</v>
      </c>
      <c r="P1334">
        <f>-625.735366125584 -291.764089434544 -235.992981110272</f>
        <v>-1153.4924366704001</v>
      </c>
      <c r="Q1334">
        <f>-470.34667622756 -111.645138296281 -274.234198592001</f>
        <v>-856.22601311584197</v>
      </c>
      <c r="R1334" t="s">
        <v>13691</v>
      </c>
      <c r="S1334" t="s">
        <v>13692</v>
      </c>
      <c r="T1334" t="s">
        <v>13693</v>
      </c>
      <c r="U1334" t="s">
        <v>13694</v>
      </c>
      <c r="V1334">
        <f>-616.409377330715 -139.142359820296 -94.6938266397926</f>
        <v>-850.24556379080354</v>
      </c>
      <c r="W1334" t="s">
        <v>13695</v>
      </c>
      <c r="X1334" t="s">
        <v>13696</v>
      </c>
      <c r="Y1334" t="s">
        <v>13697</v>
      </c>
    </row>
    <row r="1335" spans="1:25" x14ac:dyDescent="0.3">
      <c r="A1335">
        <v>66700</v>
      </c>
      <c r="B1335" t="s">
        <v>13698</v>
      </c>
      <c r="C1335">
        <f>-649.97437940756 -50.1687868132806 -97.8630830548622</f>
        <v>-798.00624927570277</v>
      </c>
      <c r="D1335">
        <f>-666.331001777828 -61.7383266318673 -211.945653422663</f>
        <v>-940.01498183235822</v>
      </c>
      <c r="E1335">
        <f>-672.967951123336 -68.2119069908417 -310.13268842288</f>
        <v>-1051.3125465370576</v>
      </c>
      <c r="F1335">
        <f>-676.530569610784 -72.9698563395953 -399.031024700899</f>
        <v>-1148.5314506512782</v>
      </c>
      <c r="G1335">
        <f>-677.291807220877 -76.5930003504795 -488.050797115701</f>
        <v>-1241.9356046870575</v>
      </c>
      <c r="H1335">
        <f>-675.39335597354 -80.5246530358584 -612.556865449961</f>
        <v>-1368.4748744593594</v>
      </c>
      <c r="I1335">
        <f>-652.362819676504 -78.9772223240475 -692.383151527266</f>
        <v>-1423.7231935278176</v>
      </c>
      <c r="J1335">
        <f>-682.7623894494 -51.8836002022138 -558.717385326519</f>
        <v>-1293.3633749781327</v>
      </c>
      <c r="K1335" t="s">
        <v>13699</v>
      </c>
      <c r="L1335" t="s">
        <v>13700</v>
      </c>
      <c r="M1335" t="s">
        <v>13701</v>
      </c>
      <c r="N1335">
        <f>-669.695130515729 -105.705551843263 -556.818602951054</f>
        <v>-1332.219285310046</v>
      </c>
      <c r="O1335">
        <f>-639.056871521447 -235.598485267477 -523.868197012498</f>
        <v>-1398.5235538014219</v>
      </c>
      <c r="P1335">
        <f>-624.904805403627 -291.503479980091 -235.310428523144</f>
        <v>-1151.7187139068621</v>
      </c>
      <c r="Q1335">
        <f>-469.527152267543 -111.540854976924 -274.324149714545</f>
        <v>-855.39215695901203</v>
      </c>
      <c r="R1335" t="s">
        <v>13702</v>
      </c>
      <c r="S1335" t="s">
        <v>13703</v>
      </c>
      <c r="T1335" t="s">
        <v>13704</v>
      </c>
      <c r="U1335" t="s">
        <v>13705</v>
      </c>
      <c r="V1335">
        <f>-616.196128672804 -139.30116308883 -94.677730171853</f>
        <v>-850.17502193348696</v>
      </c>
      <c r="W1335" t="s">
        <v>13706</v>
      </c>
      <c r="X1335" t="s">
        <v>13707</v>
      </c>
      <c r="Y1335" t="s">
        <v>13708</v>
      </c>
    </row>
    <row r="1336" spans="1:25" x14ac:dyDescent="0.3">
      <c r="A1336">
        <v>66750</v>
      </c>
      <c r="B1336" t="s">
        <v>13709</v>
      </c>
      <c r="C1336">
        <f>-649.937067640128 -50.3278515550392 -97.8959973258626</f>
        <v>-798.16091652102978</v>
      </c>
      <c r="D1336">
        <f>-666.268114315736 -61.9395842248261 -211.977881536033</f>
        <v>-940.18558007659522</v>
      </c>
      <c r="E1336">
        <f>-672.841220647947 -68.4933142892214 -310.163968926674</f>
        <v>-1051.4985038638424</v>
      </c>
      <c r="F1336">
        <f>-676.329693629845 -73.3427295421018 -399.060341705929</f>
        <v>-1148.7327648778758</v>
      </c>
      <c r="G1336">
        <f>-677.00057012563 -77.0772033826825 -488.076277414746</f>
        <v>-1242.1540509230585</v>
      </c>
      <c r="H1336">
        <f>-674.959353337042 -81.1858413426569 -612.574338867625</f>
        <v>-1368.7195335473239</v>
      </c>
      <c r="I1336">
        <f>-651.904168784384 -79.7469048700866 -692.395416559861</f>
        <v>-1424.0464902143317</v>
      </c>
      <c r="J1336">
        <f>-682.383064803668 -52.466539811162 -558.784097390046</f>
        <v>-1293.6337020048759</v>
      </c>
      <c r="K1336" t="s">
        <v>13710</v>
      </c>
      <c r="L1336" t="s">
        <v>13711</v>
      </c>
      <c r="M1336" t="s">
        <v>13712</v>
      </c>
      <c r="N1336">
        <f>-669.332176293171 -106.289197924597 -556.793700781442</f>
        <v>-1332.41507499921</v>
      </c>
      <c r="O1336">
        <f>-638.696031656293 -236.137108788821 -523.640644070074</f>
        <v>-1398.4737845151881</v>
      </c>
      <c r="P1336">
        <f>-624.628475401253 -291.522590447423 -234.978610035291</f>
        <v>-1151.1296758839671</v>
      </c>
      <c r="Q1336">
        <f>-469.215879275458 -111.661357126397 -274.319866525418</f>
        <v>-855.19710292727302</v>
      </c>
      <c r="R1336" t="s">
        <v>13713</v>
      </c>
      <c r="S1336" t="s">
        <v>13714</v>
      </c>
      <c r="T1336" t="s">
        <v>13715</v>
      </c>
      <c r="U1336" t="s">
        <v>13716</v>
      </c>
      <c r="V1336">
        <f>-616.131358542509 -139.502816931272 -94.67342113989</f>
        <v>-850.30759661367108</v>
      </c>
      <c r="W1336" t="s">
        <v>13717</v>
      </c>
      <c r="X1336" t="s">
        <v>13718</v>
      </c>
      <c r="Y1336" t="s">
        <v>13719</v>
      </c>
    </row>
    <row r="1337" spans="1:25" x14ac:dyDescent="0.3">
      <c r="A1337">
        <v>66800</v>
      </c>
      <c r="B1337" t="s">
        <v>13720</v>
      </c>
      <c r="C1337">
        <f>-649.800403267377 -50.4874730314602 -97.956194958108</f>
        <v>-798.2440712569462</v>
      </c>
      <c r="D1337">
        <f>-666.106303495372 -62.1658302030232 -212.034826682647</f>
        <v>-940.30696038104224</v>
      </c>
      <c r="E1337">
        <f>-672.574205651828 -68.8757136048503 -310.217357048053</f>
        <v>-1051.6672763047313</v>
      </c>
      <c r="F1337">
        <f>-675.934699714925 -73.9090507199535 -399.108457999716</f>
        <v>-1148.9522084345945</v>
      </c>
      <c r="G1337">
        <f>-676.44532216203 -77.8710900235676 -488.115518782635</f>
        <v>-1242.4319309682326</v>
      </c>
      <c r="H1337">
        <f>-674.14692134407 -82.3460401259169 -612.596519033227</f>
        <v>-1369.089480503214</v>
      </c>
      <c r="I1337">
        <f>-650.96620788898 -81.1095214031386 -692.38466354551</f>
        <v>-1424.4603928376287</v>
      </c>
      <c r="J1337">
        <f>-681.649219498906 -53.4606015379106 -558.905943147008</f>
        <v>-1294.0157641838246</v>
      </c>
      <c r="K1337" t="s">
        <v>13721</v>
      </c>
      <c r="L1337" t="s">
        <v>13722</v>
      </c>
      <c r="M1337" t="s">
        <v>13723</v>
      </c>
      <c r="N1337">
        <f>-668.667469339948 -107.292889982417 -556.731212191992</f>
        <v>-1332.6915715143568</v>
      </c>
      <c r="O1337">
        <f>-638.162607395115 -237.078646682399 -523.191558800224</f>
        <v>-1398.4328128777379</v>
      </c>
      <c r="P1337">
        <f>-624.263790162868 -291.695667373772 -234.375000245752</f>
        <v>-1150.3344577823921</v>
      </c>
      <c r="Q1337">
        <f>-468.981183187013 -111.849981496684 -274.296827158922</f>
        <v>-855.12799184261894</v>
      </c>
      <c r="R1337" t="s">
        <v>13724</v>
      </c>
      <c r="S1337" t="s">
        <v>13725</v>
      </c>
      <c r="T1337" t="s">
        <v>13726</v>
      </c>
      <c r="U1337" t="s">
        <v>13727</v>
      </c>
      <c r="V1337">
        <f>-615.895862353065 -139.658043454298 -94.6865354009898</f>
        <v>-850.24044120835276</v>
      </c>
      <c r="W1337" t="s">
        <v>13728</v>
      </c>
      <c r="X1337" t="s">
        <v>13729</v>
      </c>
      <c r="Y1337" t="s">
        <v>13730</v>
      </c>
    </row>
    <row r="1338" spans="1:25" x14ac:dyDescent="0.3">
      <c r="A1338">
        <v>66850</v>
      </c>
      <c r="B1338" t="s">
        <v>13731</v>
      </c>
      <c r="C1338">
        <f>-649.758429469018 -50.4831212943807 -97.9965603801652</f>
        <v>-798.23811114356386</v>
      </c>
      <c r="D1338">
        <f>-666.053086711204 -62.1889654919912 -212.074119766013</f>
        <v>-940.3161719692082</v>
      </c>
      <c r="E1338">
        <f>-672.48205063087 -68.9634561127543 -310.254600807797</f>
        <v>-1051.7001075514213</v>
      </c>
      <c r="F1338">
        <f>-675.796566062054 -74.0720350552192 -399.143150105807</f>
        <v>-1149.0117512230802</v>
      </c>
      <c r="G1338">
        <f>-676.249899021365 -78.1277221657144 -488.146383322258</f>
        <v>-1242.5240045093374</v>
      </c>
      <c r="H1338">
        <f>-673.860289527376 -82.7527733708228 -612.620064186106</f>
        <v>-1369.2331270843047</v>
      </c>
      <c r="I1338">
        <f>-650.607493833062 -81.5817309792872 -692.388358211806</f>
        <v>-1424.577583024155</v>
      </c>
      <c r="J1338">
        <f>-681.376359106608 -53.7965067740004 -558.969834131019</f>
        <v>-1294.1427000116273</v>
      </c>
      <c r="K1338" t="s">
        <v>13732</v>
      </c>
      <c r="L1338" t="s">
        <v>13733</v>
      </c>
      <c r="M1338" t="s">
        <v>13734</v>
      </c>
      <c r="N1338">
        <f>-668.447442107664 -107.638475977218 -556.720933841935</f>
        <v>-1332.806851926817</v>
      </c>
      <c r="O1338">
        <f>-638.076183440757 -237.408559574216 -523.008384636056</f>
        <v>-1398.493127651029</v>
      </c>
      <c r="P1338">
        <f>-624.281980405305 -291.924555424154 -234.16766678358</f>
        <v>-1150.374202613039</v>
      </c>
      <c r="Q1338">
        <f>-469.144595082941 -112.03815051658 -274.467962542143</f>
        <v>-855.65070814166404</v>
      </c>
      <c r="R1338" t="s">
        <v>13735</v>
      </c>
      <c r="S1338" t="s">
        <v>13736</v>
      </c>
      <c r="T1338" t="s">
        <v>13737</v>
      </c>
      <c r="U1338" t="s">
        <v>13738</v>
      </c>
      <c r="V1338">
        <f>-615.862123810481 -139.631464280244 -94.6945333141368</f>
        <v>-850.18812140486182</v>
      </c>
      <c r="W1338" t="s">
        <v>13739</v>
      </c>
      <c r="X1338" t="s">
        <v>13740</v>
      </c>
      <c r="Y1338" t="s">
        <v>13741</v>
      </c>
    </row>
    <row r="1339" spans="1:25" x14ac:dyDescent="0.3">
      <c r="A1339">
        <v>66900</v>
      </c>
      <c r="B1339" t="s">
        <v>13742</v>
      </c>
      <c r="C1339">
        <f>-649.657714732502 -50.3460978917628 -98.0673864831015</f>
        <v>-798.07119910736628</v>
      </c>
      <c r="D1339">
        <f>-665.954164017988 -62.1041329804677 -212.139271724554</f>
        <v>-940.19756872300968</v>
      </c>
      <c r="E1339">
        <f>-672.392093382826 -68.9357751573655 -310.315356310361</f>
        <v>-1051.6432248505525</v>
      </c>
      <c r="F1339">
        <f>-675.717480991895 -74.1007195762813 -399.200194803318</f>
        <v>-1149.0183953714943</v>
      </c>
      <c r="G1339">
        <f>-676.184956048056 -78.2181131972009 -488.200572199646</f>
        <v>-1242.6036414449029</v>
      </c>
      <c r="H1339">
        <f>-673.81820470618 -82.9351673444842 -612.671330529308</f>
        <v>-1369.4247025799723</v>
      </c>
      <c r="I1339">
        <f>-650.521119408598 -81.7986633972248 -692.427133418758</f>
        <v>-1424.7469162245807</v>
      </c>
      <c r="J1339">
        <f>-681.286516638297 -53.9302404170605 -559.040573788487</f>
        <v>-1294.2573308438446</v>
      </c>
      <c r="K1339" t="s">
        <v>13743</v>
      </c>
      <c r="L1339" t="s">
        <v>13744</v>
      </c>
      <c r="M1339" t="s">
        <v>13745</v>
      </c>
      <c r="N1339">
        <f>-668.432964926214 -107.788655712111 -556.755160926471</f>
        <v>-1332.9767815647961</v>
      </c>
      <c r="O1339">
        <f>-638.331480354197 -237.577381205958 -522.865586229544</f>
        <v>-1398.774447789699</v>
      </c>
      <c r="P1339">
        <f>-625.038054212245 -291.775273551626 -233.94170472269</f>
        <v>-1150.755032486561</v>
      </c>
      <c r="Q1339">
        <f>-470.746273475234 -111.175773182856 -274.299260092396</f>
        <v>-856.22130675048606</v>
      </c>
      <c r="R1339" t="s">
        <v>13746</v>
      </c>
      <c r="S1339" t="s">
        <v>13747</v>
      </c>
      <c r="T1339" t="s">
        <v>13748</v>
      </c>
      <c r="U1339" t="s">
        <v>13749</v>
      </c>
      <c r="V1339">
        <f>-615.822935469832 -139.389816706496 -94.7297812878217</f>
        <v>-849.94253346414962</v>
      </c>
      <c r="W1339" t="s">
        <v>13750</v>
      </c>
      <c r="X1339" t="s">
        <v>13751</v>
      </c>
      <c r="Y1339" t="s">
        <v>13752</v>
      </c>
    </row>
    <row r="1340" spans="1:25" x14ac:dyDescent="0.3">
      <c r="A1340">
        <v>66950</v>
      </c>
      <c r="B1340" t="s">
        <v>13753</v>
      </c>
      <c r="C1340">
        <f>-649.616943247707 -50.3547782656922 -98.1040928594637</f>
        <v>-798.07581437286285</v>
      </c>
      <c r="D1340">
        <f>-665.940742787398 -62.1363981787861 -212.169620501836</f>
        <v>-940.24676146802005</v>
      </c>
      <c r="E1340">
        <f>-672.409144465429 -68.9801187728178 -310.342879274742</f>
        <v>-1051.732142512989</v>
      </c>
      <c r="F1340">
        <f>-675.76526667265 -74.1521137031891 -399.225982981456</f>
        <v>-1149.1433633572951</v>
      </c>
      <c r="G1340">
        <f>-676.266099153271 -78.272898701533 -488.226089444929</f>
        <v>-1242.7650872997328</v>
      </c>
      <c r="H1340">
        <f>-673.948811460594 -82.9907780190806 -612.697787233314</f>
        <v>-1369.6373767129885</v>
      </c>
      <c r="I1340">
        <f>-650.644859367796 -81.8465584865123 -692.451452615741</f>
        <v>-1424.9428704700495</v>
      </c>
      <c r="J1340">
        <f>-681.381797805298 -53.9822026465001 -559.064199763299</f>
        <v>-1294.4282002150971</v>
      </c>
      <c r="K1340" t="s">
        <v>13754</v>
      </c>
      <c r="L1340" t="s">
        <v>13755</v>
      </c>
      <c r="M1340" t="s">
        <v>13756</v>
      </c>
      <c r="N1340">
        <f>-668.555212467387 -107.847127308631 -556.783672598081</f>
        <v>-1333.1860123740989</v>
      </c>
      <c r="O1340">
        <f>-638.575545530553 -237.643978573034 -522.858608908576</f>
        <v>-1399.0781330121631</v>
      </c>
      <c r="P1340">
        <f>-625.648937010711 -291.575119983427 -233.868064370917</f>
        <v>-1151.0921213650549</v>
      </c>
      <c r="Q1340">
        <f>-471.452310768969 -110.870939176051 -274.120018852747</f>
        <v>-856.44326879776713</v>
      </c>
      <c r="R1340" t="s">
        <v>13757</v>
      </c>
      <c r="S1340" t="s">
        <v>13758</v>
      </c>
      <c r="T1340" t="s">
        <v>13759</v>
      </c>
      <c r="U1340" t="s">
        <v>13760</v>
      </c>
      <c r="V1340">
        <f>-615.788644611446 -139.502314535852 -94.7629326243235</f>
        <v>-850.05389177162158</v>
      </c>
      <c r="W1340" t="s">
        <v>13761</v>
      </c>
      <c r="X1340" t="s">
        <v>13762</v>
      </c>
      <c r="Y1340" t="s">
        <v>13763</v>
      </c>
    </row>
    <row r="1341" spans="1:25" x14ac:dyDescent="0.3">
      <c r="A1341">
        <v>67000</v>
      </c>
      <c r="B1341" t="s">
        <v>13764</v>
      </c>
      <c r="C1341">
        <f>-649.756133991241 -50.2122444915631 -98.2649653327856</f>
        <v>-798.23334381558959</v>
      </c>
      <c r="D1341">
        <f>-666.122976549536 -61.9879132713686 -212.324980066255</f>
        <v>-940.43586988715958</v>
      </c>
      <c r="E1341">
        <f>-672.618068360142 -68.8166565099709 -310.497427487729</f>
        <v>-1051.9321523578419</v>
      </c>
      <c r="F1341">
        <f>-675.994269189944 -73.9710566725228 -399.380870030488</f>
        <v>-1149.3461958929547</v>
      </c>
      <c r="G1341">
        <f>-676.510966635401 -78.0700236397713 -488.381932208307</f>
        <v>-1242.9629224834794</v>
      </c>
      <c r="H1341">
        <f>-674.211116546628 -82.7535482242208 -612.855203351166</f>
        <v>-1369.8198681220147</v>
      </c>
      <c r="I1341">
        <f>-650.903869872053 -81.5821280285675 -692.607448621795</f>
        <v>-1425.0934465224154</v>
      </c>
      <c r="J1341">
        <f>-681.603235412046 -53.751759288851 -559.212126278313</f>
        <v>-1294.5671209792099</v>
      </c>
      <c r="K1341" t="s">
        <v>13765</v>
      </c>
      <c r="L1341" t="s">
        <v>13766</v>
      </c>
      <c r="M1341" t="s">
        <v>13767</v>
      </c>
      <c r="N1341">
        <f>-668.843239753383 -107.633431322367 -556.94902335553</f>
        <v>-1333.4256944312801</v>
      </c>
      <c r="O1341">
        <f>-639.076686130807 -237.465184166653 -522.952859818138</f>
        <v>-1399.494730115598</v>
      </c>
      <c r="P1341">
        <f>-626.497808449684 -291.155974651751 -233.902150308137</f>
        <v>-1151.5559334095719</v>
      </c>
      <c r="Q1341">
        <f>-472.534410866518 -110.159719076412 -273.732782205165</f>
        <v>-856.42691214809497</v>
      </c>
      <c r="R1341" t="s">
        <v>13768</v>
      </c>
      <c r="S1341" t="s">
        <v>13769</v>
      </c>
      <c r="T1341" t="s">
        <v>13770</v>
      </c>
      <c r="U1341" t="s">
        <v>13771</v>
      </c>
      <c r="V1341">
        <f>-615.945906284931 -139.316197593502 -94.8564881632193</f>
        <v>-850.11859204165228</v>
      </c>
      <c r="W1341" t="s">
        <v>13772</v>
      </c>
      <c r="X1341" t="s">
        <v>13773</v>
      </c>
      <c r="Y1341" t="s">
        <v>13774</v>
      </c>
    </row>
    <row r="1342" spans="1:25" x14ac:dyDescent="0.3">
      <c r="A1342">
        <v>67050</v>
      </c>
      <c r="B1342" t="s">
        <v>13775</v>
      </c>
      <c r="C1342">
        <f>-649.836102172113 -50.3128861270541 -98.3417588100982</f>
        <v>-798.49074710926527</v>
      </c>
      <c r="D1342">
        <f>-666.176595332436 -62.0815079156362 -212.406226271342</f>
        <v>-940.6643295194142</v>
      </c>
      <c r="E1342">
        <f>-672.657324272936 -68.892608088991 -310.580828084853</f>
        <v>-1052.13076044678</v>
      </c>
      <c r="F1342">
        <f>-676.023189948012 -74.0256351422063 -399.466008796418</f>
        <v>-1149.5148338866363</v>
      </c>
      <c r="G1342">
        <f>-676.532830331016 -78.0982189952647 -488.46820599785</f>
        <v>-1243.0992553241308</v>
      </c>
      <c r="H1342">
        <f>-674.22612956043 -82.7391465233895 -612.942878589817</f>
        <v>-1369.9081546736365</v>
      </c>
      <c r="I1342">
        <f>-650.923329179133 -81.5470590319883 -692.696206117181</f>
        <v>-1425.1665943283024</v>
      </c>
      <c r="J1342">
        <f>-681.611721530888 -53.7534625625128 -559.290472837971</f>
        <v>-1294.6556569313718</v>
      </c>
      <c r="K1342" t="s">
        <v>13776</v>
      </c>
      <c r="L1342" t="s">
        <v>13777</v>
      </c>
      <c r="M1342" t="s">
        <v>13778</v>
      </c>
      <c r="N1342">
        <f>-668.870633079644 -107.64035913926 -557.045153244011</f>
        <v>-1333.5561454629151</v>
      </c>
      <c r="O1342">
        <f>-639.183337367628 -237.482171165612 -523.03510054873</f>
        <v>-1399.70060908197</v>
      </c>
      <c r="P1342">
        <f>-626.925386720172 -290.715530596132 -233.886110302065</f>
        <v>-1151.5270276183689</v>
      </c>
      <c r="Q1342">
        <f>-472.711756965586 -109.947054269826 -273.782970815533</f>
        <v>-856.44178205094499</v>
      </c>
      <c r="R1342" t="s">
        <v>13779</v>
      </c>
      <c r="S1342" t="s">
        <v>13780</v>
      </c>
      <c r="T1342" t="s">
        <v>13781</v>
      </c>
      <c r="U1342" t="s">
        <v>13782</v>
      </c>
      <c r="V1342">
        <f>-615.98534275748 -139.53561894709 -94.9096223635503</f>
        <v>-850.43058406812031</v>
      </c>
      <c r="W1342" t="s">
        <v>13783</v>
      </c>
      <c r="X1342" t="s">
        <v>13784</v>
      </c>
      <c r="Y1342" t="s">
        <v>13785</v>
      </c>
    </row>
    <row r="1343" spans="1:25" x14ac:dyDescent="0.3">
      <c r="A1343">
        <v>67100</v>
      </c>
      <c r="B1343" t="s">
        <v>13786</v>
      </c>
      <c r="C1343">
        <f>-649.855031046024 -50.6405712694293 -98.4007251423861</f>
        <v>-798.89632745783945</v>
      </c>
      <c r="D1343">
        <f>-666.101011085826 -62.4148751999826 -212.478069814916</f>
        <v>-940.99395610072463</v>
      </c>
      <c r="E1343">
        <f>-672.484180068707 -69.1870615794876 -310.661795652019</f>
        <v>-1052.3330373002136</v>
      </c>
      <c r="F1343">
        <f>-675.754505755506 -74.2680135528533 -399.553540933815</f>
        <v>-1149.5760602421742</v>
      </c>
      <c r="G1343">
        <f>-676.160329275675 -78.27196906572 -488.559452768</f>
        <v>-1242.991751109395</v>
      </c>
      <c r="H1343">
        <f>-673.699849136189 -82.8002497621874 -613.035406605236</f>
        <v>-1369.5355055036123</v>
      </c>
      <c r="I1343">
        <f>-650.423546695349 -81.520007154249 -692.794969717295</f>
        <v>-1424.738523566893</v>
      </c>
      <c r="J1343">
        <f>-681.15318489243 -53.8634895591395 -559.36575509086</f>
        <v>-1294.3824295424295</v>
      </c>
      <c r="K1343" t="s">
        <v>13787</v>
      </c>
      <c r="L1343" t="s">
        <v>13788</v>
      </c>
      <c r="M1343" t="s">
        <v>13789</v>
      </c>
      <c r="N1343">
        <f>-668.412074074761 -107.751680272949 -557.153515779771</f>
        <v>-1333.3172701274812</v>
      </c>
      <c r="O1343">
        <f>-638.772518351924 -237.628307007158 -523.208266845634</f>
        <v>-1399.609092204716</v>
      </c>
      <c r="P1343">
        <f>-627.0453933673 -291.236635504967 -234.10634928107</f>
        <v>-1152.388378153337</v>
      </c>
      <c r="Q1343">
        <f>-473.24421875013 -110.004657559327 -273.489395442274</f>
        <v>-856.73827175173096</v>
      </c>
      <c r="R1343" t="s">
        <v>13790</v>
      </c>
      <c r="S1343" t="s">
        <v>13791</v>
      </c>
      <c r="T1343" t="s">
        <v>13792</v>
      </c>
      <c r="U1343" t="s">
        <v>13793</v>
      </c>
      <c r="V1343">
        <f>-616.033694851622 -139.689086288949 -94.9404130586623</f>
        <v>-850.66319419923332</v>
      </c>
      <c r="W1343" t="s">
        <v>13794</v>
      </c>
      <c r="X1343" t="s">
        <v>13795</v>
      </c>
      <c r="Y1343" t="s">
        <v>13796</v>
      </c>
    </row>
    <row r="1344" spans="1:25" x14ac:dyDescent="0.3">
      <c r="A1344">
        <v>67150</v>
      </c>
      <c r="B1344" t="s">
        <v>13797</v>
      </c>
      <c r="C1344">
        <f>-649.91144773265 -50.7529971091565 -98.4148251391211</f>
        <v>-799.07926998092762</v>
      </c>
      <c r="D1344">
        <f>-666.12162826796 -62.5273564026643 -212.497206999498</f>
        <v>-941.14619167012222</v>
      </c>
      <c r="E1344">
        <f>-672.451240713759 -69.2645900345162 -310.686956399787</f>
        <v>-1052.4027871480623</v>
      </c>
      <c r="F1344">
        <f>-675.6633889641 -74.3005814301464 -399.583298306283</f>
        <v>-1149.5472687005295</v>
      </c>
      <c r="G1344">
        <f>-676.001122728814 -78.2459178484917 -488.592042937525</f>
        <v>-1242.8390835148307</v>
      </c>
      <c r="H1344">
        <f>-673.434820084366 -82.6780889539104 -613.069275657465</f>
        <v>-1369.1821846957423</v>
      </c>
      <c r="I1344">
        <f>-650.169113813799 -81.3189005580844 -692.830762297424</f>
        <v>-1424.3187766693072</v>
      </c>
      <c r="J1344">
        <f>-680.945775297969 -53.7855450512357 -559.383946699551</f>
        <v>-1294.1152670487556</v>
      </c>
      <c r="K1344" t="s">
        <v>13798</v>
      </c>
      <c r="L1344" t="s">
        <v>13799</v>
      </c>
      <c r="M1344" t="s">
        <v>13800</v>
      </c>
      <c r="N1344">
        <f>-668.182293649772 -107.669718426992 -557.202277174459</f>
        <v>-1333.0542892512231</v>
      </c>
      <c r="O1344">
        <f>-638.505063848777 -237.553892640005 -523.317051734023</f>
        <v>-1399.376008222805</v>
      </c>
      <c r="P1344">
        <f>-627.095632377815 -291.210472978658 -234.211652279914</f>
        <v>-1152.5177576363872</v>
      </c>
      <c r="Q1344">
        <f>-473.582579231125 -109.67973125258 -273.342308137962</f>
        <v>-856.60461862166699</v>
      </c>
      <c r="R1344" t="s">
        <v>13801</v>
      </c>
      <c r="S1344" t="s">
        <v>13802</v>
      </c>
      <c r="T1344" t="s">
        <v>13803</v>
      </c>
      <c r="U1344" t="s">
        <v>13804</v>
      </c>
      <c r="V1344">
        <f>-616.161080114741 -139.72190030989 -94.9388262738294</f>
        <v>-850.82180669846036</v>
      </c>
      <c r="W1344" t="s">
        <v>13805</v>
      </c>
      <c r="X1344" t="s">
        <v>13806</v>
      </c>
      <c r="Y1344" t="s">
        <v>13807</v>
      </c>
    </row>
    <row r="1345" spans="1:25" x14ac:dyDescent="0.3">
      <c r="A1345">
        <v>67200</v>
      </c>
      <c r="B1345" t="s">
        <v>13808</v>
      </c>
      <c r="C1345">
        <f>-650.086451454159 -51.1397842117399 -98.4268195998526</f>
        <v>-799.6530552657515</v>
      </c>
      <c r="D1345">
        <f>-666.27781698095 -62.9103562620485 -212.512456072</f>
        <v>-941.70062931499842</v>
      </c>
      <c r="E1345">
        <f>-672.556110880802 -69.6155820888623 -310.707468036174</f>
        <v>-1052.8791610058383</v>
      </c>
      <c r="F1345">
        <f>-675.707591131119 -74.6111546752509 -399.608260538086</f>
        <v>-1149.9270063444558</v>
      </c>
      <c r="G1345">
        <f>-675.969752539852 -78.5052467427754 -488.619675030918</f>
        <v>-1243.0946743135455</v>
      </c>
      <c r="H1345">
        <f>-673.282077299487 -82.8541342040492 -613.097195071039</f>
        <v>-1369.2334065745752</v>
      </c>
      <c r="I1345">
        <f>-650.021801403604 -81.3815926326329 -692.858082451252</f>
        <v>-1424.2614764874888</v>
      </c>
      <c r="J1345">
        <f>-680.859736681648 -54.0009507547124 -559.400021747438</f>
        <v>-1294.2607091837986</v>
      </c>
      <c r="K1345" t="s">
        <v>13809</v>
      </c>
      <c r="L1345" t="s">
        <v>13810</v>
      </c>
      <c r="M1345" t="s">
        <v>13811</v>
      </c>
      <c r="N1345">
        <f>-668.069832073772 -107.879834411811 -557.241519429546</f>
        <v>-1333.1911859151289</v>
      </c>
      <c r="O1345">
        <f>-638.358606430788 -237.750331582495 -523.346330745965</f>
        <v>-1399.4552687592482</v>
      </c>
      <c r="P1345">
        <f>-627.031953147858 -291.770552472134 -234.305280410478</f>
        <v>-1153.1077860304699</v>
      </c>
      <c r="Q1345">
        <f>-474.359561377942 -109.436068221768 -272.98498643924</f>
        <v>-856.78061603895003</v>
      </c>
      <c r="R1345" t="s">
        <v>13812</v>
      </c>
      <c r="S1345" t="s">
        <v>13813</v>
      </c>
      <c r="T1345" t="s">
        <v>13814</v>
      </c>
      <c r="U1345" t="s">
        <v>13815</v>
      </c>
      <c r="V1345">
        <f>-616.245319788772 -140.239128540521 -94.961865294543</f>
        <v>-851.44631362383598</v>
      </c>
      <c r="W1345" t="s">
        <v>13816</v>
      </c>
      <c r="X1345" t="s">
        <v>13817</v>
      </c>
      <c r="Y1345" t="s">
        <v>13818</v>
      </c>
    </row>
    <row r="1346" spans="1:25" x14ac:dyDescent="0.3">
      <c r="A1346">
        <v>67250</v>
      </c>
      <c r="B1346" t="s">
        <v>13819</v>
      </c>
      <c r="C1346">
        <f>-650.095166979354 -51.5627761085386 -98.4294455479578</f>
        <v>-800.0873886358504</v>
      </c>
      <c r="D1346">
        <f>-666.286347918306 -63.3440117269499 -212.513911790142</f>
        <v>-942.14427143539797</v>
      </c>
      <c r="E1346">
        <f>-672.548444098979 -70.0365603790297 -310.710898851026</f>
        <v>-1053.2959033290347</v>
      </c>
      <c r="F1346">
        <f>-675.678255908492 -75.0127604755696 -399.613532333006</f>
        <v>-1150.3045487170675</v>
      </c>
      <c r="G1346">
        <f>-675.911495878813 -78.8791086390784 -488.626145977886</f>
        <v>-1243.4167504957773</v>
      </c>
      <c r="H1346">
        <f>-673.175885500875 -83.1811624604802 -613.10440722336</f>
        <v>-1369.4614551847153</v>
      </c>
      <c r="I1346">
        <f>-649.911886319647 -81.6748304345645 -692.863683799613</f>
        <v>-1424.4504005538245</v>
      </c>
      <c r="J1346">
        <f>-680.775632158694 -54.3486103592768 -559.399238495107</f>
        <v>-1294.5234810130778</v>
      </c>
      <c r="K1346" t="s">
        <v>13820</v>
      </c>
      <c r="L1346" t="s">
        <v>13821</v>
      </c>
      <c r="M1346" t="s">
        <v>13822</v>
      </c>
      <c r="N1346">
        <f>-667.983892950802 -108.227492918075 -557.256072954369</f>
        <v>-1333.467458823246</v>
      </c>
      <c r="O1346">
        <f>-638.283980627431 -238.097135982082 -523.349024777037</f>
        <v>-1399.73014138655</v>
      </c>
      <c r="P1346">
        <f>-626.981888133269 -292.107446769717 -234.305158893289</f>
        <v>-1153.3944937962749</v>
      </c>
      <c r="Q1346">
        <f>-474.615911885571 -109.490992795143 -272.863503232215</f>
        <v>-856.97040791292898</v>
      </c>
      <c r="R1346" t="s">
        <v>13823</v>
      </c>
      <c r="S1346" t="s">
        <v>13824</v>
      </c>
      <c r="T1346" t="s">
        <v>13825</v>
      </c>
      <c r="U1346" t="s">
        <v>13826</v>
      </c>
      <c r="V1346">
        <f>-616.240923809671 -140.719038468235 -94.9689969579604</f>
        <v>-851.92895923586639</v>
      </c>
      <c r="W1346" t="s">
        <v>13827</v>
      </c>
      <c r="X1346" t="s">
        <v>13828</v>
      </c>
      <c r="Y1346" t="s">
        <v>13829</v>
      </c>
    </row>
    <row r="1347" spans="1:25" x14ac:dyDescent="0.3">
      <c r="A1347">
        <v>67300</v>
      </c>
      <c r="B1347" t="s">
        <v>13830</v>
      </c>
      <c r="C1347">
        <f>-650.037544086958 -51.9537751542118 -98.4321771025559</f>
        <v>-800.42349634372567</v>
      </c>
      <c r="D1347">
        <f>-666.198217500343 -63.7592364924947 -212.518461942796</f>
        <v>-942.47591593563368</v>
      </c>
      <c r="E1347">
        <f>-672.409432881516 -70.4401982281365 -310.719586846872</f>
        <v>-1053.5692179565244</v>
      </c>
      <c r="F1347">
        <f>-675.482492544886 -75.3932234886915 -399.625380044233</f>
        <v>-1150.5010960778104</v>
      </c>
      <c r="G1347">
        <f>-675.648361058486 -79.2241659227409 -488.639623791773</f>
        <v>-1243.5121507729998</v>
      </c>
      <c r="H1347">
        <f>-672.806846070118 -83.463703728723 -613.117613608656</f>
        <v>-1369.3881634074969</v>
      </c>
      <c r="I1347">
        <f>-649.533026077629 -81.9089159500254 -692.873162470419</f>
        <v>-1424.3151044980732</v>
      </c>
      <c r="J1347">
        <f>-680.464740692793 -54.6610566065876 -559.40479575345</f>
        <v>-1294.5305930528307</v>
      </c>
      <c r="K1347" t="s">
        <v>13831</v>
      </c>
      <c r="L1347" t="s">
        <v>13832</v>
      </c>
      <c r="M1347" t="s">
        <v>13833</v>
      </c>
      <c r="N1347">
        <f>-667.649819182061 -108.535097558816 -557.277342374384</f>
        <v>-1333.4622591152611</v>
      </c>
      <c r="O1347">
        <f>-637.88524200747 -238.389477615143 -523.34702394529</f>
        <v>-1399.621743567903</v>
      </c>
      <c r="P1347">
        <f>-627.065438795721 -291.815254085654 -234.176195030906</f>
        <v>-1153.0568879122809</v>
      </c>
      <c r="Q1347">
        <f>-474.910903765145 -109.113821684332 -273.163946163877</f>
        <v>-857.18867161335402</v>
      </c>
      <c r="R1347" t="s">
        <v>13834</v>
      </c>
      <c r="S1347" t="s">
        <v>13835</v>
      </c>
      <c r="T1347" t="s">
        <v>13836</v>
      </c>
      <c r="U1347" t="s">
        <v>13837</v>
      </c>
      <c r="V1347">
        <f>-616.249010099374 -140.970012488361 -94.944871305268</f>
        <v>-852.16389389300298</v>
      </c>
      <c r="W1347" t="s">
        <v>13838</v>
      </c>
      <c r="X1347" t="s">
        <v>13839</v>
      </c>
      <c r="Y1347" t="s">
        <v>13840</v>
      </c>
    </row>
    <row r="1348" spans="1:25" x14ac:dyDescent="0.3">
      <c r="A1348">
        <v>67350</v>
      </c>
      <c r="B1348" t="s">
        <v>13841</v>
      </c>
      <c r="C1348">
        <f>-650.048576595831 -52.1442919450549 -98.4380147872259</f>
        <v>-800.63088332811185</v>
      </c>
      <c r="D1348">
        <f>-666.202297461225 -63.9548836659142 -212.524783866249</f>
        <v>-942.68196499338819</v>
      </c>
      <c r="E1348">
        <f>-672.392022903603 -70.6341162103565 -310.727312801238</f>
        <v>-1053.7534519151975</v>
      </c>
      <c r="F1348">
        <f>-675.439451579117 -75.5833688741968 -399.634338068594</f>
        <v>-1150.6571585219078</v>
      </c>
      <c r="G1348">
        <f>-675.573150928589 -79.4081012038328 -488.648880039573</f>
        <v>-1243.6301321719948</v>
      </c>
      <c r="H1348">
        <f>-672.680293711814 -83.6366983890487 -613.126120799256</f>
        <v>-1369.4431129001186</v>
      </c>
      <c r="I1348">
        <f>-649.406160949354 -82.072852685596 -692.881412989273</f>
        <v>-1424.360426624223</v>
      </c>
      <c r="J1348">
        <f>-680.364685335486 -54.8397495894203 -559.413826319576</f>
        <v>-1294.6182612444823</v>
      </c>
      <c r="K1348" t="s">
        <v>13842</v>
      </c>
      <c r="L1348" t="s">
        <v>13843</v>
      </c>
      <c r="M1348" t="s">
        <v>13844</v>
      </c>
      <c r="N1348">
        <f>-667.541947733189 -108.71197999397 -557.285712804323</f>
        <v>-1333.5396405314818</v>
      </c>
      <c r="O1348">
        <f>-637.75485173994 -238.548779924755 -523.321666596786</f>
        <v>-1399.625298261481</v>
      </c>
      <c r="P1348">
        <f>-627.059670150593 -291.787519391859 -234.111584565551</f>
        <v>-1152.9587741080031</v>
      </c>
      <c r="Q1348">
        <f>-474.976123374178 -109.110027231998 -273.486883923932</f>
        <v>-857.57303453010809</v>
      </c>
      <c r="R1348" t="s">
        <v>13845</v>
      </c>
      <c r="S1348" t="s">
        <v>13846</v>
      </c>
      <c r="T1348" t="s">
        <v>13847</v>
      </c>
      <c r="U1348" t="s">
        <v>13848</v>
      </c>
      <c r="V1348">
        <f>-616.255878791244 -141.159050198188 -94.9442928090764</f>
        <v>-852.35922179850832</v>
      </c>
      <c r="W1348" t="s">
        <v>13849</v>
      </c>
      <c r="X1348" t="s">
        <v>13850</v>
      </c>
      <c r="Y1348" t="s">
        <v>13851</v>
      </c>
    </row>
    <row r="1349" spans="1:25" x14ac:dyDescent="0.3">
      <c r="A1349">
        <v>67400</v>
      </c>
      <c r="B1349" t="s">
        <v>13852</v>
      </c>
      <c r="C1349">
        <f>-650.008593116285 -52.6666856998118 -98.4452306610249</f>
        <v>-801.12050947712169</v>
      </c>
      <c r="D1349">
        <f>-666.13075518191 -64.4569418542483 -212.538486165168</f>
        <v>-943.12618320132628</v>
      </c>
      <c r="E1349">
        <f>-672.22830951978 -71.1270800220409 -310.747390148701</f>
        <v>-1054.1027796905219</v>
      </c>
      <c r="F1349">
        <f>-675.166508758214 -76.0717066705813 -399.658345094662</f>
        <v>-1150.8965605234573</v>
      </c>
      <c r="G1349">
        <f>-675.165379621822 -79.8959989928048 -488.673088345911</f>
        <v>-1243.7344669605379</v>
      </c>
      <c r="H1349">
        <f>-672.057057969126 -84.1285419003559 -613.144932621747</f>
        <v>-1369.330532491229</v>
      </c>
      <c r="I1349">
        <f>-648.723207493339 -82.5865440517746 -692.883206606229</f>
        <v>-1424.1929581513427</v>
      </c>
      <c r="J1349">
        <f>-679.825876528963 -55.3279270749315 -559.446882913614</f>
        <v>-1294.6006865175086</v>
      </c>
      <c r="K1349" t="s">
        <v>13853</v>
      </c>
      <c r="L1349" t="s">
        <v>13854</v>
      </c>
      <c r="M1349" t="s">
        <v>13855</v>
      </c>
      <c r="N1349">
        <f>-667.023895304522 -109.20416486588 -557.295220594345</f>
        <v>-1333.5232807647469</v>
      </c>
      <c r="O1349">
        <f>-637.27775914432 -239.015499514198 -523.186313226024</f>
        <v>-1399.4795718845421</v>
      </c>
      <c r="P1349">
        <f>-626.735629656581 -291.662024096801 -233.862059657615</f>
        <v>-1152.2597134109969</v>
      </c>
      <c r="Q1349">
        <f>-474.502921140652 -109.144272537155 -273.40190550483</f>
        <v>-857.04909918263695</v>
      </c>
      <c r="R1349" t="s">
        <v>13856</v>
      </c>
      <c r="S1349" t="s">
        <v>13857</v>
      </c>
      <c r="T1349" t="s">
        <v>13858</v>
      </c>
      <c r="U1349" t="s">
        <v>13859</v>
      </c>
      <c r="V1349">
        <f>-616.209618279817 -141.787820653465 -94.9629375989018</f>
        <v>-852.96037653218389</v>
      </c>
      <c r="W1349" t="s">
        <v>13860</v>
      </c>
      <c r="X1349" t="s">
        <v>13861</v>
      </c>
      <c r="Y1349" t="s">
        <v>13862</v>
      </c>
    </row>
    <row r="1350" spans="1:25" x14ac:dyDescent="0.3">
      <c r="A1350">
        <v>67450</v>
      </c>
      <c r="B1350" t="s">
        <v>13863</v>
      </c>
      <c r="C1350">
        <f>-649.917420955794 -52.8832110688184 -98.4433749426446</f>
        <v>-801.24400696725695</v>
      </c>
      <c r="D1350">
        <f>-666.056128565122 -64.6827567145476 -212.533259723147</f>
        <v>-943.27214500281661</v>
      </c>
      <c r="E1350">
        <f>-672.15643736987 -71.3695241076887 -310.741050596899</f>
        <v>-1054.2670120744576</v>
      </c>
      <c r="F1350">
        <f>-675.092556421854 -76.3327384622187 -399.650891375859</f>
        <v>-1151.0761862599318</v>
      </c>
      <c r="G1350">
        <f>-675.084958904747 -80.1795009075738 -488.664701197286</f>
        <v>-1243.9291610096068</v>
      </c>
      <c r="H1350">
        <f>-671.962785646211 -84.447878159883 -613.134932875557</f>
        <v>-1369.545596681651</v>
      </c>
      <c r="I1350">
        <f>-648.628593690175 -82.9399226754617 -692.873609554568</f>
        <v>-1424.4421259202047</v>
      </c>
      <c r="J1350">
        <f>-679.720460949817 -55.6277643170295 -559.4456903298</f>
        <v>-1294.7939155966465</v>
      </c>
      <c r="K1350" t="s">
        <v>13864</v>
      </c>
      <c r="L1350" t="s">
        <v>13865</v>
      </c>
      <c r="M1350" t="s">
        <v>13866</v>
      </c>
      <c r="N1350">
        <f>-666.952960512523 -109.511497040764 -557.277734097094</f>
        <v>-1333.7421916503808</v>
      </c>
      <c r="O1350">
        <f>-637.260658002457 -239.307203030364 -523.079723286642</f>
        <v>-1399.647584319463</v>
      </c>
      <c r="P1350">
        <f>-626.743553376184 -291.668815110155 -233.703025855275</f>
        <v>-1152.1153943416139</v>
      </c>
      <c r="Q1350">
        <f>-474.677722775842 -108.935479480513 -272.887122828158</f>
        <v>-856.50032508451307</v>
      </c>
      <c r="R1350" t="s">
        <v>13867</v>
      </c>
      <c r="S1350" t="s">
        <v>13868</v>
      </c>
      <c r="T1350" t="s">
        <v>13869</v>
      </c>
      <c r="U1350" t="s">
        <v>13870</v>
      </c>
      <c r="V1350">
        <f>-616.196871582855 -141.919971953203 -94.9555140112257</f>
        <v>-853.07235754728367</v>
      </c>
      <c r="W1350" t="s">
        <v>13871</v>
      </c>
      <c r="X1350" t="s">
        <v>13872</v>
      </c>
      <c r="Y1350" t="s">
        <v>13873</v>
      </c>
    </row>
    <row r="1351" spans="1:25" x14ac:dyDescent="0.3">
      <c r="A1351">
        <v>67500</v>
      </c>
      <c r="B1351" t="s">
        <v>13874</v>
      </c>
      <c r="C1351">
        <f>-649.77768303933 -53.309700953592 -98.441511607506</f>
        <v>-801.52889560042797</v>
      </c>
      <c r="D1351">
        <f>-665.919942372604 -65.1305442047947 -212.528919643038</f>
        <v>-943.57940622043668</v>
      </c>
      <c r="E1351">
        <f>-672.026133910272 -71.866929561121 -310.732727871209</f>
        <v>-1054.625791342602</v>
      </c>
      <c r="F1351">
        <f>-674.969399399414 -76.8871426096284 -399.639339116975</f>
        <v>-1151.4958811260174</v>
      </c>
      <c r="G1351">
        <f>-674.970751820423 -80.8038545461659 -488.649906772352</f>
        <v>-1244.4245131389407</v>
      </c>
      <c r="H1351">
        <f>-671.863085972685 -85.1837170509259 -613.116787743543</f>
        <v>-1370.1635907671539</v>
      </c>
      <c r="I1351">
        <f>-648.527997699507 -83.774203032139 -692.857002365785</f>
        <v>-1425.1592030974309</v>
      </c>
      <c r="J1351">
        <f>-679.57068800318 -56.3051205252286 -559.451737732779</f>
        <v>-1295.3275462611875</v>
      </c>
      <c r="K1351" t="s">
        <v>13875</v>
      </c>
      <c r="L1351" t="s">
        <v>13876</v>
      </c>
      <c r="M1351" t="s">
        <v>13877</v>
      </c>
      <c r="N1351">
        <f>-666.890532626778 -110.20765176877 -557.238362396209</f>
        <v>-1334.336546791757</v>
      </c>
      <c r="O1351">
        <f>-637.413035568773 -240.014554760025 -522.891208806239</f>
        <v>-1400.3187991350369</v>
      </c>
      <c r="P1351">
        <f>-626.987015278513 -291.96955708006 -233.437927353397</f>
        <v>-1152.39449971197</v>
      </c>
      <c r="Q1351">
        <f>-474.972066484009 -109.167235954178 -272.49706133357</f>
        <v>-856.63636377175703</v>
      </c>
      <c r="R1351" t="s">
        <v>13878</v>
      </c>
      <c r="S1351" t="s">
        <v>13879</v>
      </c>
      <c r="T1351" t="s">
        <v>13880</v>
      </c>
      <c r="U1351" t="s">
        <v>13881</v>
      </c>
      <c r="V1351">
        <f>-616.189199878292 -142.358623201885 -94.9149559790117</f>
        <v>-853.46277905918873</v>
      </c>
      <c r="W1351" t="s">
        <v>13882</v>
      </c>
      <c r="X1351" t="s">
        <v>13883</v>
      </c>
      <c r="Y1351" t="s">
        <v>13884</v>
      </c>
    </row>
    <row r="1352" spans="1:25" x14ac:dyDescent="0.3">
      <c r="A1352">
        <v>67550</v>
      </c>
      <c r="B1352" t="s">
        <v>13885</v>
      </c>
      <c r="C1352">
        <f>-649.686268466122 -53.4296853004153 -98.4273593999338</f>
        <v>-801.54331316647108</v>
      </c>
      <c r="D1352">
        <f>-665.842116690108 -65.2733433596941 -212.510436754832</f>
        <v>-943.62589680463407</v>
      </c>
      <c r="E1352">
        <f>-671.949950611183 -72.0387150785959 -310.712135980233</f>
        <v>-1054.700801670012</v>
      </c>
      <c r="F1352">
        <f>-674.890926567666 -77.0889365536898 -399.617117206765</f>
        <v>-1151.5969803281209</v>
      </c>
      <c r="G1352">
        <f>-674.886139853252 -81.0399787384895 -488.626328214689</f>
        <v>-1244.5524468064305</v>
      </c>
      <c r="H1352">
        <f>-671.765940972925 -85.4725798425272 -613.090771300466</f>
        <v>-1370.3292921159182</v>
      </c>
      <c r="I1352">
        <f>-648.429099729635 -84.0989649466387 -692.831270429455</f>
        <v>-1425.3593351057289</v>
      </c>
      <c r="J1352">
        <f>-679.456498138956 -56.5658601465525 -559.438488457113</f>
        <v>-1295.4608467426215</v>
      </c>
      <c r="K1352" t="s">
        <v>13886</v>
      </c>
      <c r="L1352" t="s">
        <v>13887</v>
      </c>
      <c r="M1352" t="s">
        <v>13888</v>
      </c>
      <c r="N1352">
        <f>-666.821491161797 -110.478051554359 -557.201673632469</f>
        <v>-1334.5012163486249</v>
      </c>
      <c r="O1352">
        <f>-637.476424132209 -240.297189223721 -522.788992078624</f>
        <v>-1400.5626054345539</v>
      </c>
      <c r="P1352">
        <f>-627.174313705639 -292.082162511339 -233.300832242641</f>
        <v>-1152.557308459619</v>
      </c>
      <c r="Q1352">
        <f>-475.130218921796 -109.300463890585 -272.343131490522</f>
        <v>-856.77381430290302</v>
      </c>
      <c r="R1352" t="s">
        <v>13889</v>
      </c>
      <c r="S1352" t="s">
        <v>13890</v>
      </c>
      <c r="T1352" t="s">
        <v>13891</v>
      </c>
      <c r="U1352" t="s">
        <v>13892</v>
      </c>
      <c r="V1352">
        <f>-616.111720353432 -142.473673542477 -94.8841261115591</f>
        <v>-853.46952000746808</v>
      </c>
      <c r="W1352" t="s">
        <v>13893</v>
      </c>
      <c r="X1352" t="s">
        <v>13894</v>
      </c>
      <c r="Y1352" t="s">
        <v>13895</v>
      </c>
    </row>
    <row r="1353" spans="1:25" x14ac:dyDescent="0.3">
      <c r="A1353">
        <v>67600</v>
      </c>
      <c r="B1353" t="s">
        <v>13896</v>
      </c>
      <c r="C1353">
        <f>-649.51309619254 -53.6662138924892 -98.4160901641699</f>
        <v>-801.59540024919909</v>
      </c>
      <c r="D1353">
        <f>-665.686597789442 -65.546823881984 -212.492700251354</f>
        <v>-943.72612192277995</v>
      </c>
      <c r="E1353">
        <f>-671.791063021289 -72.3561488488701 -310.691611473954</f>
        <v>-1054.8388233441133</v>
      </c>
      <c r="F1353">
        <f>-674.721662903192 -77.4512860529037 -399.594270419139</f>
        <v>-1151.7672193752346</v>
      </c>
      <c r="G1353">
        <f>-674.698539903881 -81.4534474603838 -488.601285854229</f>
        <v>-1244.7532732184939</v>
      </c>
      <c r="H1353">
        <f>-671.545044310998 -85.9644064888591 -613.062169353204</f>
        <v>-1370.5716201530613</v>
      </c>
      <c r="I1353">
        <f>-648.219423978817 -84.6240094102839 -692.806352721876</f>
        <v>-1425.6497861109769</v>
      </c>
      <c r="J1353">
        <f>-679.213037346199 -57.0153338809962 -559.429425152612</f>
        <v>-1295.6577963798072</v>
      </c>
      <c r="K1353" t="s">
        <v>13897</v>
      </c>
      <c r="L1353" t="s">
        <v>13898</v>
      </c>
      <c r="M1353" t="s">
        <v>13899</v>
      </c>
      <c r="N1353">
        <f>-666.652368438165 -110.943353259423 -557.15663746291</f>
        <v>-1334.7523591604981</v>
      </c>
      <c r="O1353">
        <f>-637.488994845713 -240.782701393039 -522.662216657404</f>
        <v>-1400.933912896156</v>
      </c>
      <c r="P1353">
        <f>-627.304571390749 -292.489558053123 -233.155845814261</f>
        <v>-1152.949975258133</v>
      </c>
      <c r="Q1353">
        <f>-475.272829556075 -109.674375699763 -272.08954523749</f>
        <v>-857.0367504933281</v>
      </c>
      <c r="R1353" t="s">
        <v>13900</v>
      </c>
      <c r="S1353" t="s">
        <v>13901</v>
      </c>
      <c r="T1353" t="s">
        <v>13902</v>
      </c>
      <c r="U1353" t="s">
        <v>13903</v>
      </c>
      <c r="V1353">
        <f>-615.948232985966 -142.678659868826 -94.8461642601842</f>
        <v>-853.4730571149762</v>
      </c>
      <c r="W1353" t="s">
        <v>13904</v>
      </c>
      <c r="X1353" t="s">
        <v>13905</v>
      </c>
      <c r="Y1353" t="s">
        <v>13906</v>
      </c>
    </row>
    <row r="1354" spans="1:25" x14ac:dyDescent="0.3">
      <c r="A1354">
        <v>67650</v>
      </c>
      <c r="B1354" t="s">
        <v>13907</v>
      </c>
      <c r="C1354">
        <f>-649.35933714527 -54.0612962474006 -98.4169496631222</f>
        <v>-801.83758305579283</v>
      </c>
      <c r="D1354">
        <f>-665.53944590773 -65.9557804836247 -212.491157461198</f>
        <v>-943.98638385255276</v>
      </c>
      <c r="E1354">
        <f>-671.643054428369 -72.7972887214501 -310.687968962004</f>
        <v>-1055.1283121118231</v>
      </c>
      <c r="F1354">
        <f>-674.570716306088 -77.9294842399445 -399.58860408152</f>
        <v>-1152.0888046275525</v>
      </c>
      <c r="G1354">
        <f>-674.542559334212 -81.9771338923242 -488.593463136071</f>
        <v>-1245.1131563626072</v>
      </c>
      <c r="H1354">
        <f>-671.379870660214 -86.5606107113365 -613.051431370901</f>
        <v>-1370.9919127424514</v>
      </c>
      <c r="I1354">
        <f>-648.062866960414 -85.236487153426 -692.798459634133</f>
        <v>-1426.0978137479729</v>
      </c>
      <c r="J1354">
        <f>-679.022970800313 -57.5736457809144 -559.435754669861</f>
        <v>-1296.0323712510885</v>
      </c>
      <c r="K1354" t="s">
        <v>13908</v>
      </c>
      <c r="L1354" t="s">
        <v>13909</v>
      </c>
      <c r="M1354" t="s">
        <v>13910</v>
      </c>
      <c r="N1354">
        <f>-666.520200401812 -111.513746173441 -557.131447641478</f>
        <v>-1335.1653942167309</v>
      </c>
      <c r="O1354">
        <f>-637.509612389054 -241.355619995873 -522.55196435572</f>
        <v>-1401.4171967406469</v>
      </c>
      <c r="P1354">
        <f>-627.622924009119 -292.71537905963 -232.97365352499</f>
        <v>-1153.3119565937388</v>
      </c>
      <c r="Q1354">
        <f>-475.413175997215 -110.091227982911 -272.108553444133</f>
        <v>-857.61295742425898</v>
      </c>
      <c r="R1354" t="s">
        <v>13911</v>
      </c>
      <c r="S1354" t="s">
        <v>13912</v>
      </c>
      <c r="T1354" t="s">
        <v>13913</v>
      </c>
      <c r="U1354" t="s">
        <v>13914</v>
      </c>
      <c r="V1354">
        <f>-615.902155623768 -143.135476259803 -94.8212886858993</f>
        <v>-853.85892056947023</v>
      </c>
      <c r="W1354" t="s">
        <v>13915</v>
      </c>
      <c r="X1354" t="s">
        <v>13916</v>
      </c>
      <c r="Y1354" t="s">
        <v>13917</v>
      </c>
    </row>
    <row r="1355" spans="1:25" x14ac:dyDescent="0.3">
      <c r="A1355">
        <v>67700</v>
      </c>
      <c r="B1355" t="s">
        <v>13918</v>
      </c>
      <c r="C1355">
        <f>-649.282146415877 -54.5570022934776 -98.4201913701348</f>
        <v>-802.25934007948945</v>
      </c>
      <c r="D1355">
        <f>-665.461657637213 -66.460362459834 -212.493653551523</f>
        <v>-944.41567364856996</v>
      </c>
      <c r="E1355">
        <f>-671.576388561031 -73.3511993834557 -310.686184200418</f>
        <v>-1055.6137721449045</v>
      </c>
      <c r="F1355">
        <f>-674.519465015755 -78.54469643528 -399.582829292154</f>
        <v>-1152.646990743189</v>
      </c>
      <c r="G1355">
        <f>-674.512288333915 -82.6708947207369 -488.584060248619</f>
        <v>-1245.7672433032708</v>
      </c>
      <c r="H1355">
        <f>-671.384942850068 -87.3826495166891 -613.038150680912</f>
        <v>-1371.8057430476692</v>
      </c>
      <c r="I1355">
        <f>-648.089666478886 -86.0986373072765 -692.792237574327</f>
        <v>-1426.9805413604895</v>
      </c>
      <c r="J1355">
        <f>-678.967255496301 -58.3298900701845 -559.449540836307</f>
        <v>-1296.7466864027926</v>
      </c>
      <c r="K1355" t="s">
        <v>13919</v>
      </c>
      <c r="L1355" t="s">
        <v>13920</v>
      </c>
      <c r="M1355" t="s">
        <v>13921</v>
      </c>
      <c r="N1355">
        <f>-666.554835828684 -112.288589801652 -557.094705113425</f>
        <v>-1335.9381307437611</v>
      </c>
      <c r="O1355">
        <f>-637.720073163391 -242.128805749711 -522.358835700942</f>
        <v>-1402.2077146140441</v>
      </c>
      <c r="P1355">
        <f>-628.127168491657 -292.83267634185 -232.654926278036</f>
        <v>-1153.6147711115432</v>
      </c>
      <c r="Q1355">
        <f>-475.476836227189 -110.673074825775 -272.23556551311</f>
        <v>-858.38547656607398</v>
      </c>
      <c r="R1355" t="s">
        <v>13922</v>
      </c>
      <c r="S1355" t="s">
        <v>13923</v>
      </c>
      <c r="T1355" t="s">
        <v>13924</v>
      </c>
      <c r="U1355" t="s">
        <v>13925</v>
      </c>
      <c r="V1355">
        <f>-615.994360744939 -143.627642315952 -94.7973770886098</f>
        <v>-854.41938014950074</v>
      </c>
      <c r="W1355" t="s">
        <v>13926</v>
      </c>
      <c r="X1355" t="s">
        <v>13927</v>
      </c>
      <c r="Y1355" t="s">
        <v>13928</v>
      </c>
    </row>
    <row r="1356" spans="1:25" x14ac:dyDescent="0.3">
      <c r="A1356">
        <v>67750</v>
      </c>
      <c r="B1356" t="s">
        <v>13929</v>
      </c>
      <c r="C1356">
        <f>-649.225587299024 -54.732011474468 -98.423026934305</f>
        <v>-802.38062570779698</v>
      </c>
      <c r="D1356">
        <f>-665.408501565369 -66.637707883237 -212.495702266236</f>
        <v>-944.54191171484194</v>
      </c>
      <c r="E1356">
        <f>-671.533105320053 -73.5490960157849 -310.686164421993</f>
        <v>-1055.7683657578309</v>
      </c>
      <c r="F1356">
        <f>-674.487902735429 -78.7679957439304 -399.580924550806</f>
        <v>-1152.8368230301653</v>
      </c>
      <c r="G1356">
        <f>-674.495567493836 -82.9272695744903 -488.580585101192</f>
        <v>-1246.0034221695182</v>
      </c>
      <c r="H1356">
        <f>-671.392199891228 -87.6931550884572 -613.033249323542</f>
        <v>-1372.1186043032271</v>
      </c>
      <c r="I1356">
        <f>-648.108143454975 -86.4254216554077 -692.790945285481</f>
        <v>-1427.3245103958639</v>
      </c>
      <c r="J1356">
        <f>-678.943774578525 -58.6122432719712 -559.455442206672</f>
        <v>-1297.0114600571683</v>
      </c>
      <c r="K1356" t="s">
        <v>13930</v>
      </c>
      <c r="L1356" t="s">
        <v>13931</v>
      </c>
      <c r="M1356" t="s">
        <v>13932</v>
      </c>
      <c r="N1356">
        <f>-666.572077170718 -112.579539254335 -557.08027997629</f>
        <v>-1336.231896401343</v>
      </c>
      <c r="O1356">
        <f>-637.81227517965 -242.4184607241 -522.260083657725</f>
        <v>-1402.4908195614748</v>
      </c>
      <c r="P1356">
        <f>-628.433855338382 -292.678443701858 -232.472034169383</f>
        <v>-1153.5843332096231</v>
      </c>
      <c r="Q1356">
        <f>-475.687348423274 -110.64237263783 -272.249485637877</f>
        <v>-858.57920669898101</v>
      </c>
      <c r="R1356" t="s">
        <v>13933</v>
      </c>
      <c r="S1356" t="s">
        <v>13934</v>
      </c>
      <c r="T1356" t="s">
        <v>13935</v>
      </c>
      <c r="U1356" t="s">
        <v>13936</v>
      </c>
      <c r="V1356">
        <f>-615.946130970172 -143.831758854198 -94.795728867066</f>
        <v>-854.57361869143608</v>
      </c>
      <c r="W1356" t="s">
        <v>13937</v>
      </c>
      <c r="X1356" t="s">
        <v>13938</v>
      </c>
      <c r="Y1356" t="s">
        <v>13939</v>
      </c>
    </row>
    <row r="1357" spans="1:25" x14ac:dyDescent="0.3">
      <c r="A1357">
        <v>67800</v>
      </c>
      <c r="B1357" t="s">
        <v>13940</v>
      </c>
      <c r="C1357">
        <f>-649.065599420765 -55.1405847916233 -98.4318997869683</f>
        <v>-802.63808399935658</v>
      </c>
      <c r="D1357">
        <f>-665.275707912806 -67.0506737468879 -212.50040203392</f>
        <v>-944.82678369361383</v>
      </c>
      <c r="E1357">
        <f>-671.455964066346 -73.9958277917126 -310.685040727472</f>
        <v>-1056.1368325855306</v>
      </c>
      <c r="F1357">
        <f>-674.474715990549 -79.2573853739123 -399.575058580919</f>
        <v>-1153.3071599453804</v>
      </c>
      <c r="G1357">
        <f>-674.559699389751 -83.471780749225 -488.572137961653</f>
        <v>-1246.6036181006291</v>
      </c>
      <c r="H1357">
        <f>-671.57890959889 -88.3280639956715 -613.024299079999</f>
        <v>-1372.9312726745607</v>
      </c>
      <c r="I1357">
        <f>-648.304509522586 -87.054275425809 -692.784493429525</f>
        <v>-1428.1432783779201</v>
      </c>
      <c r="J1357">
        <f>-679.040914794657 -59.1998140089722 -559.459574415883</f>
        <v>-1297.7003032195123</v>
      </c>
      <c r="K1357" t="s">
        <v>13941</v>
      </c>
      <c r="L1357" t="s">
        <v>13942</v>
      </c>
      <c r="M1357" t="s">
        <v>13943</v>
      </c>
      <c r="N1357">
        <f>-666.740367698324 -113.182188137151 -557.058465687351</f>
        <v>-1336.981021522826</v>
      </c>
      <c r="O1357">
        <f>-638.076923588945 -243.017638847171 -522.135409469848</f>
        <v>-1403.229971905964</v>
      </c>
      <c r="P1357">
        <f>-628.858299878385 -292.492661823698 -232.207112835109</f>
        <v>-1153.5580745371919</v>
      </c>
      <c r="Q1357">
        <f>-476.202738451477 -110.432913737399 -272.224249689294</f>
        <v>-858.85990187816992</v>
      </c>
      <c r="R1357" t="s">
        <v>13944</v>
      </c>
      <c r="S1357" t="s">
        <v>13945</v>
      </c>
      <c r="T1357" t="s">
        <v>13946</v>
      </c>
      <c r="U1357" t="s">
        <v>13947</v>
      </c>
      <c r="V1357">
        <f>-615.841601669081 -144.248668023722 -94.7928080514279</f>
        <v>-854.88307774423083</v>
      </c>
      <c r="W1357" t="s">
        <v>13948</v>
      </c>
      <c r="X1357" t="s">
        <v>13949</v>
      </c>
      <c r="Y1357" t="s">
        <v>13950</v>
      </c>
    </row>
    <row r="1358" spans="1:25" x14ac:dyDescent="0.3">
      <c r="A1358">
        <v>67850</v>
      </c>
      <c r="B1358" t="s">
        <v>13951</v>
      </c>
      <c r="C1358">
        <f>-648.960259588917 -55.4648980431891 -98.4284575973097</f>
        <v>-802.85361522941582</v>
      </c>
      <c r="D1358">
        <f>-665.196215993034 -67.3944450582585 -212.491244208806</f>
        <v>-945.08190526009844</v>
      </c>
      <c r="E1358">
        <f>-671.417815421985 -74.348855000319 -310.672623953863</f>
        <v>-1056.439294376167</v>
      </c>
      <c r="F1358">
        <f>-674.481160504976 -79.6161876664009 -399.560698266915</f>
        <v>-1153.6580464382919</v>
      </c>
      <c r="G1358">
        <f>-674.618208516704 -83.833202293657 -488.5576049755</f>
        <v>-1247.009015785861</v>
      </c>
      <c r="H1358">
        <f>-671.717363140155 -88.6903449323672 -613.011716723326</f>
        <v>-1373.4194247958483</v>
      </c>
      <c r="I1358">
        <f>-648.453529822543 -87.3867275331811 -692.774591473669</f>
        <v>-1428.6148488293932</v>
      </c>
      <c r="J1358">
        <f>-679.136877538908 -59.559847388716 -559.442178240573</f>
        <v>-1298.138903168197</v>
      </c>
      <c r="K1358" t="s">
        <v>13952</v>
      </c>
      <c r="L1358" t="s">
        <v>13953</v>
      </c>
      <c r="M1358" t="s">
        <v>13954</v>
      </c>
      <c r="N1358">
        <f>-666.850966706964 -113.54600502667 -557.049018401977</f>
        <v>-1337.4459901356111</v>
      </c>
      <c r="O1358">
        <f>-638.214097178049 -243.384659130138 -522.125321944315</f>
        <v>-1403.7240782525018</v>
      </c>
      <c r="P1358">
        <f>-628.946419847353 -292.537018401697 -232.143570819708</f>
        <v>-1153.6270090687581</v>
      </c>
      <c r="Q1358">
        <f>-476.32529168843 -110.486507920861 -272.33412021825</f>
        <v>-859.14591982754109</v>
      </c>
      <c r="R1358" t="s">
        <v>13955</v>
      </c>
      <c r="S1358" t="s">
        <v>13956</v>
      </c>
      <c r="T1358" t="s">
        <v>13957</v>
      </c>
      <c r="U1358" t="s">
        <v>13958</v>
      </c>
      <c r="V1358">
        <f>-615.76620112858 -144.607159698916 -94.7805210118967</f>
        <v>-855.15388183939262</v>
      </c>
      <c r="W1358" t="s">
        <v>13959</v>
      </c>
      <c r="X1358" t="s">
        <v>13960</v>
      </c>
      <c r="Y1358" t="s">
        <v>13961</v>
      </c>
    </row>
    <row r="1359" spans="1:25" x14ac:dyDescent="0.3">
      <c r="A1359">
        <v>67900</v>
      </c>
      <c r="B1359" t="s">
        <v>13962</v>
      </c>
      <c r="C1359">
        <f>-648.698757612197 -56.0108021954698 -98.4322712657192</f>
        <v>-803.14183107338602</v>
      </c>
      <c r="D1359">
        <f>-664.978474522604 -67.9568364260058 -212.486956138785</f>
        <v>-945.42226708739474</v>
      </c>
      <c r="E1359">
        <f>-671.27036615461 -74.8973374074703 -310.664875255651</f>
        <v>-1056.8325788177312</v>
      </c>
      <c r="F1359">
        <f>-674.410185474566 -80.1407552538415 -399.551838632039</f>
        <v>-1154.1027793604464</v>
      </c>
      <c r="G1359">
        <f>-674.635688145297 -84.3229002706266 -488.550049013262</f>
        <v>-1247.5086374291857</v>
      </c>
      <c r="H1359">
        <f>-671.871041114076 -89.1195070356148 -613.009676510903</f>
        <v>-1374.0002246605936</v>
      </c>
      <c r="I1359">
        <f>-648.596314550966 -87.6955784869037 -692.767316277767</f>
        <v>-1429.0592093156367</v>
      </c>
      <c r="J1359">
        <f>-679.220020915853 -60.0124103097146 -559.417839546788</f>
        <v>-1298.6502707723555</v>
      </c>
      <c r="K1359" t="s">
        <v>13963</v>
      </c>
      <c r="L1359" t="s">
        <v>13964</v>
      </c>
      <c r="M1359" t="s">
        <v>13965</v>
      </c>
      <c r="N1359">
        <f>-666.955213512615 -114.005048886696 -557.064592595132</f>
        <v>-1338.0248549944431</v>
      </c>
      <c r="O1359">
        <f>-638.308020737578 -243.861430916299 -522.202403383598</f>
        <v>-1404.3718550374751</v>
      </c>
      <c r="P1359">
        <f>-628.799977485202 -292.502361353168 -232.142447426753</f>
        <v>-1153.444786265123</v>
      </c>
      <c r="Q1359">
        <f>-476.295668583574 -110.415600127851 -272.611060859347</f>
        <v>-859.3223295707719</v>
      </c>
      <c r="R1359" t="s">
        <v>13966</v>
      </c>
      <c r="S1359" t="s">
        <v>13967</v>
      </c>
      <c r="T1359" t="s">
        <v>13968</v>
      </c>
      <c r="U1359" t="s">
        <v>13969</v>
      </c>
      <c r="V1359">
        <f>-615.446326240862 -145.155216644286 -94.7832672911476</f>
        <v>-855.38481017629567</v>
      </c>
      <c r="W1359" t="s">
        <v>13970</v>
      </c>
      <c r="X1359" t="s">
        <v>13971</v>
      </c>
      <c r="Y1359" t="s">
        <v>13972</v>
      </c>
    </row>
    <row r="1360" spans="1:25" x14ac:dyDescent="0.3">
      <c r="A1360">
        <v>67950</v>
      </c>
      <c r="B1360" t="s">
        <v>13973</v>
      </c>
      <c r="C1360">
        <f>-648.596462657778 -56.3058107475049 -98.4364023989328</f>
        <v>-803.33867580421577</v>
      </c>
      <c r="D1360">
        <f>-664.876853880868 -68.2537338835596 -212.490834325752</f>
        <v>-945.62142209017952</v>
      </c>
      <c r="E1360">
        <f>-671.180853617909 -75.1791583601027 -310.669064949636</f>
        <v>-1057.0290769276476</v>
      </c>
      <c r="F1360">
        <f>-674.335566834153 -80.4021955226031 -399.556616339618</f>
        <v>-1154.2943786963742</v>
      </c>
      <c r="G1360">
        <f>-674.580335706901 -84.5571627578861 -488.556283155498</f>
        <v>-1247.6937816202851</v>
      </c>
      <c r="H1360">
        <f>-671.846309676926 -89.3087809127444 -613.018138211538</f>
        <v>-1374.1732288012086</v>
      </c>
      <c r="I1360">
        <f>-648.553708169437 -87.8123357986851 -692.769253638052</f>
        <v>-1429.1352976061739</v>
      </c>
      <c r="J1360">
        <f>-679.180612934101 -60.2207309449739 -559.413886630674</f>
        <v>-1298.8152305097487</v>
      </c>
      <c r="K1360" t="s">
        <v>13974</v>
      </c>
      <c r="L1360" t="s">
        <v>13975</v>
      </c>
      <c r="M1360" t="s">
        <v>13976</v>
      </c>
      <c r="N1360">
        <f>-666.918164578839 -114.214868345787 -557.083246354</f>
        <v>-1338.216279278626</v>
      </c>
      <c r="O1360">
        <f>-638.258485184164 -244.075920534635 -522.264265033813</f>
        <v>-1404.598670752612</v>
      </c>
      <c r="P1360">
        <f>-628.6955684934 -292.563491229864 -232.180280319038</f>
        <v>-1153.4393400423019</v>
      </c>
      <c r="Q1360">
        <f>-476.288242968693 -110.421544668115 -272.766467462416</f>
        <v>-859.47625509922398</v>
      </c>
      <c r="R1360" t="s">
        <v>13977</v>
      </c>
      <c r="S1360" t="s">
        <v>13978</v>
      </c>
      <c r="T1360" t="s">
        <v>13979</v>
      </c>
      <c r="U1360" t="s">
        <v>13980</v>
      </c>
      <c r="V1360">
        <f>-615.379380950926 -145.48779874212 -94.7833521583087</f>
        <v>-855.65053185135469</v>
      </c>
      <c r="W1360" t="s">
        <v>13981</v>
      </c>
      <c r="X1360" t="s">
        <v>13982</v>
      </c>
      <c r="Y1360" t="s">
        <v>13983</v>
      </c>
    </row>
    <row r="1361" spans="1:25" x14ac:dyDescent="0.3">
      <c r="A1361">
        <v>68000</v>
      </c>
      <c r="B1361" t="s">
        <v>13984</v>
      </c>
      <c r="C1361">
        <f>-648.48414278424 -56.5420426376813 -98.4400583442499</f>
        <v>-803.46624376617126</v>
      </c>
      <c r="D1361">
        <f>-664.742672005984 -68.4675229131276 -212.499956222756</f>
        <v>-945.71015114186753</v>
      </c>
      <c r="E1361">
        <f>-671.01561300445 -75.3414867208755 -310.683827275746</f>
        <v>-1057.0409270010714</v>
      </c>
      <c r="F1361">
        <f>-674.136813146675 -80.5049344146516 -399.575959304596</f>
        <v>-1154.2177068659225</v>
      </c>
      <c r="G1361">
        <f>-674.342386719908 -84.5869846004441 -488.579142310978</f>
        <v>-1247.5085136313301</v>
      </c>
      <c r="H1361">
        <f>-671.547601745972 -89.2226722434011 -613.043995656236</f>
        <v>-1373.8142696456091</v>
      </c>
      <c r="I1361">
        <f>-648.188741618485 -87.5714766105264 -692.772613733666</f>
        <v>-1428.5328319626774</v>
      </c>
      <c r="J1361">
        <f>-678.90516588955 -60.1839124831042 -559.416224115624</f>
        <v>-1298.5053024882782</v>
      </c>
      <c r="K1361" t="s">
        <v>13985</v>
      </c>
      <c r="L1361" t="s">
        <v>13986</v>
      </c>
      <c r="M1361" t="s">
        <v>13987</v>
      </c>
      <c r="N1361">
        <f>-666.649801752895 -114.181645752874 -557.129966819864</f>
        <v>-1337.9614143256331</v>
      </c>
      <c r="O1361">
        <f>-638.02737488269 -244.069745019833 -522.371946822103</f>
        <v>-1404.4690667246259</v>
      </c>
      <c r="P1361">
        <f>-628.532800001846 -292.269095477124 -232.23775082667</f>
        <v>-1153.03964630564</v>
      </c>
      <c r="Q1361">
        <f>-476.502151408913 -109.83538313605 -272.925418010448</f>
        <v>-859.26295255541095</v>
      </c>
      <c r="R1361" t="s">
        <v>13988</v>
      </c>
      <c r="S1361" t="s">
        <v>13989</v>
      </c>
      <c r="T1361" t="s">
        <v>13990</v>
      </c>
      <c r="U1361" t="s">
        <v>13991</v>
      </c>
      <c r="V1361">
        <f>-615.347326992958 -145.614030855908 -94.7933643522108</f>
        <v>-855.75472220107679</v>
      </c>
      <c r="W1361" t="s">
        <v>13992</v>
      </c>
      <c r="X1361" t="s">
        <v>13993</v>
      </c>
      <c r="Y1361" t="s">
        <v>13994</v>
      </c>
    </row>
    <row r="1362" spans="1:25" x14ac:dyDescent="0.3">
      <c r="A1362">
        <v>68050</v>
      </c>
      <c r="B1362" t="s">
        <v>13995</v>
      </c>
      <c r="C1362">
        <f>-648.466347086359 -56.6770211015566 -98.4497864355426</f>
        <v>-803.59315462345819</v>
      </c>
      <c r="D1362">
        <f>-664.706897604167 -68.5960537344724 -212.512974649482</f>
        <v>-945.81592598812142</v>
      </c>
      <c r="E1362">
        <f>-670.926039808264 -75.4475756420463 -310.701717045223</f>
        <v>-1057.0753324955333</v>
      </c>
      <c r="F1362">
        <f>-673.983146805525 -80.5841909734218 -399.59784331508</f>
        <v>-1154.1651810940268</v>
      </c>
      <c r="G1362">
        <f>-674.108837797373 -84.6334358175391 -488.602419206841</f>
        <v>-1247.3446928217531</v>
      </c>
      <c r="H1362">
        <f>-671.185859792362 -89.2170502677279 -613.066303192256</f>
        <v>-1373.469213252346</v>
      </c>
      <c r="I1362">
        <f>-647.775001944293 -87.4857995048499 -692.778043905482</f>
        <v>-1428.0388453546248</v>
      </c>
      <c r="J1362">
        <f>-678.589537720009 -60.198690549091 -559.433978688479</f>
        <v>-1298.2222069575791</v>
      </c>
      <c r="K1362" t="s">
        <v>13996</v>
      </c>
      <c r="L1362" t="s">
        <v>13997</v>
      </c>
      <c r="M1362" t="s">
        <v>13998</v>
      </c>
      <c r="N1362">
        <f>-666.354649539743 -114.201400603197 -557.157880722051</f>
        <v>-1337.7139308649912</v>
      </c>
      <c r="O1362">
        <f>-637.802802885232 -244.097358978225 -522.390238292322</f>
        <v>-1404.290400155779</v>
      </c>
      <c r="P1362">
        <f>-628.473489686034 -291.950166564899 -232.193238418933</f>
        <v>-1152.6168946698658</v>
      </c>
      <c r="Q1362">
        <f>-476.42012376744 -109.549737414436 -272.945031994716</f>
        <v>-858.91489317659193</v>
      </c>
      <c r="R1362" t="s">
        <v>13999</v>
      </c>
      <c r="S1362" t="s">
        <v>14000</v>
      </c>
      <c r="T1362" t="s">
        <v>14001</v>
      </c>
      <c r="U1362" t="s">
        <v>14002</v>
      </c>
      <c r="V1362">
        <f>-615.36243606013 -145.784687816994 -94.8014993126366</f>
        <v>-855.9486231897605</v>
      </c>
      <c r="W1362" t="s">
        <v>14003</v>
      </c>
      <c r="X1362" t="s">
        <v>14004</v>
      </c>
      <c r="Y1362" t="s">
        <v>14005</v>
      </c>
    </row>
    <row r="1363" spans="1:25" x14ac:dyDescent="0.3">
      <c r="A1363">
        <v>68100</v>
      </c>
      <c r="B1363" t="s">
        <v>14006</v>
      </c>
      <c r="C1363">
        <f>-648.432155909594 -56.9806361228489 -98.47533634873</f>
        <v>-803.88812838117292</v>
      </c>
      <c r="D1363">
        <f>-664.62669548405 -68.8752109726624 -212.547571512469</f>
        <v>-946.04947796918145</v>
      </c>
      <c r="E1363">
        <f>-670.738916857318 -75.7133897122894 -310.744041158087</f>
        <v>-1057.1963477276945</v>
      </c>
      <c r="F1363">
        <f>-673.672092309313 -80.8418408453761 -399.644697209517</f>
        <v>-1154.1586303642061</v>
      </c>
      <c r="G1363">
        <f>-673.646512475872 -84.8882514642278 -488.649618641162</f>
        <v>-1247.1843825812618</v>
      </c>
      <c r="H1363">
        <f>-670.483606618003 -89.4744485685305 -613.107528056769</f>
        <v>-1373.0655832433026</v>
      </c>
      <c r="I1363">
        <f>-646.968127309542 -87.6372901666405 -692.786045428054</f>
        <v>-1427.3914629042365</v>
      </c>
      <c r="J1363">
        <f>-677.958222037724 -60.4476476436864 -559.489669708377</f>
        <v>-1297.8955393897875</v>
      </c>
      <c r="K1363" t="s">
        <v>14007</v>
      </c>
      <c r="L1363" t="s">
        <v>14008</v>
      </c>
      <c r="M1363" t="s">
        <v>14009</v>
      </c>
      <c r="N1363">
        <f>-665.792800503752 -114.465054647917 -557.189892641924</f>
        <v>-1337.447747793593</v>
      </c>
      <c r="O1363">
        <f>-637.372019429156 -244.37934824334 -522.363707505052</f>
        <v>-1404.1150751775481</v>
      </c>
      <c r="P1363">
        <f>-628.434184141068 -291.82400858818 -232.087362060198</f>
        <v>-1152.3455547894462</v>
      </c>
      <c r="Q1363">
        <f>-476.429213992355 -109.344954793352 -272.667719440532</f>
        <v>-858.44188822623903</v>
      </c>
      <c r="R1363" t="s">
        <v>14010</v>
      </c>
      <c r="S1363" t="s">
        <v>14011</v>
      </c>
      <c r="T1363" t="s">
        <v>14012</v>
      </c>
      <c r="U1363" t="s">
        <v>14013</v>
      </c>
      <c r="V1363">
        <f>-615.393152952644 -146.177777060956 -94.8189314789668</f>
        <v>-856.38986149256675</v>
      </c>
      <c r="W1363" t="s">
        <v>14014</v>
      </c>
      <c r="X1363" t="s">
        <v>14015</v>
      </c>
      <c r="Y1363" t="s">
        <v>14016</v>
      </c>
    </row>
    <row r="1364" spans="1:25" x14ac:dyDescent="0.3">
      <c r="A1364">
        <v>68150</v>
      </c>
      <c r="B1364" t="s">
        <v>14017</v>
      </c>
      <c r="C1364">
        <f>-648.373762701567 -57.0865995675388 -98.4822430013936</f>
        <v>-803.94260527049937</v>
      </c>
      <c r="D1364">
        <f>-664.536355438559 -68.9731191795811 -212.559823091219</f>
        <v>-946.06929770935903</v>
      </c>
      <c r="E1364">
        <f>-670.604717387609 -75.8038881156008 -310.759472357432</f>
        <v>-1057.1680778606417</v>
      </c>
      <c r="F1364">
        <f>-673.491624098162 -80.9257528364037 -399.662150304585</f>
        <v>-1154.0795272391506</v>
      </c>
      <c r="G1364">
        <f>-673.413099518782 -84.9657052622167 -488.667246698288</f>
        <v>-1247.0460514792867</v>
      </c>
      <c r="H1364">
        <f>-670.169031832844 -89.5438074739006 -613.123424658398</f>
        <v>-1372.8362639651427</v>
      </c>
      <c r="I1364">
        <f>-646.611965963835 -87.6807679689407 -692.789120880666</f>
        <v>-1427.0818548134416</v>
      </c>
      <c r="J1364">
        <f>-677.665767028263 -60.5175613222666 -559.508323100569</f>
        <v>-1297.6916514510986</v>
      </c>
      <c r="K1364" t="s">
        <v>14018</v>
      </c>
      <c r="L1364" t="s">
        <v>14019</v>
      </c>
      <c r="M1364" t="s">
        <v>14020</v>
      </c>
      <c r="N1364">
        <f>-665.527461916257 -114.540968305632 -557.204519698553</f>
        <v>-1337.272949920442</v>
      </c>
      <c r="O1364">
        <f>-637.184427490097 -244.471610383454 -522.377662421662</f>
        <v>-1404.0337002952128</v>
      </c>
      <c r="P1364">
        <f>-628.399679708771 -291.678388943511 -232.057789721804</f>
        <v>-1152.135858374086</v>
      </c>
      <c r="Q1364">
        <f>-475.513441537045 -109.778819787019 -271.922318245356</f>
        <v>-857.21457956942004</v>
      </c>
      <c r="R1364" t="s">
        <v>14021</v>
      </c>
      <c r="S1364" t="s">
        <v>14022</v>
      </c>
      <c r="T1364" t="s">
        <v>14023</v>
      </c>
      <c r="U1364" t="s">
        <v>14024</v>
      </c>
      <c r="V1364">
        <f>-615.405053071665 -146.259491362061 -94.8168873763772</f>
        <v>-856.48143181010312</v>
      </c>
      <c r="W1364" t="s">
        <v>14025</v>
      </c>
      <c r="X1364" t="s">
        <v>14026</v>
      </c>
      <c r="Y1364" t="s">
        <v>14027</v>
      </c>
    </row>
    <row r="1365" spans="1:25" x14ac:dyDescent="0.3">
      <c r="A1365">
        <v>68200</v>
      </c>
      <c r="B1365" t="s">
        <v>14028</v>
      </c>
      <c r="C1365">
        <f>-648.17994289277 -57.0329380637932 -98.4915473533906</f>
        <v>-803.70442830995376</v>
      </c>
      <c r="D1365">
        <f>-664.282189146075 -68.8770372509578 -212.582168349035</f>
        <v>-945.74139474606773</v>
      </c>
      <c r="E1365">
        <f>-670.260495077533 -75.6668881580438 -310.790117454575</f>
        <v>-1056.7175006901518</v>
      </c>
      <c r="F1365">
        <f>-673.050692996194 -80.7497697589527 -399.698103759953</f>
        <v>-1153.4985665150998</v>
      </c>
      <c r="G1365">
        <f>-672.860269793368 -84.7498292668104 -488.704785151873</f>
        <v>-1246.3148842120513</v>
      </c>
      <c r="H1365">
        <f>-669.443418572871 -89.2712139575847 -613.158488523058</f>
        <v>-1371.8731210535138</v>
      </c>
      <c r="I1365">
        <f>-645.763479575706 -87.3741902127776 -692.786911005216</f>
        <v>-1425.9245807936995</v>
      </c>
      <c r="J1365">
        <f>-676.994856465574 -60.2649094237408 -559.540133430345</f>
        <v>-1296.7998993196597</v>
      </c>
      <c r="K1365" t="s">
        <v>14029</v>
      </c>
      <c r="L1365" t="s">
        <v>14030</v>
      </c>
      <c r="M1365" t="s">
        <v>14031</v>
      </c>
      <c r="N1365">
        <f>-664.899202810055 -114.298145156828 -557.245107318886</f>
        <v>-1336.442455285769</v>
      </c>
      <c r="O1365">
        <f>-636.663769088113 -244.253266822201 -522.411815526146</f>
        <v>-1403.3288514364599</v>
      </c>
      <c r="P1365">
        <f>-628.012057029522 -291.448235215494 -232.0861163666</f>
        <v>-1151.546408611616</v>
      </c>
      <c r="Q1365">
        <f>-475.424630874839 -109.066767977848 -270.878972915055</f>
        <v>-855.37037176774197</v>
      </c>
      <c r="R1365" t="s">
        <v>14032</v>
      </c>
      <c r="S1365" t="s">
        <v>14033</v>
      </c>
      <c r="T1365" t="s">
        <v>14034</v>
      </c>
      <c r="U1365" t="s">
        <v>14035</v>
      </c>
      <c r="V1365">
        <f>-615.277029165278 -146.152914549038 -94.8249400735498</f>
        <v>-856.25488378786577</v>
      </c>
      <c r="W1365" t="s">
        <v>14036</v>
      </c>
      <c r="X1365" t="s">
        <v>14037</v>
      </c>
      <c r="Y1365" t="s">
        <v>14038</v>
      </c>
    </row>
    <row r="1366" spans="1:25" x14ac:dyDescent="0.3">
      <c r="A1366">
        <v>68250</v>
      </c>
      <c r="B1366" t="s">
        <v>14039</v>
      </c>
      <c r="C1366">
        <f>-648.061013861899 -57.1472270036709 -98.4908969942747</f>
        <v>-803.69913785984465</v>
      </c>
      <c r="D1366">
        <f>-664.1414411079 -68.9705909377674 -212.586757481081</f>
        <v>-945.69878952674844</v>
      </c>
      <c r="E1366">
        <f>-670.071509330793 -75.7422092626407 -310.798914309029</f>
        <v>-1056.6126329024628</v>
      </c>
      <c r="F1366">
        <f>-672.806390303548 -80.8089965735692 -399.709470785105</f>
        <v>-1153.3248576622223</v>
      </c>
      <c r="G1366">
        <f>-672.548733893275 -84.7934917681935 -488.716804351524</f>
        <v>-1246.0590300129925</v>
      </c>
      <c r="H1366">
        <f>-669.025567116811 -89.2938232261636 -613.168016643969</f>
        <v>-1371.4874069869436</v>
      </c>
      <c r="I1366">
        <f>-645.28098073949 -87.3793066591468 -692.776888133343</f>
        <v>-1425.4371755319798</v>
      </c>
      <c r="J1366">
        <f>-676.619270856211 -60.2958362489949 -559.551280519155</f>
        <v>-1296.4663876243608</v>
      </c>
      <c r="K1366" t="s">
        <v>14040</v>
      </c>
      <c r="L1366" t="s">
        <v>14041</v>
      </c>
      <c r="M1366" t="s">
        <v>14042</v>
      </c>
      <c r="N1366">
        <f>-664.53238130052 -114.331106641893 -557.255165410828</f>
        <v>-1336.1186533532409</v>
      </c>
      <c r="O1366">
        <f>-636.34598418377 -244.286626456761 -522.414774466816</f>
        <v>-1403.0473851073471</v>
      </c>
      <c r="P1366">
        <f>-627.688300526833 -291.382953308423 -232.073242672417</f>
        <v>-1151.144496507673</v>
      </c>
      <c r="Q1366">
        <f>-475.009933912273 -109.090673131241 -270.928678957185</f>
        <v>-855.02928600069913</v>
      </c>
      <c r="R1366" t="s">
        <v>14043</v>
      </c>
      <c r="S1366" t="s">
        <v>14044</v>
      </c>
      <c r="T1366" t="s">
        <v>14045</v>
      </c>
      <c r="U1366" t="s">
        <v>14046</v>
      </c>
      <c r="V1366">
        <f>-615.18629175775 -146.355063096092 -94.8284295612876</f>
        <v>-856.36978441512963</v>
      </c>
      <c r="W1366" t="s">
        <v>14047</v>
      </c>
      <c r="X1366" t="s">
        <v>14048</v>
      </c>
      <c r="Y1366" t="s">
        <v>14049</v>
      </c>
    </row>
    <row r="1367" spans="1:25" x14ac:dyDescent="0.3">
      <c r="A1367">
        <v>68300</v>
      </c>
      <c r="B1367" t="s">
        <v>14050</v>
      </c>
      <c r="C1367">
        <f>-647.721920989052 -57.2898085945988 -98.4871690740326</f>
        <v>-803.49889865768341</v>
      </c>
      <c r="D1367">
        <f>-663.755601567742 -69.1024952847301 -212.590666174858</f>
        <v>-945.44876302733019</v>
      </c>
      <c r="E1367">
        <f>-669.610937999166 -75.8469424932625 -310.809152152775</f>
        <v>-1056.2670326452035</v>
      </c>
      <c r="F1367">
        <f>-672.264060516205 -80.8820549905154 -399.724071811061</f>
        <v>-1152.8701873177813</v>
      </c>
      <c r="G1367">
        <f>-671.910020680887 -84.828406172101 -488.732772085045</f>
        <v>-1245.471198938033</v>
      </c>
      <c r="H1367">
        <f>-668.237280381878 -89.2683487719073 -613.18188802907</f>
        <v>-1370.6875171828553</v>
      </c>
      <c r="I1367">
        <f>-644.428009717827 -87.2795942518794 -692.769540560152</f>
        <v>-1424.4771445298584</v>
      </c>
      <c r="J1367">
        <f>-675.90236828397 -60.2979131846485 -559.560396619327</f>
        <v>-1295.7606780879455</v>
      </c>
      <c r="K1367" t="s">
        <v>14051</v>
      </c>
      <c r="L1367" t="s">
        <v>14052</v>
      </c>
      <c r="M1367" t="s">
        <v>14053</v>
      </c>
      <c r="N1367">
        <f>-663.804713240436 -114.331144184766 -557.275581593063</f>
        <v>-1335.4114390182649</v>
      </c>
      <c r="O1367">
        <f>-635.625757803451 -244.287953201987 -522.407041841794</f>
        <v>-1402.3207528472321</v>
      </c>
      <c r="P1367">
        <f>-626.995374213443 -291.572603117551 -232.095269088756</f>
        <v>-1150.6632464197501</v>
      </c>
      <c r="Q1367">
        <f>-474.334272330437 -109.212657793694 -270.699327682158</f>
        <v>-854.24625780628901</v>
      </c>
      <c r="R1367" t="s">
        <v>14054</v>
      </c>
      <c r="S1367" t="s">
        <v>14055</v>
      </c>
      <c r="T1367" t="s">
        <v>14056</v>
      </c>
      <c r="U1367" t="s">
        <v>14057</v>
      </c>
      <c r="V1367">
        <f>-614.811941372262 -146.525935840667 -94.8187673750454</f>
        <v>-856.15664458797437</v>
      </c>
      <c r="W1367" t="s">
        <v>14058</v>
      </c>
      <c r="X1367" t="s">
        <v>14059</v>
      </c>
      <c r="Y1367" t="s">
        <v>14060</v>
      </c>
    </row>
    <row r="1368" spans="1:25" x14ac:dyDescent="0.3">
      <c r="A1368">
        <v>68350</v>
      </c>
      <c r="B1368" t="s">
        <v>14061</v>
      </c>
      <c r="C1368">
        <f>-647.517526925055 -57.3942975079667 -98.4785647393114</f>
        <v>-803.39038917233313</v>
      </c>
      <c r="D1368">
        <f>-663.544342901578 -69.1980283542366 -212.583864331017</f>
        <v>-945.32623558683167</v>
      </c>
      <c r="E1368">
        <f>-669.385541988345 -75.9419599790656 -310.803345613981</f>
        <v>-1056.1308475813917</v>
      </c>
      <c r="F1368">
        <f>-672.022516692345 -80.9799325176596 -399.718637515814</f>
        <v>-1152.7210867258186</v>
      </c>
      <c r="G1368">
        <f>-671.649176736101 -84.9322569445731 -488.726766733347</f>
        <v>-1245.308200414021</v>
      </c>
      <c r="H1368">
        <f>-667.946184253777 -89.384165119347 -613.174692759035</f>
        <v>-1370.5050421321589</v>
      </c>
      <c r="I1368">
        <f>-644.162580303882 -87.3774470856847 -692.769584373504</f>
        <v>-1424.3096117630707</v>
      </c>
      <c r="J1368">
        <f>-675.626926186152 -60.4092196006834 -559.557896064713</f>
        <v>-1295.5940418515484</v>
      </c>
      <c r="K1368" t="s">
        <v>14062</v>
      </c>
      <c r="L1368" t="s">
        <v>14063</v>
      </c>
      <c r="M1368" t="s">
        <v>14064</v>
      </c>
      <c r="N1368">
        <f>-663.524436479281 -114.440988386313 -557.264855169488</f>
        <v>-1335.2302800350822</v>
      </c>
      <c r="O1368">
        <f>-635.296452540349 -244.363103349313 -522.344382757174</f>
        <v>-1402.0039386468361</v>
      </c>
      <c r="P1368">
        <f>-626.760367644873 -291.545195202404 -232.013124925229</f>
        <v>-1150.3186877725059</v>
      </c>
      <c r="Q1368">
        <f>-474.014091023046 -109.209170101148 -270.39378500805</f>
        <v>-853.61704613224401</v>
      </c>
      <c r="R1368" t="s">
        <v>14065</v>
      </c>
      <c r="S1368" t="s">
        <v>14066</v>
      </c>
      <c r="T1368" t="s">
        <v>14067</v>
      </c>
      <c r="U1368" t="s">
        <v>14068</v>
      </c>
      <c r="V1368">
        <f>-614.661447222126 -146.6052042414 -94.8173258320226</f>
        <v>-856.08397729554849</v>
      </c>
      <c r="W1368" t="s">
        <v>14069</v>
      </c>
      <c r="X1368" t="s">
        <v>14070</v>
      </c>
      <c r="Y1368" t="s">
        <v>14071</v>
      </c>
    </row>
    <row r="1369" spans="1:25" x14ac:dyDescent="0.3">
      <c r="A1369">
        <v>68400</v>
      </c>
      <c r="B1369" t="s">
        <v>14072</v>
      </c>
      <c r="C1369">
        <f>-647.111428174903 -57.5321034790056 -98.4714911489314</f>
        <v>-803.11502280284003</v>
      </c>
      <c r="D1369">
        <f>-663.088177776666 -69.3124094227455 -212.586259635268</f>
        <v>-944.98684683467957</v>
      </c>
      <c r="E1369">
        <f>-668.906529685353 -76.0607489968488 -310.806676009833</f>
        <v>-1055.7739546920347</v>
      </c>
      <c r="F1369">
        <f>-671.53157320754 -81.1119369671239 -399.721573474257</f>
        <v>-1152.365083648921</v>
      </c>
      <c r="G1369">
        <f>-671.155172161333 -85.0863929258303 -488.72890283086</f>
        <v>-1244.9704679180234</v>
      </c>
      <c r="H1369">
        <f>-667.457556097243 -89.5784685793283 -613.175416052057</f>
        <v>-1370.2114407286283</v>
      </c>
      <c r="I1369">
        <f>-643.843667987012 -87.5827492881524 -692.821045290775</f>
        <v>-1424.2474625659395</v>
      </c>
      <c r="J1369">
        <f>-675.146027166925 -60.5884000474421 -559.567882055557</f>
        <v>-1295.3023092699241</v>
      </c>
      <c r="K1369" t="s">
        <v>14073</v>
      </c>
      <c r="L1369" t="s">
        <v>14074</v>
      </c>
      <c r="M1369" t="s">
        <v>14075</v>
      </c>
      <c r="N1369">
        <f>-663.023416993843 -114.614954861849 -557.25746651117</f>
        <v>-1334.8958383668621</v>
      </c>
      <c r="O1369">
        <f>-634.646917621253 -244.486087245135 -522.236030954905</f>
        <v>-1401.369035821293</v>
      </c>
      <c r="P1369">
        <f>-626.21684079878 -291.379622378917 -231.854964440156</f>
        <v>-1149.4514276178531</v>
      </c>
      <c r="Q1369">
        <f>-473.627366169346 -108.727160972372 -269.343748659886</f>
        <v>-851.69827580160404</v>
      </c>
      <c r="R1369" t="s">
        <v>14076</v>
      </c>
      <c r="S1369" t="s">
        <v>14077</v>
      </c>
      <c r="T1369" t="s">
        <v>14078</v>
      </c>
      <c r="U1369" t="s">
        <v>14079</v>
      </c>
      <c r="V1369">
        <f>-614.289543735466 -146.769246910279 -94.8136095779164</f>
        <v>-855.87240022366143</v>
      </c>
      <c r="W1369" t="s">
        <v>14080</v>
      </c>
      <c r="X1369" t="s">
        <v>14081</v>
      </c>
      <c r="Y1369" t="s">
        <v>14082</v>
      </c>
    </row>
    <row r="1370" spans="1:25" x14ac:dyDescent="0.3">
      <c r="A1370">
        <v>68450</v>
      </c>
      <c r="B1370" t="s">
        <v>14083</v>
      </c>
      <c r="C1370">
        <f>-646.900710351817 -57.6502428141978 -98.4674785197336</f>
        <v>-803.0184316857484</v>
      </c>
      <c r="D1370">
        <f>-662.843360857155 -69.4167206741042 -212.588480061706</f>
        <v>-944.84856159296521</v>
      </c>
      <c r="E1370">
        <f>-668.646692116901 -76.1717375975206 -310.809380467316</f>
        <v>-1055.6278101817377</v>
      </c>
      <c r="F1370">
        <f>-671.264126104345 -81.2364387891689 -399.723725215564</f>
        <v>-1152.2242901090779</v>
      </c>
      <c r="G1370">
        <f>-670.886673857687 -85.2311020402644 -488.730109274484</f>
        <v>-1244.8478851724353</v>
      </c>
      <c r="H1370">
        <f>-667.194440356183 -89.7584454254386 -613.175573452446</f>
        <v>-1370.1284592340676</v>
      </c>
      <c r="I1370">
        <f>-643.685023991209 -87.7685608120325 -692.85223138229</f>
        <v>-1424.3058161855315</v>
      </c>
      <c r="J1370">
        <f>-674.888445952341 -60.7550332853002 -559.575991406963</f>
        <v>-1295.2194706446044</v>
      </c>
      <c r="K1370" t="s">
        <v>14084</v>
      </c>
      <c r="L1370" t="s">
        <v>14085</v>
      </c>
      <c r="M1370" t="s">
        <v>14086</v>
      </c>
      <c r="N1370">
        <f>-662.750061796581 -114.777350829531 -557.250469116252</f>
        <v>-1334.7778817423641</v>
      </c>
      <c r="O1370">
        <f>-634.282502799402 -244.610489862239 -522.167042903587</f>
        <v>-1401.060035565228</v>
      </c>
      <c r="P1370">
        <f>-625.939102255254 -291.26183037902 -231.744630630254</f>
        <v>-1148.9455632645281</v>
      </c>
      <c r="Q1370">
        <f>-473.446429043231 -108.430465068838 -268.752395135468</f>
        <v>-850.62928924753692</v>
      </c>
      <c r="R1370" t="s">
        <v>14087</v>
      </c>
      <c r="S1370" t="s">
        <v>14088</v>
      </c>
      <c r="T1370" t="s">
        <v>14089</v>
      </c>
      <c r="U1370" t="s">
        <v>14090</v>
      </c>
      <c r="V1370">
        <f>-614.113375790661 -146.889946504488 -94.8146195184194</f>
        <v>-855.81794181356838</v>
      </c>
      <c r="W1370" t="s">
        <v>14091</v>
      </c>
      <c r="X1370" t="s">
        <v>14092</v>
      </c>
      <c r="Y1370" t="s">
        <v>14093</v>
      </c>
    </row>
    <row r="1371" spans="1:25" x14ac:dyDescent="0.3">
      <c r="A1371">
        <v>68500</v>
      </c>
      <c r="B1371" t="s">
        <v>14094</v>
      </c>
      <c r="C1371">
        <f>-646.480894246928 -57.5475420321782 -98.452338171532</f>
        <v>-802.48077445063814</v>
      </c>
      <c r="D1371">
        <f>-662.389060095625 -69.3087958379658 -212.578643111265</f>
        <v>-944.27649904485588</v>
      </c>
      <c r="E1371">
        <f>-668.20191896954 -76.0808489763308 -310.797817257543</f>
        <v>-1055.0805852034136</v>
      </c>
      <c r="F1371">
        <f>-670.844308501291 -81.1683881280539 -399.709999385241</f>
        <v>-1151.7226960145861</v>
      </c>
      <c r="G1371">
        <f>-670.508266800642 -85.1928577729923 -488.715308447593</f>
        <v>-1244.4164330212272</v>
      </c>
      <c r="H1371">
        <f>-666.891856190681 -89.7680711841297 -613.161230913322</f>
        <v>-1369.8211582881327</v>
      </c>
      <c r="I1371">
        <f>-643.616451539945 -87.7818807994088 -692.906718020664</f>
        <v>-1424.305050360018</v>
      </c>
      <c r="J1371">
        <f>-674.574037270438 -60.7487347573101 -559.568559850685</f>
        <v>-1294.891331878433</v>
      </c>
      <c r="K1371" t="s">
        <v>14095</v>
      </c>
      <c r="L1371" t="s">
        <v>14096</v>
      </c>
      <c r="M1371" t="s">
        <v>14097</v>
      </c>
      <c r="N1371">
        <f>-662.392546984161 -114.760874336909 -557.228908710968</f>
        <v>-1334.3823300320378</v>
      </c>
      <c r="O1371">
        <f>-633.750436653046 -244.528264105272 -522.037359100653</f>
        <v>-1400.3160598589711</v>
      </c>
      <c r="P1371">
        <f>-625.403221177541 -290.719897420061 -231.541386692211</f>
        <v>-1147.664505289813</v>
      </c>
      <c r="Q1371">
        <f>-472.989508580289 -107.722164746284 -268.048533311274</f>
        <v>-848.76020663784698</v>
      </c>
      <c r="R1371" t="s">
        <v>14098</v>
      </c>
      <c r="S1371" t="s">
        <v>14099</v>
      </c>
      <c r="T1371" t="s">
        <v>14100</v>
      </c>
      <c r="U1371" t="s">
        <v>14101</v>
      </c>
      <c r="V1371">
        <f>-613.670883131436 -146.781949016036 -94.8095033458854</f>
        <v>-855.26233549335745</v>
      </c>
      <c r="W1371" t="s">
        <v>14102</v>
      </c>
      <c r="X1371" t="s">
        <v>14103</v>
      </c>
      <c r="Y1371" t="s">
        <v>14104</v>
      </c>
    </row>
    <row r="1372" spans="1:25" x14ac:dyDescent="0.3">
      <c r="A1372">
        <v>68550</v>
      </c>
      <c r="B1372" t="s">
        <v>14105</v>
      </c>
      <c r="C1372">
        <f>-646.247709437303 -57.4115041804018 -98.4554378017135</f>
        <v>-802.11465141941835</v>
      </c>
      <c r="D1372">
        <f>-662.152202862372 -69.1814618531521 -212.581353131538</f>
        <v>-943.91501784706202</v>
      </c>
      <c r="E1372">
        <f>-667.988785298039 -75.9654292430912 -310.798307834144</f>
        <v>-1054.7525223752741</v>
      </c>
      <c r="F1372">
        <f>-670.66331654963 -81.0654022652909 -399.708818949924</f>
        <v>-1151.437537764845</v>
      </c>
      <c r="G1372">
        <f>-670.370713130778 -85.1031673036398 -488.713629593864</f>
        <v>-1244.1875100282818</v>
      </c>
      <c r="H1372">
        <f>-666.826182898363 -89.6979540522568 -613.160961074339</f>
        <v>-1369.6850980249587</v>
      </c>
      <c r="I1372">
        <f>-643.639811370294 -87.7170476207077 -692.932531628809</f>
        <v>-1424.2893906198105</v>
      </c>
      <c r="J1372">
        <f>-674.490006359103 -60.6729868160835 -559.568702389431</f>
        <v>-1294.7316955646174</v>
      </c>
      <c r="K1372" t="s">
        <v>14106</v>
      </c>
      <c r="L1372" t="s">
        <v>14107</v>
      </c>
      <c r="M1372" t="s">
        <v>14108</v>
      </c>
      <c r="N1372">
        <f>-662.281809954659 -114.679040414702 -557.227078470952</f>
        <v>-1334.1879288403129</v>
      </c>
      <c r="O1372">
        <f>-633.553479995486 -244.428071991195 -522.03483559279</f>
        <v>-1400.016387579471</v>
      </c>
      <c r="P1372">
        <f>-625.032762198146 -290.502492453426 -231.525428057955</f>
        <v>-1147.0606827095269</v>
      </c>
      <c r="Q1372">
        <f>-472.742319666528 -107.389049987947 -267.967191300494</f>
        <v>-848.09856095496889</v>
      </c>
      <c r="R1372" t="s">
        <v>14109</v>
      </c>
      <c r="S1372" t="s">
        <v>14110</v>
      </c>
      <c r="T1372" t="s">
        <v>14111</v>
      </c>
      <c r="U1372" t="s">
        <v>14112</v>
      </c>
      <c r="V1372">
        <f>-613.36984876661 -146.639548312291 -94.8109138890305</f>
        <v>-854.8203109679315</v>
      </c>
      <c r="W1372" t="s">
        <v>14113</v>
      </c>
      <c r="X1372" t="s">
        <v>14114</v>
      </c>
      <c r="Y1372" t="s">
        <v>14115</v>
      </c>
    </row>
    <row r="1373" spans="1:25" x14ac:dyDescent="0.3">
      <c r="A1373">
        <v>68600</v>
      </c>
      <c r="B1373" t="s">
        <v>14116</v>
      </c>
      <c r="C1373">
        <f>-645.662795860487 -57.4342256853695 -98.4612706170147</f>
        <v>-801.55829216287123</v>
      </c>
      <c r="D1373">
        <f>-661.56708030918 -69.2546266556344 -212.582052019705</f>
        <v>-943.40375898451941</v>
      </c>
      <c r="E1373">
        <f>-667.481454834195 -76.059571205886 -310.792844027239</f>
        <v>-1054.33387006732</v>
      </c>
      <c r="F1373">
        <f>-670.257040606158 -81.1694177234797 -399.699705194864</f>
        <v>-1151.1261635245016</v>
      </c>
      <c r="G1373">
        <f>-670.095749774654 -85.2066436921718 -488.704950038812</f>
        <v>-1244.0073435056379</v>
      </c>
      <c r="H1373">
        <f>-666.766984747594 -89.7892572300116 -613.158601431607</f>
        <v>-1369.7148434092128</v>
      </c>
      <c r="I1373">
        <f>-643.697431316671 -87.8055341405479 -692.963912811063</f>
        <v>-1424.466878268282</v>
      </c>
      <c r="J1373">
        <f>-674.369324044262 -60.7766651859331 -559.550961506683</f>
        <v>-1294.6969507368781</v>
      </c>
      <c r="K1373" t="s">
        <v>14117</v>
      </c>
      <c r="L1373" t="s">
        <v>14118</v>
      </c>
      <c r="M1373" t="s">
        <v>14119</v>
      </c>
      <c r="N1373">
        <f>-662.094472239677 -114.768639708825 -557.234491727706</f>
        <v>-1334.0976036762081</v>
      </c>
      <c r="O1373">
        <f>-633.152838367082 -244.48032897701 -522.09997501352</f>
        <v>-1399.733142357612</v>
      </c>
      <c r="P1373">
        <f>-624.139249463066 -290.799194237059 -231.644341223618</f>
        <v>-1146.582784923743</v>
      </c>
      <c r="Q1373">
        <f>-472.260515799279 -107.322881831488 -267.978066801089</f>
        <v>-847.56146443185594</v>
      </c>
      <c r="R1373" t="s">
        <v>14120</v>
      </c>
      <c r="S1373" t="s">
        <v>14121</v>
      </c>
      <c r="T1373" t="s">
        <v>14122</v>
      </c>
      <c r="U1373" t="s">
        <v>14123</v>
      </c>
      <c r="V1373">
        <f>-612.657889383621 -146.689442127128 -94.7965140660315</f>
        <v>-854.14384557678045</v>
      </c>
      <c r="W1373" t="s">
        <v>14124</v>
      </c>
      <c r="X1373" t="s">
        <v>14125</v>
      </c>
      <c r="Y1373" t="s">
        <v>14126</v>
      </c>
    </row>
    <row r="1374" spans="1:25" x14ac:dyDescent="0.3">
      <c r="A1374">
        <v>68650</v>
      </c>
      <c r="B1374" t="s">
        <v>14127</v>
      </c>
      <c r="C1374">
        <f>-645.426205302758 -57.4435037835851 -98.4653402912064</f>
        <v>-801.33504937754958</v>
      </c>
      <c r="D1374">
        <f>-661.351196080585 -69.2957707187325 -212.579916270278</f>
        <v>-943.22688306959549</v>
      </c>
      <c r="E1374">
        <f>-667.308933392275 -76.1204266383616 -310.786756977963</f>
        <v>-1054.2161170085997</v>
      </c>
      <c r="F1374">
        <f>-670.133571715456 -81.2450401142276 -399.69129927147</f>
        <v>-1151.0699111011536</v>
      </c>
      <c r="G1374">
        <f>-670.031661984929 -85.2942042267734 -488.696010473465</f>
        <v>-1244.0218766851674</v>
      </c>
      <c r="H1374">
        <f>-666.795412686474 -89.89028249943 -613.151598585576</f>
        <v>-1369.8372937714801</v>
      </c>
      <c r="I1374">
        <f>-643.748838959164 -87.8986631277944 -692.963386270101</f>
        <v>-1424.6108883570594</v>
      </c>
      <c r="J1374">
        <f>-674.370876886024 -60.8749228878553 -559.541544233161</f>
        <v>-1294.7873440070402</v>
      </c>
      <c r="K1374" t="s">
        <v>14128</v>
      </c>
      <c r="L1374" t="s">
        <v>14129</v>
      </c>
      <c r="M1374" t="s">
        <v>14130</v>
      </c>
      <c r="N1374">
        <f>-662.068109665793 -114.860583208409 -557.228158930178</f>
        <v>-1334.15685180438</v>
      </c>
      <c r="O1374">
        <f>-633.047527042768 -244.555136349571 -522.101339914638</f>
        <v>-1399.704003306977</v>
      </c>
      <c r="P1374">
        <f>-623.833528942723 -290.748191828588 -231.63195488733</f>
        <v>-1146.213675658641</v>
      </c>
      <c r="Q1374">
        <f>-471.973080626674 -107.267802174601 -268.021710940634</f>
        <v>-847.26259374190909</v>
      </c>
      <c r="R1374" t="s">
        <v>14131</v>
      </c>
      <c r="S1374" t="s">
        <v>14132</v>
      </c>
      <c r="T1374" t="s">
        <v>14133</v>
      </c>
      <c r="U1374" t="s">
        <v>14134</v>
      </c>
      <c r="V1374">
        <f>-612.368115258403 -146.713276021142 -94.7920679118106</f>
        <v>-853.87345919135555</v>
      </c>
      <c r="W1374" t="s">
        <v>14135</v>
      </c>
      <c r="X1374" t="s">
        <v>14136</v>
      </c>
      <c r="Y1374" t="s">
        <v>14137</v>
      </c>
    </row>
    <row r="1375" spans="1:25" x14ac:dyDescent="0.3">
      <c r="A1375">
        <v>68700</v>
      </c>
      <c r="B1375" t="s">
        <v>14138</v>
      </c>
      <c r="C1375">
        <f>-645.048006056282 -57.6770011000424 -98.4781091157164</f>
        <v>-801.2031162720408</v>
      </c>
      <c r="D1375">
        <f>-661.003559995829 -69.5719788425531 -212.5839766945</f>
        <v>-943.1595155328821</v>
      </c>
      <c r="E1375">
        <f>-667.021425664906 -76.4322738431085 -310.784669629552</f>
        <v>-1054.2383691375667</v>
      </c>
      <c r="F1375">
        <f>-669.913967550039 -81.5886141121116 -399.685209415097</f>
        <v>-1151.1877910772478</v>
      </c>
      <c r="G1375">
        <f>-669.893209785138 -85.6686117461823 -488.688409331602</f>
        <v>-1244.2502308629223</v>
      </c>
      <c r="H1375">
        <f>-666.784866309292 -90.3063842451381 -613.145841118602</f>
        <v>-1370.2370916730322</v>
      </c>
      <c r="I1375">
        <f>-643.711717678709 -88.2517598901859 -692.948366095551</f>
        <v>-1424.9118436644458</v>
      </c>
      <c r="J1375">
        <f>-674.32251970596 -61.2769680131835 -559.538062028306</f>
        <v>-1295.1375497474494</v>
      </c>
      <c r="K1375" t="s">
        <v>14139</v>
      </c>
      <c r="L1375" t="s">
        <v>14140</v>
      </c>
      <c r="M1375" t="s">
        <v>14141</v>
      </c>
      <c r="N1375">
        <f>-661.982832121393 -115.254014095694 -557.218479693941</f>
        <v>-1334.455325911028</v>
      </c>
      <c r="O1375">
        <f>-632.855192260996 -244.918621341049 -522.044938663519</f>
        <v>-1399.8187522655639</v>
      </c>
      <c r="P1375">
        <f>-623.281639704781 -290.737153336565 -231.527739225637</f>
        <v>-1145.5465322669829</v>
      </c>
      <c r="Q1375">
        <f>-471.34686040618 -107.395612092491 -268.306338707577</f>
        <v>-847.04881120624805</v>
      </c>
      <c r="R1375" t="s">
        <v>14142</v>
      </c>
      <c r="S1375" t="s">
        <v>14143</v>
      </c>
      <c r="T1375" t="s">
        <v>14144</v>
      </c>
      <c r="U1375" t="s">
        <v>14145</v>
      </c>
      <c r="V1375">
        <f>-611.963060602041 -147.005060254757 -94.7825428817935</f>
        <v>-853.75066373859147</v>
      </c>
      <c r="W1375" t="s">
        <v>14146</v>
      </c>
      <c r="X1375" t="s">
        <v>14147</v>
      </c>
      <c r="Y1375" t="s">
        <v>14148</v>
      </c>
    </row>
    <row r="1376" spans="1:25" x14ac:dyDescent="0.3">
      <c r="A1376">
        <v>68750</v>
      </c>
      <c r="B1376" t="s">
        <v>14149</v>
      </c>
      <c r="C1376">
        <f>-644.951978367627 -57.7377508636632 -98.4841356848794</f>
        <v>-801.17386491616969</v>
      </c>
      <c r="D1376">
        <f>-660.918255554986 -69.6511937255452 -212.586611988149</f>
        <v>-943.15606126868022</v>
      </c>
      <c r="E1376">
        <f>-666.973575329451 -76.5185700818877 -310.784479319623</f>
        <v>-1054.2766247309617</v>
      </c>
      <c r="F1376">
        <f>-669.911627793953 -81.6775330367529 -399.683364827134</f>
        <v>-1151.2725256578401</v>
      </c>
      <c r="G1376">
        <f>-669.947995001917 -85.7554771114401 -488.686695867065</f>
        <v>-1244.3901679804221</v>
      </c>
      <c r="H1376">
        <f>-666.931214131097 -90.3849829308197 -613.146750370819</f>
        <v>-1370.4629474327357</v>
      </c>
      <c r="I1376">
        <f>-643.829404944004 -88.2808076593587 -692.93963489347</f>
        <v>-1425.0498474968326</v>
      </c>
      <c r="J1376">
        <f>-674.437516681591 -61.3610886395024 -559.531623635258</f>
        <v>-1295.3302289563514</v>
      </c>
      <c r="K1376" t="s">
        <v>14150</v>
      </c>
      <c r="L1376" t="s">
        <v>14151</v>
      </c>
      <c r="M1376" t="s">
        <v>14152</v>
      </c>
      <c r="N1376">
        <f>-662.079926300306 -115.334386349742 -557.224365585138</f>
        <v>-1334.638678235186</v>
      </c>
      <c r="O1376">
        <f>-632.907586579881 -244.991014835037 -522.052581257797</f>
        <v>-1399.9511826727148</v>
      </c>
      <c r="P1376">
        <f>-623.230662599956 -290.715045279076 -231.523951140597</f>
        <v>-1145.469659019629</v>
      </c>
      <c r="Q1376">
        <f>-471.530551905475 -107.177420650262 -268.291317953582</f>
        <v>-846.99929050931905</v>
      </c>
      <c r="R1376" t="s">
        <v>14153</v>
      </c>
      <c r="S1376" t="s">
        <v>14154</v>
      </c>
      <c r="T1376" t="s">
        <v>14155</v>
      </c>
      <c r="U1376" t="s">
        <v>14156</v>
      </c>
      <c r="V1376">
        <f>-611.929744841274 -147.039412965325 -94.7721164496251</f>
        <v>-853.74127425622407</v>
      </c>
      <c r="W1376" t="s">
        <v>14157</v>
      </c>
      <c r="X1376" t="s">
        <v>14158</v>
      </c>
      <c r="Y1376" t="s">
        <v>14159</v>
      </c>
    </row>
    <row r="1377" spans="1:25" x14ac:dyDescent="0.3">
      <c r="A1377">
        <v>68800</v>
      </c>
      <c r="B1377" t="s">
        <v>14160</v>
      </c>
      <c r="C1377">
        <f>-644.848555793009 -57.5940627133689 -98.4999321331683</f>
        <v>-800.9425506395462</v>
      </c>
      <c r="D1377">
        <f>-660.834007534297 -69.5149307130991 -212.598869180485</f>
        <v>-942.94780742788112</v>
      </c>
      <c r="E1377">
        <f>-666.939788688267 -76.3660169511986 -310.794882219338</f>
        <v>-1054.1006878588037</v>
      </c>
      <c r="F1377">
        <f>-669.936631728791 -81.4996620645793 -399.693064589683</f>
        <v>-1151.1293583830534</v>
      </c>
      <c r="G1377">
        <f>-670.04490325118 -85.5415899734737 -488.698183421115</f>
        <v>-1244.2846766457687</v>
      </c>
      <c r="H1377">
        <f>-667.142600361876 -90.1084281829476 -613.163098504526</f>
        <v>-1370.4141270493496</v>
      </c>
      <c r="I1377">
        <f>-643.908331046108 -87.8699667430965 -692.913917640184</f>
        <v>-1424.6922154293884</v>
      </c>
      <c r="J1377">
        <f>-674.614210615502 -61.1147979637278 -559.526819125923</f>
        <v>-1295.2558277051528</v>
      </c>
      <c r="K1377" t="s">
        <v>14161</v>
      </c>
      <c r="L1377" t="s">
        <v>14162</v>
      </c>
      <c r="M1377" t="s">
        <v>14163</v>
      </c>
      <c r="N1377">
        <f>-662.225274420525 -115.082736342046 -557.257685919374</f>
        <v>-1334.5656966819452</v>
      </c>
      <c r="O1377">
        <f>-632.982251592963 -244.737342954112 -522.145968119303</f>
        <v>-1399.8655626663781</v>
      </c>
      <c r="P1377">
        <f>-623.105375991071 -290.626709842012 -231.650100782903</f>
        <v>-1145.382186615986</v>
      </c>
      <c r="Q1377">
        <f>-471.940925820378 -106.601004869309 -268.183164089274</f>
        <v>-846.72509477896097</v>
      </c>
      <c r="R1377" t="s">
        <v>14164</v>
      </c>
      <c r="S1377" t="s">
        <v>14165</v>
      </c>
      <c r="T1377" t="s">
        <v>14166</v>
      </c>
      <c r="U1377" t="s">
        <v>14167</v>
      </c>
      <c r="V1377">
        <f>-611.787796231987 -146.839888385446 -94.7813975060449</f>
        <v>-853.4090821234779</v>
      </c>
      <c r="W1377" t="s">
        <v>14168</v>
      </c>
      <c r="X1377" t="s">
        <v>14169</v>
      </c>
      <c r="Y1377" t="s">
        <v>14170</v>
      </c>
    </row>
    <row r="1378" spans="1:25" x14ac:dyDescent="0.3">
      <c r="A1378">
        <v>68850</v>
      </c>
      <c r="B1378" t="s">
        <v>14171</v>
      </c>
      <c r="C1378">
        <f>-644.82783577927 -57.6627357832574 -98.4980633219602</f>
        <v>-800.98863488448762</v>
      </c>
      <c r="D1378">
        <f>-660.827574005365 -69.5934987526289 -212.593999254591</f>
        <v>-943.01507201258494</v>
      </c>
      <c r="E1378">
        <f>-666.943854221001 -76.4231780450455 -310.790778926773</f>
        <v>-1054.1578111928193</v>
      </c>
      <c r="F1378">
        <f>-669.949476895884 -81.5254277328618 -399.690642758129</f>
        <v>-1151.1655473868748</v>
      </c>
      <c r="G1378">
        <f>-670.065420526811 -85.5225743289552 -488.697564166998</f>
        <v>-1244.2855590227641</v>
      </c>
      <c r="H1378">
        <f>-667.173053701374 -90.0132660297024 -613.165579319072</f>
        <v>-1370.3518990501484</v>
      </c>
      <c r="I1378">
        <f>-643.858022434506 -87.6852299894222 -692.890250995671</f>
        <v>-1424.4335034195992</v>
      </c>
      <c r="J1378">
        <f>-674.657256879477 -61.056403793048 -559.511223506101</f>
        <v>-1295.2248841786261</v>
      </c>
      <c r="K1378" t="s">
        <v>14172</v>
      </c>
      <c r="L1378" t="s">
        <v>14173</v>
      </c>
      <c r="M1378" t="s">
        <v>14174</v>
      </c>
      <c r="N1378">
        <f>-662.234384645313 -115.017889380795 -557.275689461723</f>
        <v>-1334.5279634878309</v>
      </c>
      <c r="O1378">
        <f>-632.938344155431 -244.669265518748 -522.204756701775</f>
        <v>-1399.8123663759538</v>
      </c>
      <c r="P1378">
        <f>-623.126482534978 -290.725954563084 -231.733200383505</f>
        <v>-1145.5856374815669</v>
      </c>
      <c r="Q1378">
        <f>-472.243082478189 -106.341033957311 -267.612398416052</f>
        <v>-846.19651485155202</v>
      </c>
      <c r="R1378" t="s">
        <v>14175</v>
      </c>
      <c r="S1378" t="s">
        <v>14176</v>
      </c>
      <c r="T1378" t="s">
        <v>14177</v>
      </c>
      <c r="U1378" t="s">
        <v>14178</v>
      </c>
      <c r="V1378">
        <f>-611.769059206202 -147.036882583118 -94.7802365995229</f>
        <v>-853.58617838884288</v>
      </c>
      <c r="W1378" t="s">
        <v>14179</v>
      </c>
      <c r="X1378" t="s">
        <v>14180</v>
      </c>
      <c r="Y1378" t="s">
        <v>14181</v>
      </c>
    </row>
    <row r="1379" spans="1:25" x14ac:dyDescent="0.3">
      <c r="A1379">
        <v>68900</v>
      </c>
      <c r="B1379" t="s">
        <v>14182</v>
      </c>
      <c r="C1379">
        <f>-644.826696928324 -57.7774630422816 -98.5017779721087</f>
        <v>-801.10593794271438</v>
      </c>
      <c r="D1379">
        <f>-660.856282884284 -69.7410986760815 -212.590125942305</f>
        <v>-943.18750750267054</v>
      </c>
      <c r="E1379">
        <f>-666.993113286629 -76.5506721970976 -310.786922728572</f>
        <v>-1054.3307082122985</v>
      </c>
      <c r="F1379">
        <f>-670.014917080403 -81.6146437143373 -399.688377417713</f>
        <v>-1151.3179382124533</v>
      </c>
      <c r="G1379">
        <f>-670.144390504318 -85.5530669437323 -488.697970165254</f>
        <v>-1244.3954276133045</v>
      </c>
      <c r="H1379">
        <f>-667.267551062226 -89.9388531980021 -613.170202986349</f>
        <v>-1370.3766072465769</v>
      </c>
      <c r="I1379">
        <f>-643.796130355567 -87.4072207578836 -692.842630600578</f>
        <v>-1424.0459817140286</v>
      </c>
      <c r="J1379">
        <f>-674.794379837116 -61.0386291581776 -559.491104638523</f>
        <v>-1295.3241136338165</v>
      </c>
      <c r="K1379" t="s">
        <v>14183</v>
      </c>
      <c r="L1379" t="s">
        <v>14184</v>
      </c>
      <c r="M1379" t="s">
        <v>14185</v>
      </c>
      <c r="N1379">
        <f>-662.272657295633 -114.979164226499 -557.301199892588</f>
        <v>-1334.5530214147202</v>
      </c>
      <c r="O1379">
        <f>-632.782097936153 -244.633851470843 -522.391786801218</f>
        <v>-1399.807736208214</v>
      </c>
      <c r="P1379">
        <f>-623.258734329273 -290.902166723022 -231.94420353634</f>
        <v>-1146.105104588635</v>
      </c>
      <c r="Q1379">
        <f>-472.315666675824 -106.435437755368 -267.144735309112</f>
        <v>-845.89583974030393</v>
      </c>
      <c r="R1379" t="s">
        <v>14186</v>
      </c>
      <c r="S1379" t="s">
        <v>14187</v>
      </c>
      <c r="T1379" t="s">
        <v>14188</v>
      </c>
      <c r="U1379" t="s">
        <v>14189</v>
      </c>
      <c r="V1379">
        <f>-611.756268960229 -147.083474090268 -94.7852886354019</f>
        <v>-853.62503168589888</v>
      </c>
      <c r="W1379" t="s">
        <v>14190</v>
      </c>
      <c r="X1379" t="s">
        <v>14191</v>
      </c>
      <c r="Y1379" t="s">
        <v>14192</v>
      </c>
    </row>
    <row r="1380" spans="1:25" x14ac:dyDescent="0.3">
      <c r="A1380">
        <v>68950</v>
      </c>
      <c r="B1380" t="s">
        <v>14193</v>
      </c>
      <c r="C1380">
        <f>-644.951485802336 -57.9323629476241 -98.5116578118904</f>
        <v>-801.39550656185054</v>
      </c>
      <c r="D1380">
        <f>-660.992569379674 -69.9136476035383 -212.596546280196</f>
        <v>-943.50276326340827</v>
      </c>
      <c r="E1380">
        <f>-667.168918803754 -76.7140432358549 -310.791453139419</f>
        <v>-1054.6744151790278</v>
      </c>
      <c r="F1380">
        <f>-670.237494814257 -81.7600442773853 -399.692323096097</f>
        <v>-1151.6898621877394</v>
      </c>
      <c r="G1380">
        <f>-670.425141438005 -85.6700745279427 -488.7031420674</f>
        <v>-1244.7983580333475</v>
      </c>
      <c r="H1380">
        <f>-667.641025894628 -90.005411327716 -613.179108982544</f>
        <v>-1370.825546204888</v>
      </c>
      <c r="I1380">
        <f>-644.093865432555 -87.3610017734177 -692.825657893146</f>
        <v>-1424.2805250991187</v>
      </c>
      <c r="J1380">
        <f>-675.157072336943 -61.1337839503892 -559.483194832062</f>
        <v>-1295.7740511193942</v>
      </c>
      <c r="K1380" t="s">
        <v>14194</v>
      </c>
      <c r="L1380" t="s">
        <v>14195</v>
      </c>
      <c r="M1380" t="s">
        <v>14196</v>
      </c>
      <c r="N1380">
        <f>-662.575259747273 -115.061567536058 -557.323680558631</f>
        <v>-1334.960507841962</v>
      </c>
      <c r="O1380">
        <f>-632.950836509377 -244.7134163669 -522.538629649628</f>
        <v>-1400.2028825259049</v>
      </c>
      <c r="P1380">
        <f>-623.301603023645 -291.462663307128 -232.172407508067</f>
        <v>-1146.9366738388401</v>
      </c>
      <c r="Q1380">
        <f>-472.439627438747 -106.860390497465 -267.008092981931</f>
        <v>-846.30811091814303</v>
      </c>
      <c r="R1380" t="s">
        <v>14197</v>
      </c>
      <c r="S1380" t="s">
        <v>14198</v>
      </c>
      <c r="T1380" t="s">
        <v>14199</v>
      </c>
      <c r="U1380" t="s">
        <v>14200</v>
      </c>
      <c r="V1380">
        <f>-611.827239982544 -147.247955271892 -94.7864297057556</f>
        <v>-853.86162496019165</v>
      </c>
      <c r="W1380" t="s">
        <v>14201</v>
      </c>
      <c r="X1380" t="s">
        <v>14202</v>
      </c>
      <c r="Y1380" t="s">
        <v>14203</v>
      </c>
    </row>
    <row r="1381" spans="1:25" x14ac:dyDescent="0.3">
      <c r="A1381">
        <v>69000</v>
      </c>
      <c r="B1381" t="s">
        <v>14204</v>
      </c>
      <c r="C1381">
        <f>-645.229411894713 -58.2624099827494 -98.5321930020272</f>
        <v>-802.02401487948964</v>
      </c>
      <c r="D1381">
        <f>-661.310995995569 -70.2968707699338 -212.605754363212</f>
        <v>-944.21362112871475</v>
      </c>
      <c r="E1381">
        <f>-667.60248279879 -77.0871139166477 -310.794197896007</f>
        <v>-1055.4837946114446</v>
      </c>
      <c r="F1381">
        <f>-670.806027610418 -82.1019211887276 -399.692090666138</f>
        <v>-1152.6000394652835</v>
      </c>
      <c r="G1381">
        <f>-671.159223301981 -85.9575672188432 -488.704683820468</f>
        <v>-1245.8214743412923</v>
      </c>
      <c r="H1381">
        <f>-668.63793751523 -90.1918875540248 -613.189816397703</f>
        <v>-1372.0196414669576</v>
      </c>
      <c r="I1381">
        <f>-644.945955807159 -87.3291392180893 -692.785665273698</f>
        <v>-1425.0607602989462</v>
      </c>
      <c r="J1381">
        <f>-676.088050412174 -61.3748989202422 -559.455285580983</f>
        <v>-1296.9182349133991</v>
      </c>
      <c r="K1381" t="s">
        <v>14205</v>
      </c>
      <c r="L1381" t="s">
        <v>14206</v>
      </c>
      <c r="M1381" t="s">
        <v>14207</v>
      </c>
      <c r="N1381">
        <f>-663.406951035636 -115.282059467255 -557.364744464503</f>
        <v>-1336.0537549673941</v>
      </c>
      <c r="O1381">
        <f>-633.48211616766 -244.936069205645 -522.833278436496</f>
        <v>-1401.251463809801</v>
      </c>
      <c r="P1381">
        <f>-623.358485091444 -292.171564601312 -232.561687858229</f>
        <v>-1148.0917375509848</v>
      </c>
      <c r="Q1381">
        <f>-472.94142006215 -107.123804866626 -266.955416005129</f>
        <v>-847.02064093390493</v>
      </c>
      <c r="R1381" t="s">
        <v>14208</v>
      </c>
      <c r="S1381" t="s">
        <v>14209</v>
      </c>
      <c r="T1381" t="s">
        <v>14210</v>
      </c>
      <c r="U1381" t="s">
        <v>14211</v>
      </c>
      <c r="V1381">
        <f>-611.965105542188 -147.610909404238 -94.7914455473159</f>
        <v>-854.36746049374187</v>
      </c>
      <c r="W1381" t="s">
        <v>14212</v>
      </c>
      <c r="X1381" t="s">
        <v>14213</v>
      </c>
      <c r="Y1381" t="s">
        <v>14214</v>
      </c>
    </row>
    <row r="1382" spans="1:25" x14ac:dyDescent="0.3">
      <c r="A1382">
        <v>69050</v>
      </c>
      <c r="B1382" t="s">
        <v>14215</v>
      </c>
      <c r="C1382">
        <f>-645.38971907294 -58.4059450741784 -98.5485622350737</f>
        <v>-802.34422638219212</v>
      </c>
      <c r="D1382">
        <f>-661.502499875722 -70.4733785492415 -212.614180602705</f>
        <v>-944.59005902766853</v>
      </c>
      <c r="E1382">
        <f>-667.863110665166 -77.262692215201 -310.798276564163</f>
        <v>-1055.92407944453</v>
      </c>
      <c r="F1382">
        <f>-671.145642707521 -82.265448259107 -399.693825702837</f>
        <v>-1153.104916669465</v>
      </c>
      <c r="G1382">
        <f>-671.593533552929 -86.0971176124217 -488.707116369736</f>
        <v>-1246.3977675350866</v>
      </c>
      <c r="H1382">
        <f>-669.221227291749 -90.2859118384185 -613.196707306866</f>
        <v>-1372.7038464370335</v>
      </c>
      <c r="I1382">
        <f>-645.46631028828 -87.3373180653966 -692.770704206661</f>
        <v>-1425.5743325603376</v>
      </c>
      <c r="J1382">
        <f>-676.616466400615 -61.4908352969803 -559.442910377972</f>
        <v>-1297.5502120755673</v>
      </c>
      <c r="K1382" t="s">
        <v>14216</v>
      </c>
      <c r="L1382" t="s">
        <v>14217</v>
      </c>
      <c r="M1382" t="s">
        <v>14218</v>
      </c>
      <c r="N1382">
        <f>-663.91390598804 -115.394370139 -557.38705185579</f>
        <v>-1336.6953279828299</v>
      </c>
      <c r="O1382">
        <f>-633.892145264409 -245.053165384328 -522.959533107691</f>
        <v>-1401.9048437564279</v>
      </c>
      <c r="P1382">
        <f>-623.556832229878 -292.351541165352 -232.705777926525</f>
        <v>-1148.6141513217549</v>
      </c>
      <c r="Q1382">
        <f>-473.338637661255 -107.147021876212 -267.123874653829</f>
        <v>-847.60953419129601</v>
      </c>
      <c r="R1382" t="s">
        <v>14219</v>
      </c>
      <c r="S1382" t="s">
        <v>14220</v>
      </c>
      <c r="T1382" t="s">
        <v>14221</v>
      </c>
      <c r="U1382" t="s">
        <v>14222</v>
      </c>
      <c r="V1382">
        <f>-612.044864501476 -147.718464751573 -94.7986175675278</f>
        <v>-854.56194682057685</v>
      </c>
      <c r="W1382" t="s">
        <v>14223</v>
      </c>
      <c r="X1382" t="s">
        <v>14224</v>
      </c>
      <c r="Y1382" t="s">
        <v>14225</v>
      </c>
    </row>
    <row r="1383" spans="1:25" x14ac:dyDescent="0.3">
      <c r="A1383">
        <v>69100</v>
      </c>
      <c r="B1383" t="s">
        <v>14226</v>
      </c>
      <c r="C1383">
        <f>-645.830024742953 -58.6211823521614 -98.5711745766012</f>
        <v>-803.02238167171561</v>
      </c>
      <c r="D1383">
        <f>-661.99311487057 -70.7308579550252 -212.625206744686</f>
        <v>-945.34917957028119</v>
      </c>
      <c r="E1383">
        <f>-668.469610299301 -77.5090712055473 -310.802347685017</f>
        <v>-1056.7810291898654</v>
      </c>
      <c r="F1383">
        <f>-671.885003677779 -82.4829253287724 -399.694692965793</f>
        <v>-1154.0626219723445</v>
      </c>
      <c r="G1383">
        <f>-672.493047742325 -86.2665048954786 -488.709181793237</f>
        <v>-1247.4687344310405</v>
      </c>
      <c r="H1383">
        <f>-670.372353818244 -90.3677527657262 -613.206046623286</f>
        <v>-1373.9461532072564</v>
      </c>
      <c r="I1383">
        <f>-646.47594360347 -87.2715032629405 -692.732144553463</f>
        <v>-1426.4795914198735</v>
      </c>
      <c r="J1383">
        <f>-677.653918235763 -61.6093795370177 -559.417083058358</f>
        <v>-1298.6803808311388</v>
      </c>
      <c r="K1383" t="s">
        <v>14227</v>
      </c>
      <c r="L1383" t="s">
        <v>14228</v>
      </c>
      <c r="M1383" t="s">
        <v>14229</v>
      </c>
      <c r="N1383">
        <f>-664.957112227251 -115.516570485029 -557.424957136702</f>
        <v>-1337.8986398489819</v>
      </c>
      <c r="O1383">
        <f>-634.873184616996 -245.193860103299 -523.119629788029</f>
        <v>-1403.1866745083239</v>
      </c>
      <c r="P1383">
        <f>-624.458065007713 -292.137891535364 -232.811091385774</f>
        <v>-1149.4070479288509</v>
      </c>
      <c r="Q1383">
        <f>-474.350813104324 -106.921936326451 -267.649559298848</f>
        <v>-848.92230872962296</v>
      </c>
      <c r="R1383" t="s">
        <v>14230</v>
      </c>
      <c r="S1383" t="s">
        <v>14231</v>
      </c>
      <c r="T1383" t="s">
        <v>14232</v>
      </c>
      <c r="U1383" t="s">
        <v>14233</v>
      </c>
      <c r="V1383">
        <f>-612.438408578674 -147.919593669905 -94.8202148528492</f>
        <v>-855.17821710142812</v>
      </c>
      <c r="W1383" t="s">
        <v>14234</v>
      </c>
      <c r="X1383" t="s">
        <v>14235</v>
      </c>
      <c r="Y1383" t="s">
        <v>14236</v>
      </c>
    </row>
    <row r="1384" spans="1:25" x14ac:dyDescent="0.3">
      <c r="A1384">
        <v>69150</v>
      </c>
      <c r="B1384" t="s">
        <v>14237</v>
      </c>
      <c r="C1384">
        <f>-646.052381695348 -58.6911747214808 -98.576907759463</f>
        <v>-803.32046417629181</v>
      </c>
      <c r="D1384">
        <f>-662.237083540491 -70.8069228559034 -212.627287440581</f>
        <v>-945.67129383697534</v>
      </c>
      <c r="E1384">
        <f>-668.764103732967 -77.5770365609885 -310.801638836578</f>
        <v>-1057.1427791305334</v>
      </c>
      <c r="F1384">
        <f>-672.237875840704 -82.5374978672262 -399.692515530338</f>
        <v>-1154.4678892382681</v>
      </c>
      <c r="G1384">
        <f>-672.91687498663 -86.301677549983 -488.707075684985</f>
        <v>-1247.9256282215979</v>
      </c>
      <c r="H1384">
        <f>-670.908364655138 -90.3690368341959 -613.207079076422</f>
        <v>-1374.4844805657558</v>
      </c>
      <c r="I1384">
        <f>-646.967076066221 -87.2416627879704 -692.718521805959</f>
        <v>-1426.9272606601503</v>
      </c>
      <c r="J1384">
        <f>-678.128005066141 -61.6220068234559 -559.403752282701</f>
        <v>-1299.153764172298</v>
      </c>
      <c r="K1384" t="s">
        <v>14238</v>
      </c>
      <c r="L1384" t="s">
        <v>14239</v>
      </c>
      <c r="M1384" t="s">
        <v>14240</v>
      </c>
      <c r="N1384">
        <f>-665.456333473359 -115.536240774536 -557.437822565438</f>
        <v>-1338.4303968133329</v>
      </c>
      <c r="O1384">
        <f>-635.392512570976 -245.232690626886 -523.170178503489</f>
        <v>-1403.7953817013508</v>
      </c>
      <c r="P1384">
        <f>-624.983779532866 -291.998294875498 -232.832783826955</f>
        <v>-1149.814858235319</v>
      </c>
      <c r="Q1384">
        <f>-474.829293782654 -106.863246072143 -267.897817516023</f>
        <v>-849.59035737082002</v>
      </c>
      <c r="R1384" t="s">
        <v>14241</v>
      </c>
      <c r="S1384" t="s">
        <v>14242</v>
      </c>
      <c r="T1384" t="s">
        <v>14243</v>
      </c>
      <c r="U1384" t="s">
        <v>14244</v>
      </c>
      <c r="V1384">
        <f>-612.709791441132 -148.010012874341 -94.8240417376329</f>
        <v>-855.54384605310588</v>
      </c>
      <c r="W1384" t="s">
        <v>14245</v>
      </c>
      <c r="X1384" t="s">
        <v>14246</v>
      </c>
      <c r="Y1384" t="s">
        <v>14247</v>
      </c>
    </row>
    <row r="1385" spans="1:25" x14ac:dyDescent="0.3">
      <c r="A1385">
        <v>69200</v>
      </c>
      <c r="B1385" t="s">
        <v>14248</v>
      </c>
      <c r="C1385">
        <f>-646.541394288122 -58.4767832215437 -98.6053739990201</f>
        <v>-803.62355150868575</v>
      </c>
      <c r="D1385">
        <f>-662.770961283275 -70.5676677775634 -212.651982788712</f>
        <v>-945.99061184955042</v>
      </c>
      <c r="E1385">
        <f>-669.37485175007 -77.3124160132168 -310.823045562218</f>
        <v>-1057.5103133255047</v>
      </c>
      <c r="F1385">
        <f>-672.933767088676 -82.246349564457 -399.711961284893</f>
        <v>-1154.892077938026</v>
      </c>
      <c r="G1385">
        <f>-673.713766745087 -85.9810040204218 -488.727011898503</f>
        <v>-1248.4217826640117</v>
      </c>
      <c r="H1385">
        <f>-671.862502294925 -90.0034607585637 -613.230803036841</f>
        <v>-1375.0967660903298</v>
      </c>
      <c r="I1385">
        <f>-647.872167356614 -86.8896983285367 -692.727988089503</f>
        <v>-1427.4898537746537</v>
      </c>
      <c r="J1385">
        <f>-678.971875874212 -61.266099195215 -559.40775661013</f>
        <v>-1299.645731679557</v>
      </c>
      <c r="K1385" t="s">
        <v>14249</v>
      </c>
      <c r="L1385" t="s">
        <v>14250</v>
      </c>
      <c r="M1385" t="s">
        <v>14251</v>
      </c>
      <c r="N1385">
        <f>-666.382379833779 -115.200703245224 -557.47804489175</f>
        <v>-1339.061127970753</v>
      </c>
      <c r="O1385">
        <f>-636.473985986466 -244.952412124841 -523.291591262768</f>
        <v>-1404.7179893740749</v>
      </c>
      <c r="P1385">
        <f>-626.015500618214 -291.815056957843 -232.971526711577</f>
        <v>-1150.802084287634</v>
      </c>
      <c r="Q1385">
        <f>-475.713344234556 -106.814854943252 -268.114913876554</f>
        <v>-850.64311305436195</v>
      </c>
      <c r="R1385" t="s">
        <v>14252</v>
      </c>
      <c r="S1385" t="s">
        <v>14253</v>
      </c>
      <c r="T1385" t="s">
        <v>14254</v>
      </c>
      <c r="U1385" t="s">
        <v>14255</v>
      </c>
      <c r="V1385">
        <f>-613.338644879599 -147.695516261191 -94.8517759142411</f>
        <v>-855.88593705503104</v>
      </c>
      <c r="W1385" t="s">
        <v>14256</v>
      </c>
      <c r="X1385" t="s">
        <v>14257</v>
      </c>
      <c r="Y1385" t="s">
        <v>14258</v>
      </c>
    </row>
    <row r="1386" spans="1:25" x14ac:dyDescent="0.3">
      <c r="A1386">
        <v>69250</v>
      </c>
      <c r="B1386" t="s">
        <v>14259</v>
      </c>
      <c r="C1386">
        <f>-646.767391085604 -58.2311264809487 -98.6160587930405</f>
        <v>-803.61457635959312</v>
      </c>
      <c r="D1386">
        <f>-663.001760500572 -70.3111092969809 -212.663132453282</f>
        <v>-945.97600225083488</v>
      </c>
      <c r="E1386">
        <f>-669.629411403152 -77.0397122074501 -310.833759121262</f>
        <v>-1057.502882731864</v>
      </c>
      <c r="F1386">
        <f>-673.217695255132 -81.9558383122558 -399.722449897801</f>
        <v>-1154.8959834651887</v>
      </c>
      <c r="G1386">
        <f>-674.034945468982 -85.6690892372187 -488.737943203582</f>
        <v>-1248.4419779097827</v>
      </c>
      <c r="H1386">
        <f>-672.243811625851 -89.6579498405697 -613.243874457652</f>
        <v>-1375.1456359240728</v>
      </c>
      <c r="I1386">
        <f>-648.24664567819 -86.5500958260047 -692.739076885557</f>
        <v>-1427.5358183897517</v>
      </c>
      <c r="J1386">
        <f>-679.299232148865 -60.9285104140799 -559.409324322495</f>
        <v>-1299.6370668854399</v>
      </c>
      <c r="K1386" t="s">
        <v>14260</v>
      </c>
      <c r="L1386" t="s">
        <v>14261</v>
      </c>
      <c r="M1386" t="s">
        <v>14262</v>
      </c>
      <c r="N1386">
        <f>-666.764830083875 -114.876700492134 -557.500692420443</f>
        <v>-1339.1422229964519</v>
      </c>
      <c r="O1386">
        <f>-636.989276179156 -244.671201942101 -523.351193597896</f>
        <v>-1405.0116717191531</v>
      </c>
      <c r="P1386">
        <f>-626.509008695844 -291.60794427931 -233.043887755193</f>
        <v>-1151.160840730347</v>
      </c>
      <c r="Q1386">
        <f>-476.148029688111 -106.619227525489 -267.995759354496</f>
        <v>-850.76301656809596</v>
      </c>
      <c r="R1386" t="s">
        <v>14263</v>
      </c>
      <c r="S1386" t="s">
        <v>14264</v>
      </c>
      <c r="T1386" t="s">
        <v>14265</v>
      </c>
      <c r="U1386" t="s">
        <v>14266</v>
      </c>
      <c r="V1386">
        <f>-613.643068895432 -147.484023628441 -94.8649342129023</f>
        <v>-855.9920267367753</v>
      </c>
      <c r="W1386" t="s">
        <v>14267</v>
      </c>
      <c r="X1386" t="s">
        <v>14268</v>
      </c>
      <c r="Y1386" t="s">
        <v>14269</v>
      </c>
    </row>
    <row r="1387" spans="1:25" x14ac:dyDescent="0.3">
      <c r="A1387">
        <v>69300</v>
      </c>
      <c r="B1387" t="s">
        <v>14270</v>
      </c>
      <c r="C1387">
        <f>-647.121798524897 -58.0564869069256 -98.6168574803331</f>
        <v>-803.79514291215571</v>
      </c>
      <c r="D1387">
        <f>-663.406674554981 -70.1406333782786 -212.656322155728</f>
        <v>-946.20363008898767</v>
      </c>
      <c r="E1387">
        <f>-670.103529567774 -76.8481979573025 -310.823578078695</f>
        <v>-1057.7753056037716</v>
      </c>
      <c r="F1387">
        <f>-673.764480319818 -81.7344038436636 -399.710948836759</f>
        <v>-1155.2098330002405</v>
      </c>
      <c r="G1387">
        <f>-674.663654936931 -85.4077882741226 -488.727485077677</f>
        <v>-1248.7989282887306</v>
      </c>
      <c r="H1387">
        <f>-672.99692158866 -89.3304985482218 -613.237159946937</f>
        <v>-1375.5645800838188</v>
      </c>
      <c r="I1387">
        <f>-648.990315916061 -86.2595170494353 -692.73105899581</f>
        <v>-1427.9808919613065</v>
      </c>
      <c r="J1387">
        <f>-679.93065250883 -60.6140045707937 -559.380032609762</f>
        <v>-1299.9246896893856</v>
      </c>
      <c r="K1387" t="s">
        <v>14271</v>
      </c>
      <c r="L1387" t="s">
        <v>14272</v>
      </c>
      <c r="M1387" t="s">
        <v>14273</v>
      </c>
      <c r="N1387">
        <f>-667.530295499395 -114.594695535688 -557.513329712413</f>
        <v>-1339.638320747496</v>
      </c>
      <c r="O1387">
        <f>-638.047067280151 -244.470970545081 -523.449853684363</f>
        <v>-1405.9678915095951</v>
      </c>
      <c r="P1387">
        <f>-627.579459007542 -291.55992140983 -233.166857961461</f>
        <v>-1152.3062383788329</v>
      </c>
      <c r="Q1387">
        <f>-476.759524926203 -106.925675195728 -268.015294869789</f>
        <v>-851.70049499172001</v>
      </c>
      <c r="R1387" t="s">
        <v>14274</v>
      </c>
      <c r="S1387" t="s">
        <v>14275</v>
      </c>
      <c r="T1387" t="s">
        <v>14276</v>
      </c>
      <c r="U1387" t="s">
        <v>14277</v>
      </c>
      <c r="V1387">
        <f>-614.189498577125 -147.491848718432 -94.8564015192375</f>
        <v>-856.53774881479455</v>
      </c>
      <c r="W1387" t="s">
        <v>14278</v>
      </c>
      <c r="X1387" t="s">
        <v>14279</v>
      </c>
      <c r="Y1387" t="s">
        <v>14280</v>
      </c>
    </row>
    <row r="1388" spans="1:25" x14ac:dyDescent="0.3">
      <c r="A1388">
        <v>69350</v>
      </c>
      <c r="B1388" t="s">
        <v>14281</v>
      </c>
      <c r="C1388">
        <f>-647.199549194361 -58.0404606130412 -98.60396324611</f>
        <v>-803.84397305351217</v>
      </c>
      <c r="D1388">
        <f>-663.524474740368 -70.1255739133023 -212.637545277388</f>
        <v>-946.28759393105827</v>
      </c>
      <c r="E1388">
        <f>-670.26037773051 -76.8402967497889 -310.801673663281</f>
        <v>-1057.9023481435797</v>
      </c>
      <c r="F1388">
        <f>-673.958970991961 -81.7351831893125 -399.68702846264</f>
        <v>-1155.3811826439135</v>
      </c>
      <c r="G1388">
        <f>-674.897580099077 -85.4200441718899 -488.702639683692</f>
        <v>-1249.020263954659</v>
      </c>
      <c r="H1388">
        <f>-673.287695715745 -89.3622060035707 -613.212419058057</f>
        <v>-1375.8623207773726</v>
      </c>
      <c r="I1388">
        <f>-649.279684050082 -86.3303011813193 -692.707368186455</f>
        <v>-1428.3173534178563</v>
      </c>
      <c r="J1388">
        <f>-680.158458339567 -60.6285025142763 -559.356323756378</f>
        <v>-1300.1432846102211</v>
      </c>
      <c r="K1388" t="s">
        <v>14282</v>
      </c>
      <c r="L1388" t="s">
        <v>14283</v>
      </c>
      <c r="M1388" t="s">
        <v>14284</v>
      </c>
      <c r="N1388">
        <f>-667.833668645753 -114.626331810562 -557.487417233279</f>
        <v>-1339.947417689594</v>
      </c>
      <c r="O1388">
        <f>-638.513459722138 -244.537412989294 -523.428513696904</f>
        <v>-1406.479386408336</v>
      </c>
      <c r="P1388">
        <f>-627.96661925545 -291.695223053815 -233.159556741154</f>
        <v>-1152.8213990504191</v>
      </c>
      <c r="Q1388">
        <f>-476.884004758352 -107.288399717808 -268.073810670133</f>
        <v>-852.24621514629303</v>
      </c>
      <c r="R1388" t="s">
        <v>14285</v>
      </c>
      <c r="S1388" t="s">
        <v>14286</v>
      </c>
      <c r="T1388" t="s">
        <v>14287</v>
      </c>
      <c r="U1388" t="s">
        <v>14288</v>
      </c>
      <c r="V1388">
        <f>-614.371224481932 -147.549158341159 -94.8375340257236</f>
        <v>-856.7579168488146</v>
      </c>
      <c r="W1388" t="s">
        <v>14289</v>
      </c>
      <c r="X1388" t="s">
        <v>14290</v>
      </c>
      <c r="Y1388" t="s">
        <v>14291</v>
      </c>
    </row>
    <row r="1389" spans="1:25" x14ac:dyDescent="0.3">
      <c r="A1389">
        <v>69400</v>
      </c>
      <c r="B1389" t="s">
        <v>14292</v>
      </c>
      <c r="C1389">
        <f>-647.286713590846 -57.7394854155277 -98.5910374312705</f>
        <v>-803.61723643764424</v>
      </c>
      <c r="D1389">
        <f>-663.677081204906 -69.8027322309517 -212.61761277374</f>
        <v>-946.09742620959776</v>
      </c>
      <c r="E1389">
        <f>-670.493058210967 -76.5406334157312 -310.774711905579</f>
        <v>-1057.8084035322772</v>
      </c>
      <c r="F1389">
        <f>-674.274138853915 -81.4723639796489 -399.654452227542</f>
        <v>-1155.4009550611058</v>
      </c>
      <c r="G1389">
        <f>-675.305442179996 -85.2116429570731 -488.666840012164</f>
        <v>-1249.1839251492331</v>
      </c>
      <c r="H1389">
        <f>-673.83591686067 -89.2479157446951 -613.175282132344</f>
        <v>-1376.2591147377091</v>
      </c>
      <c r="I1389">
        <f>-649.846910870022 -86.3264340047522 -692.680189230559</f>
        <v>-1428.8535341053332</v>
      </c>
      <c r="J1389">
        <f>-680.575672963018 -60.4575526873034 -559.33284512145</f>
        <v>-1300.3660707717713</v>
      </c>
      <c r="K1389" t="s">
        <v>14293</v>
      </c>
      <c r="L1389" t="s">
        <v>14294</v>
      </c>
      <c r="M1389" t="s">
        <v>14295</v>
      </c>
      <c r="N1389">
        <f>-668.38951808038 -114.486005786817 -557.437575962675</f>
        <v>-1340.313099829872</v>
      </c>
      <c r="O1389">
        <f>-639.33610761657 -244.459713920042 -523.37722891368</f>
        <v>-1407.1730504502921</v>
      </c>
      <c r="P1389">
        <f>-628.712922549022 -291.565015430048 -233.102446984544</f>
        <v>-1153.380384963614</v>
      </c>
      <c r="Q1389">
        <f>-477.125014099534 -107.612783516561 -268.224614107293</f>
        <v>-852.96241172338796</v>
      </c>
      <c r="R1389" t="s">
        <v>14296</v>
      </c>
      <c r="S1389" t="s">
        <v>14297</v>
      </c>
      <c r="T1389" t="s">
        <v>14298</v>
      </c>
      <c r="U1389" t="s">
        <v>14299</v>
      </c>
      <c r="V1389">
        <f>-614.599767503166 -147.234920887811 -94.8231685622524</f>
        <v>-856.65785695322938</v>
      </c>
      <c r="W1389" t="s">
        <v>14300</v>
      </c>
      <c r="X1389" t="s">
        <v>14301</v>
      </c>
      <c r="Y1389" t="s">
        <v>14302</v>
      </c>
    </row>
    <row r="1390" spans="1:25" x14ac:dyDescent="0.3">
      <c r="A1390">
        <v>69450</v>
      </c>
      <c r="B1390" t="s">
        <v>14303</v>
      </c>
      <c r="C1390">
        <f>-647.294970595849 -57.5897050171861 -98.5794992796821</f>
        <v>-803.46417489271721</v>
      </c>
      <c r="D1390">
        <f>-663.717879937972 -69.6383045090167 -212.602973664956</f>
        <v>-945.95915811194482</v>
      </c>
      <c r="E1390">
        <f>-670.572608504298 -76.3816735108883 -310.756874703491</f>
        <v>-1057.7111567186773</v>
      </c>
      <c r="F1390">
        <f>-674.393246936243 -81.3253212194688 -399.63433094863</f>
        <v>-1155.3528991043418</v>
      </c>
      <c r="G1390">
        <f>-675.468779046314 -85.0835594810092 -488.64532133771</f>
        <v>-1249.1976598650331</v>
      </c>
      <c r="H1390">
        <f>-674.066319510531 -89.1542026506584 -613.153513304072</f>
        <v>-1376.3740354652614</v>
      </c>
      <c r="I1390">
        <f>-650.07313879767 -86.2797914864616 -692.658883354719</f>
        <v>-1429.0118136388505</v>
      </c>
      <c r="J1390">
        <f>-680.751831556756 -60.3432655129443 -559.315306691079</f>
        <v>-1300.4104037607792</v>
      </c>
      <c r="K1390" t="s">
        <v>14304</v>
      </c>
      <c r="L1390" t="s">
        <v>14305</v>
      </c>
      <c r="M1390" t="s">
        <v>14306</v>
      </c>
      <c r="N1390">
        <f>-668.614996226207 -114.38249275112 -557.411942106421</f>
        <v>-1340.4094310837481</v>
      </c>
      <c r="O1390">
        <f>-639.645877650152 -244.375572040055 -523.346466260988</f>
        <v>-1407.3679159511948</v>
      </c>
      <c r="P1390">
        <f>-628.948739587961 -291.358710017242 -233.05452501869</f>
        <v>-1153.3619746238928</v>
      </c>
      <c r="Q1390">
        <f>-477.227140697995 -107.530535149678 -268.248589277067</f>
        <v>-853.00626512474003</v>
      </c>
      <c r="R1390" t="s">
        <v>14307</v>
      </c>
      <c r="S1390" t="s">
        <v>14308</v>
      </c>
      <c r="T1390" t="s">
        <v>14309</v>
      </c>
      <c r="U1390" t="s">
        <v>14310</v>
      </c>
      <c r="V1390">
        <f>-614.647156595015 -147.104780265566 -94.8250562331187</f>
        <v>-856.57699309369968</v>
      </c>
      <c r="W1390" t="s">
        <v>14311</v>
      </c>
      <c r="X1390" t="s">
        <v>14312</v>
      </c>
      <c r="Y1390" t="s">
        <v>14313</v>
      </c>
    </row>
    <row r="1391" spans="1:25" x14ac:dyDescent="0.3">
      <c r="A1391">
        <v>69500</v>
      </c>
      <c r="B1391" t="s">
        <v>14314</v>
      </c>
      <c r="C1391">
        <f>-647.257886556319 -57.3223356753149 -98.5670400912031</f>
        <v>-803.14726232283704</v>
      </c>
      <c r="D1391">
        <f>-663.714999227141 -69.3532984836945 -212.587428435707</f>
        <v>-945.65572614654252</v>
      </c>
      <c r="E1391">
        <f>-670.621647406018 -76.1064286042983 -310.737077722937</f>
        <v>-1057.4651537332534</v>
      </c>
      <c r="F1391">
        <f>-674.498375637173 -81.0692572534176 -399.611006171905</f>
        <v>-1155.1786390624957</v>
      </c>
      <c r="G1391">
        <f>-675.639482945972 -84.8574244571062 -488.619952018701</f>
        <v>-1249.1168594217791</v>
      </c>
      <c r="H1391">
        <f>-674.33826377259 -88.981207086613 -613.127463303708</f>
        <v>-1376.446934162911</v>
      </c>
      <c r="I1391">
        <f>-650.358040450695 -86.1780836908556 -692.639192980381</f>
        <v>-1429.1753171219316</v>
      </c>
      <c r="J1391">
        <f>-680.954187287768 -60.1416132987815 -559.296053293365</f>
        <v>-1300.3918538799146</v>
      </c>
      <c r="K1391" t="s">
        <v>14315</v>
      </c>
      <c r="L1391" t="s">
        <v>14316</v>
      </c>
      <c r="M1391" t="s">
        <v>14317</v>
      </c>
      <c r="N1391">
        <f>-668.86748432091 -114.191518553856 -557.379679981358</f>
        <v>-1340.4386828561239</v>
      </c>
      <c r="O1391">
        <f>-639.945787379713 -244.195066880883 -523.301539592114</f>
        <v>-1407.44239385271</v>
      </c>
      <c r="P1391">
        <f>-629.047244878221 -291.040442315625 -232.994951870369</f>
        <v>-1153.0826390642151</v>
      </c>
      <c r="Q1391">
        <f>-477.283890014187 -107.265033648349 -268.284610531765</f>
        <v>-852.83353419430102</v>
      </c>
      <c r="R1391" t="s">
        <v>14318</v>
      </c>
      <c r="S1391" t="s">
        <v>14319</v>
      </c>
      <c r="T1391" t="s">
        <v>14320</v>
      </c>
      <c r="U1391" t="s">
        <v>14321</v>
      </c>
      <c r="V1391">
        <f>-614.647673804174 -146.893491025415 -94.8201162515209</f>
        <v>-856.36128108110984</v>
      </c>
      <c r="W1391" t="s">
        <v>14322</v>
      </c>
      <c r="X1391" t="s">
        <v>14323</v>
      </c>
      <c r="Y1391" t="s">
        <v>14324</v>
      </c>
    </row>
    <row r="1392" spans="1:25" x14ac:dyDescent="0.3">
      <c r="A1392">
        <v>69550</v>
      </c>
      <c r="B1392" t="s">
        <v>14325</v>
      </c>
      <c r="C1392">
        <f>-647.225058186266 -57.2015174286905 -98.5570247119911</f>
        <v>-802.98360032694757</v>
      </c>
      <c r="D1392">
        <f>-663.689802070114 -69.2193208311994 -212.577528743705</f>
        <v>-945.48665164501836</v>
      </c>
      <c r="E1392">
        <f>-670.612666310449 -75.9803497915098 -310.72556330532</f>
        <v>-1057.3185794072788</v>
      </c>
      <c r="F1392">
        <f>-674.507965594751 -80.9585722244447 -399.597856133619</f>
        <v>-1155.0643939528147</v>
      </c>
      <c r="G1392">
        <f>-675.671759908605 -84.7699504630732 -488.605442607626</f>
        <v>-1249.0471529793042</v>
      </c>
      <c r="H1392">
        <f>-674.406704765316 -88.9347451805086 -613.11191084778</f>
        <v>-1376.4533607936046</v>
      </c>
      <c r="I1392">
        <f>-650.445381850564 -86.1537143882372 -692.630138181176</f>
        <v>-1429.2292344199773</v>
      </c>
      <c r="J1392">
        <f>-681.005567752794 -60.0769540297472 -559.288261176101</f>
        <v>-1300.3707829586422</v>
      </c>
      <c r="K1392" t="s">
        <v>14326</v>
      </c>
      <c r="L1392" t="s">
        <v>14327</v>
      </c>
      <c r="M1392" t="s">
        <v>14328</v>
      </c>
      <c r="N1392">
        <f>-668.921231214664 -114.12695639271 -557.357507608992</f>
        <v>-1340.405695216366</v>
      </c>
      <c r="O1392">
        <f>-639.975076520708 -244.11711128952 -523.278716080074</f>
        <v>-1407.3709038903021</v>
      </c>
      <c r="P1392">
        <f>-628.979347737872 -290.915685280797 -232.96823631451</f>
        <v>-1152.863269333179</v>
      </c>
      <c r="Q1392">
        <f>-477.264802784695 -107.113099880555 -268.32612959774</f>
        <v>-852.70403226299004</v>
      </c>
      <c r="R1392" t="s">
        <v>14329</v>
      </c>
      <c r="S1392" t="s">
        <v>14330</v>
      </c>
      <c r="T1392" t="s">
        <v>14331</v>
      </c>
      <c r="U1392" t="s">
        <v>14332</v>
      </c>
      <c r="V1392">
        <f>-614.609844350992 -146.81513596983 -94.8184025892812</f>
        <v>-856.24338291010315</v>
      </c>
      <c r="W1392" t="s">
        <v>14333</v>
      </c>
      <c r="X1392" t="s">
        <v>14334</v>
      </c>
      <c r="Y1392" t="s">
        <v>14335</v>
      </c>
    </row>
    <row r="1393" spans="1:25" x14ac:dyDescent="0.3">
      <c r="A1393">
        <v>69600</v>
      </c>
      <c r="B1393" t="s">
        <v>14336</v>
      </c>
      <c r="C1393">
        <f>-647.137294679164 -56.8202656639489 -98.560479358786</f>
        <v>-802.51803970189894</v>
      </c>
      <c r="D1393">
        <f>-663.585480218775 -68.8260928322056 -212.584786694223</f>
        <v>-944.99635974520368</v>
      </c>
      <c r="E1393">
        <f>-670.518644729193 -75.6244086591992 -310.729474004467</f>
        <v>-1056.8725273928592</v>
      </c>
      <c r="F1393">
        <f>-674.433809657179 -80.6557545440728 -399.597820918692</f>
        <v>-1154.6873851199439</v>
      </c>
      <c r="G1393">
        <f>-675.628402420308 -84.5395450998008 -488.601952568276</f>
        <v>-1248.7699000883847</v>
      </c>
      <c r="H1393">
        <f>-674.418163844445 -88.826006923719 -613.104879211854</f>
        <v>-1376.349049980018</v>
      </c>
      <c r="I1393">
        <f>-650.457625034753 -86.0633314316915 -692.623975046042</f>
        <v>-1429.1449315124864</v>
      </c>
      <c r="J1393">
        <f>-681.004811794093 -59.9183543585978 -559.30645455471</f>
        <v>-1300.2296207074007</v>
      </c>
      <c r="K1393" t="s">
        <v>14337</v>
      </c>
      <c r="L1393" t="s">
        <v>14338</v>
      </c>
      <c r="M1393" t="s">
        <v>14339</v>
      </c>
      <c r="N1393">
        <f>-668.896614667589 -113.961327256643 -557.32820042037</f>
        <v>-1340.1861423446021</v>
      </c>
      <c r="O1393">
        <f>-639.806232818377 -243.910668308105 -523.207183344106</f>
        <v>-1406.924084470588</v>
      </c>
      <c r="P1393">
        <f>-628.594297436726 -290.545254825742 -232.878571647649</f>
        <v>-1152.0181239101171</v>
      </c>
      <c r="Q1393">
        <f>-477.14557167572 -106.554490396925 -268.396226254476</f>
        <v>-852.09628832712099</v>
      </c>
      <c r="R1393" t="s">
        <v>14340</v>
      </c>
      <c r="S1393" t="s">
        <v>14341</v>
      </c>
      <c r="T1393" t="s">
        <v>14342</v>
      </c>
      <c r="U1393" t="s">
        <v>14343</v>
      </c>
      <c r="V1393">
        <f>-614.469489644155 -146.401637901671 -94.8491627005217</f>
        <v>-855.72029024634776</v>
      </c>
      <c r="W1393" t="s">
        <v>14344</v>
      </c>
      <c r="X1393" t="s">
        <v>14345</v>
      </c>
      <c r="Y1393" t="s">
        <v>14346</v>
      </c>
    </row>
    <row r="1394" spans="1:25" x14ac:dyDescent="0.3">
      <c r="A1394">
        <v>69650</v>
      </c>
      <c r="B1394" t="s">
        <v>14347</v>
      </c>
      <c r="C1394">
        <f>-647.034315038425 -56.5568800182548 -98.5590836092091</f>
        <v>-802.15027866588889</v>
      </c>
      <c r="D1394">
        <f>-663.462098361649 -68.5677684371694 -212.585751919181</f>
        <v>-944.6156187179995</v>
      </c>
      <c r="E1394">
        <f>-670.38572874251 -75.3922925151958 -310.7292773062</f>
        <v>-1056.5072985639058</v>
      </c>
      <c r="F1394">
        <f>-674.296036117237 -80.4561182402008 -399.596145782699</f>
        <v>-1154.3483001401369</v>
      </c>
      <c r="G1394">
        <f>-675.489490214267 -84.3813329297038 -488.598450697475</f>
        <v>-1248.4692738414458</v>
      </c>
      <c r="H1394">
        <f>-674.281775520799 -88.7346106193056 -613.099047121832</f>
        <v>-1376.1154332619367</v>
      </c>
      <c r="I1394">
        <f>-650.297400202973 -85.9692171575609 -692.610856076705</f>
        <v>-1428.8774734372389</v>
      </c>
      <c r="J1394">
        <f>-680.875890073753 -59.8000057422246 -559.316047811013</f>
        <v>-1299.9919436269906</v>
      </c>
      <c r="K1394" t="s">
        <v>14348</v>
      </c>
      <c r="L1394" t="s">
        <v>14349</v>
      </c>
      <c r="M1394" t="s">
        <v>14350</v>
      </c>
      <c r="N1394">
        <f>-668.750413277467 -113.838014751268 -557.30882862904</f>
        <v>-1339.897256657775</v>
      </c>
      <c r="O1394">
        <f>-639.557727269681 -243.750747737 -523.130578512135</f>
        <v>-1406.4390535188159</v>
      </c>
      <c r="P1394">
        <f>-628.221477193282 -290.261043221746 -232.786741383319</f>
        <v>-1151.2692617983469</v>
      </c>
      <c r="Q1394">
        <f>-476.933130786983 -106.148935698528 -268.359790241025</f>
        <v>-851.44185672653589</v>
      </c>
      <c r="R1394" t="s">
        <v>14351</v>
      </c>
      <c r="S1394" t="s">
        <v>14352</v>
      </c>
      <c r="T1394" t="s">
        <v>14353</v>
      </c>
      <c r="U1394" t="s">
        <v>14354</v>
      </c>
      <c r="V1394">
        <f>-614.336054226168 -146.154464948524 -94.8572934977396</f>
        <v>-855.3478126724317</v>
      </c>
      <c r="W1394" t="s">
        <v>14355</v>
      </c>
      <c r="X1394" t="s">
        <v>14356</v>
      </c>
      <c r="Y1394" t="s">
        <v>14357</v>
      </c>
    </row>
    <row r="1395" spans="1:25" x14ac:dyDescent="0.3">
      <c r="A1395">
        <v>69700</v>
      </c>
      <c r="B1395" t="s">
        <v>14358</v>
      </c>
      <c r="C1395">
        <f>-646.759956987387 -56.0455141039113 -98.5718070714731</f>
        <v>-801.3772781627714</v>
      </c>
      <c r="D1395">
        <f>-663.150866415638 -68.0428693680831 -212.605286920188</f>
        <v>-943.79902270390903</v>
      </c>
      <c r="E1395">
        <f>-670.048994875573 -74.9488859372416 -310.744903829369</f>
        <v>-1055.7427846421836</v>
      </c>
      <c r="F1395">
        <f>-673.939895449028 -80.1245959003379 -399.606175832877</f>
        <v>-1153.6706671822428</v>
      </c>
      <c r="G1395">
        <f>-675.118384077724 -84.1997596534745 -488.60192201825</f>
        <v>-1247.9200657494484</v>
      </c>
      <c r="H1395">
        <f>-673.895452597083 -88.8030862983112 -613.093280473354</f>
        <v>-1375.7918193687483</v>
      </c>
      <c r="I1395">
        <f>-649.840486936673 -86.1054981745046 -692.586107404155</f>
        <v>-1428.5320925153326</v>
      </c>
      <c r="J1395">
        <f>-680.498386708995 -59.7609932319447 -559.369289066912</f>
        <v>-1299.6286690078516</v>
      </c>
      <c r="K1395" t="s">
        <v>14359</v>
      </c>
      <c r="L1395" t="s">
        <v>14360</v>
      </c>
      <c r="M1395" t="s">
        <v>14361</v>
      </c>
      <c r="N1395">
        <f>-668.3689476645 -113.793879146147 -557.252248177557</f>
        <v>-1339.415074988204</v>
      </c>
      <c r="O1395">
        <f>-639.017828902777 -243.629395483934 -522.912076036372</f>
        <v>-1405.559300423083</v>
      </c>
      <c r="P1395">
        <f>-627.548529657629 -289.730414390485 -232.508348812836</f>
        <v>-1149.7872928609499</v>
      </c>
      <c r="Q1395">
        <f>-476.380261629782 -105.523871403634 -268.102721632518</f>
        <v>-850.00685466593404</v>
      </c>
      <c r="R1395" t="s">
        <v>14362</v>
      </c>
      <c r="S1395" t="s">
        <v>14363</v>
      </c>
      <c r="T1395" t="s">
        <v>14364</v>
      </c>
      <c r="U1395" t="s">
        <v>14365</v>
      </c>
      <c r="V1395">
        <f>-614.007166152625 -145.660573035225 -94.8600718569107</f>
        <v>-854.52781104476071</v>
      </c>
      <c r="W1395" t="s">
        <v>14366</v>
      </c>
      <c r="X1395" t="s">
        <v>14367</v>
      </c>
      <c r="Y1395" t="s">
        <v>14368</v>
      </c>
    </row>
    <row r="1396" spans="1:25" x14ac:dyDescent="0.3">
      <c r="A1396">
        <v>69750</v>
      </c>
      <c r="B1396" t="s">
        <v>14369</v>
      </c>
      <c r="C1396">
        <f>-646.53854122537 -55.8310379250183 -98.5508744523787</f>
        <v>-800.920453602767</v>
      </c>
      <c r="D1396">
        <f>-662.908118381855 -67.8114004716251 -212.589118877483</f>
        <v>-943.30863773096314</v>
      </c>
      <c r="E1396">
        <f>-669.798663305425 -74.7546941746664 -310.726624583227</f>
        <v>-1055.2799820633184</v>
      </c>
      <c r="F1396">
        <f>-673.687604103342 -79.9847589265341 -399.584683247274</f>
        <v>-1153.25704627715</v>
      </c>
      <c r="G1396">
        <f>-674.870047561014 -84.1351550195825 -488.576988479783</f>
        <v>-1247.5821910603795</v>
      </c>
      <c r="H1396">
        <f>-673.659071855111 -88.8651614369055 -613.063737007263</f>
        <v>-1375.5879702992795</v>
      </c>
      <c r="I1396">
        <f>-649.57294206177 -86.2138126977025 -692.548826671716</f>
        <v>-1428.3355814311885</v>
      </c>
      <c r="J1396">
        <f>-680.256917027974 -59.768423603218 -559.368748181083</f>
        <v>-1299.3940888122752</v>
      </c>
      <c r="K1396" t="s">
        <v>14370</v>
      </c>
      <c r="L1396" t="s">
        <v>14371</v>
      </c>
      <c r="M1396" t="s">
        <v>14372</v>
      </c>
      <c r="N1396">
        <f>-668.126977796832 -113.799117415208 -557.197774211288</f>
        <v>-1339.123869423328</v>
      </c>
      <c r="O1396">
        <f>-638.737203847891 -243.606866485218 -522.774592551841</f>
        <v>-1405.11866288495</v>
      </c>
      <c r="P1396">
        <f>-627.248031142884 -289.484191797317 -232.336212103428</f>
        <v>-1149.0684350436291</v>
      </c>
      <c r="Q1396">
        <f>-475.951055740542 -105.378208964696 -267.904159172605</f>
        <v>-849.23342387784305</v>
      </c>
      <c r="R1396" t="s">
        <v>14373</v>
      </c>
      <c r="S1396" t="s">
        <v>14374</v>
      </c>
      <c r="T1396" t="s">
        <v>14375</v>
      </c>
      <c r="U1396" t="s">
        <v>14376</v>
      </c>
      <c r="V1396">
        <f>-613.767224916647 -145.411620084244 -94.8563895873974</f>
        <v>-854.0352345882884</v>
      </c>
      <c r="W1396" t="s">
        <v>14377</v>
      </c>
      <c r="X1396" t="s">
        <v>14378</v>
      </c>
      <c r="Y1396" t="s">
        <v>14379</v>
      </c>
    </row>
    <row r="1397" spans="1:25" x14ac:dyDescent="0.3">
      <c r="A1397">
        <v>69800</v>
      </c>
      <c r="B1397" t="s">
        <v>14380</v>
      </c>
      <c r="C1397">
        <f>-645.980313034273 -55.5385592826574 -98.4760489260334</f>
        <v>-799.99492124296376</v>
      </c>
      <c r="D1397">
        <f>-662.3580212555 -67.4644746442368 -212.518820570535</f>
        <v>-942.34131647027186</v>
      </c>
      <c r="E1397">
        <f>-669.261244481567 -74.4728597545682 -310.650750986461</f>
        <v>-1054.3848552225961</v>
      </c>
      <c r="F1397">
        <f>-673.166203930761 -79.8061855315748 -399.502063654866</f>
        <v>-1152.4744531172018</v>
      </c>
      <c r="G1397">
        <f>-674.370102730442 -84.1039560471827 -488.48708910186</f>
        <v>-1246.9611478794848</v>
      </c>
      <c r="H1397">
        <f>-673.19618102523 -89.0862418251984 -612.964429276261</f>
        <v>-1375.2468521266892</v>
      </c>
      <c r="I1397">
        <f>-649.050455269668 -86.5492125255907 -692.434881929502</f>
        <v>-1428.0345497247608</v>
      </c>
      <c r="J1397">
        <f>-679.757363524838 -59.8759764519084 -559.326519615523</f>
        <v>-1298.9598595922694</v>
      </c>
      <c r="K1397" t="s">
        <v>14381</v>
      </c>
      <c r="L1397" t="s">
        <v>14382</v>
      </c>
      <c r="M1397" t="s">
        <v>14383</v>
      </c>
      <c r="N1397">
        <f>-667.668435981537 -113.911620759852 -557.049649033399</f>
        <v>-1338.6297057747879</v>
      </c>
      <c r="O1397">
        <f>-638.286196464619 -243.664827510928 -522.427647224543</f>
        <v>-1404.3786712000901</v>
      </c>
      <c r="P1397">
        <f>-626.770768365498 -289.18573562057 -231.934251302004</f>
        <v>-1147.8907552880719</v>
      </c>
      <c r="Q1397">
        <f>-475.497627587503 -105.093873742348 -267.676106407419</f>
        <v>-848.26760773727005</v>
      </c>
      <c r="R1397" t="s">
        <v>14384</v>
      </c>
      <c r="S1397" t="s">
        <v>14385</v>
      </c>
      <c r="T1397" t="s">
        <v>14386</v>
      </c>
      <c r="U1397" t="s">
        <v>14387</v>
      </c>
      <c r="V1397">
        <f>-613.40620772382 -145.191024116805 -94.8084729223331</f>
        <v>-853.40570476295807</v>
      </c>
      <c r="W1397" t="s">
        <v>14388</v>
      </c>
      <c r="X1397" t="s">
        <v>14389</v>
      </c>
      <c r="Y1397" t="s">
        <v>14390</v>
      </c>
    </row>
    <row r="1398" spans="1:25" x14ac:dyDescent="0.3">
      <c r="A1398">
        <v>69850</v>
      </c>
      <c r="B1398" t="s">
        <v>14391</v>
      </c>
      <c r="C1398">
        <f>-645.669433426786 -55.2029486127062 -98.4409785739416</f>
        <v>-799.31336061343382</v>
      </c>
      <c r="D1398">
        <f>-662.045666337038 -67.0974452059959 -212.487256756427</f>
        <v>-941.63036829946088</v>
      </c>
      <c r="E1398">
        <f>-668.934625788149 -74.1226005418246 -310.619031823488</f>
        <v>-1053.6762581534615</v>
      </c>
      <c r="F1398">
        <f>-672.822737494123 -79.4875298056061 -399.469062052535</f>
        <v>-1151.7793293522641</v>
      </c>
      <c r="G1398">
        <f>-674.006206624613 -83.8339300803343 -488.451903666874</f>
        <v>-1246.2920403718213</v>
      </c>
      <c r="H1398">
        <f>-672.800306870879 -88.9015571311932 -612.925589879297</f>
        <v>-1374.6274538813691</v>
      </c>
      <c r="I1398">
        <f>-648.608279739753 -86.4058932396147 -692.38345503135</f>
        <v>-1427.3976280107177</v>
      </c>
      <c r="J1398">
        <f>-679.361344520437 -59.6514119971253 -559.309429629959</f>
        <v>-1298.3221861475213</v>
      </c>
      <c r="K1398" t="s">
        <v>14392</v>
      </c>
      <c r="L1398" t="s">
        <v>14393</v>
      </c>
      <c r="M1398" t="s">
        <v>14394</v>
      </c>
      <c r="N1398">
        <f>-667.300667333432 -113.691567639767 -556.992485989003</f>
        <v>-1337.9847209622019</v>
      </c>
      <c r="O1398">
        <f>-637.933037190331 -243.428348805819 -522.274340286246</f>
        <v>-1403.635726282396</v>
      </c>
      <c r="P1398">
        <f>-626.393814421622 -288.885735020129 -231.771963670312</f>
        <v>-1147.051513112063</v>
      </c>
      <c r="Q1398">
        <f>-475.272137296928 -104.681876334802 -267.577360356315</f>
        <v>-847.53137398804506</v>
      </c>
      <c r="R1398" t="s">
        <v>14395</v>
      </c>
      <c r="S1398" t="s">
        <v>14396</v>
      </c>
      <c r="T1398" t="s">
        <v>14397</v>
      </c>
      <c r="U1398" t="s">
        <v>14398</v>
      </c>
      <c r="V1398">
        <f>-613.149772175546 -144.828669745495 -94.7982998005967</f>
        <v>-852.77674172163768</v>
      </c>
      <c r="W1398" t="s">
        <v>14399</v>
      </c>
      <c r="X1398" t="s">
        <v>14400</v>
      </c>
      <c r="Y1398" t="s">
        <v>14401</v>
      </c>
    </row>
    <row r="1399" spans="1:25" x14ac:dyDescent="0.3">
      <c r="A1399">
        <v>69900</v>
      </c>
      <c r="B1399" t="s">
        <v>14402</v>
      </c>
      <c r="C1399">
        <f>-645.13275398485 -54.5960450005043 -98.404659717786</f>
        <v>-798.13345870314026</v>
      </c>
      <c r="D1399">
        <f>-661.517043559762 -66.3902127213148 -212.460314317973</f>
        <v>-940.36757059904983</v>
      </c>
      <c r="E1399">
        <f>-668.343678021613 -73.3882985784924 -310.598349072849</f>
        <v>-1052.3303256729544</v>
      </c>
      <c r="F1399">
        <f>-672.149527674152 -78.7506752006004 -399.452171325739</f>
        <v>-1150.3523742004913</v>
      </c>
      <c r="G1399">
        <f>-673.225497752186 -83.1167219348526 -488.435357262268</f>
        <v>-1244.7775769493066</v>
      </c>
      <c r="H1399">
        <f>-671.843651569412 -88.234932336218 -612.905159584529</f>
        <v>-1372.983743490159</v>
      </c>
      <c r="I1399">
        <f>-647.533191948037 -85.7774352620202 -692.327988622461</f>
        <v>-1425.6386158325181</v>
      </c>
      <c r="J1399">
        <f>-678.455646337346 -58.9575519957327 -559.310120609542</f>
        <v>-1296.7233189426206</v>
      </c>
      <c r="K1399" t="s">
        <v>14403</v>
      </c>
      <c r="L1399" t="s">
        <v>14404</v>
      </c>
      <c r="M1399" t="s">
        <v>14405</v>
      </c>
      <c r="N1399">
        <f>-666.447880453339 -113.007752524214 -556.954306369795</f>
        <v>-1336.409939347348</v>
      </c>
      <c r="O1399">
        <f>-637.13453890998 -242.711502794785 -522.079289068148</f>
        <v>-1401.9253307729132</v>
      </c>
      <c r="P1399">
        <f>-625.660130842285 -288.008189549709 -231.549247216113</f>
        <v>-1145.2175676081069</v>
      </c>
      <c r="Q1399">
        <f>-474.932845987712 -103.433848072681 -267.109454639966</f>
        <v>-845.47614870035898</v>
      </c>
      <c r="R1399" t="s">
        <v>14406</v>
      </c>
      <c r="S1399" t="s">
        <v>14407</v>
      </c>
      <c r="T1399" t="s">
        <v>14408</v>
      </c>
      <c r="U1399" t="s">
        <v>14409</v>
      </c>
      <c r="V1399">
        <f>-612.817392681297 -144.265156875303 -94.7785857092184</f>
        <v>-851.86113526581835</v>
      </c>
      <c r="W1399" t="s">
        <v>14410</v>
      </c>
      <c r="X1399" t="s">
        <v>14411</v>
      </c>
      <c r="Y1399" t="s">
        <v>14412</v>
      </c>
    </row>
    <row r="1400" spans="1:25" x14ac:dyDescent="0.3">
      <c r="A1400">
        <v>69950</v>
      </c>
      <c r="B1400" t="s">
        <v>14413</v>
      </c>
      <c r="C1400">
        <f>-644.822731737035 -54.2437562869927 -98.3951358740092</f>
        <v>-797.46162389803692</v>
      </c>
      <c r="D1400">
        <f>-661.192739593226 -66.0004956990667 -212.456723923347</f>
        <v>-939.64995921563968</v>
      </c>
      <c r="E1400">
        <f>-667.965694159874 -72.9784647442677 -310.599813468126</f>
        <v>-1051.5439723722677</v>
      </c>
      <c r="F1400">
        <f>-671.706955211384 -78.3274245150446 -399.4571975911</f>
        <v>-1149.4915773175285</v>
      </c>
      <c r="G1400">
        <f>-672.702177426207 -82.6848097907966 -488.44182814843</f>
        <v>-1243.8288153654335</v>
      </c>
      <c r="H1400">
        <f>-671.191311697794 -87.7961859159313 -612.910318696492</f>
        <v>-1371.8978163102174</v>
      </c>
      <c r="I1400">
        <f>-646.811352433613 -85.3272717876496 -692.31154088912</f>
        <v>-1424.4501651103826</v>
      </c>
      <c r="J1400">
        <f>-677.853494455143 -58.5205385918789 -559.320570229179</f>
        <v>-1295.694603276201</v>
      </c>
      <c r="K1400" t="s">
        <v>14414</v>
      </c>
      <c r="L1400" t="s">
        <v>14415</v>
      </c>
      <c r="M1400" t="s">
        <v>14416</v>
      </c>
      <c r="N1400">
        <f>-665.858816092113 -112.573330150973 -556.955194020463</f>
        <v>-1335.387340263549</v>
      </c>
      <c r="O1400">
        <f>-636.534457335486 -242.268974249914 -522.053513178656</f>
        <v>-1400.8569447640559</v>
      </c>
      <c r="P1400">
        <f>-625.20085541319 -287.806094806551 -231.555445096761</f>
        <v>-1144.5623953165018</v>
      </c>
      <c r="Q1400">
        <f>-474.704018257666 -102.865441195466 -266.175014583297</f>
        <v>-843.74447403642898</v>
      </c>
      <c r="R1400" t="s">
        <v>14417</v>
      </c>
      <c r="S1400" t="s">
        <v>14418</v>
      </c>
      <c r="T1400" t="s">
        <v>14419</v>
      </c>
      <c r="U1400" t="s">
        <v>14420</v>
      </c>
      <c r="V1400">
        <f>-612.558808137809 -143.878158667305 -94.7791692347492</f>
        <v>-851.21613603986327</v>
      </c>
      <c r="W1400" t="s">
        <v>14421</v>
      </c>
      <c r="X1400" t="s">
        <v>14422</v>
      </c>
      <c r="Y1400" t="s">
        <v>14423</v>
      </c>
    </row>
    <row r="1401" spans="1:25" x14ac:dyDescent="0.3">
      <c r="A1401">
        <v>70000</v>
      </c>
      <c r="B1401" t="s">
        <v>14424</v>
      </c>
      <c r="C1401">
        <f>-644.244658012377 -53.8219164902787 -98.3587390590219</f>
        <v>-796.42531356167763</v>
      </c>
      <c r="D1401">
        <f>-660.561565444117 -65.4740421375848 -212.438603983231</f>
        <v>-938.47421156493283</v>
      </c>
      <c r="E1401">
        <f>-667.231028016695 -72.3505075406156 -310.595973860424</f>
        <v>-1050.1775094177347</v>
      </c>
      <c r="F1401">
        <f>-670.855504164069 -77.602390986636 -399.464084925373</f>
        <v>-1147.9219800760779</v>
      </c>
      <c r="G1401">
        <f>-671.711067944728 -81.8576358478731 -488.455111518304</f>
        <v>-1242.0238153109051</v>
      </c>
      <c r="H1401">
        <f>-669.9805043306 -86.820696291928 -612.92671343063</f>
        <v>-1369.727914053158</v>
      </c>
      <c r="I1401">
        <f>-645.456311089996 -84.2197217096111 -692.27926298304</f>
        <v>-1421.9552957826472</v>
      </c>
      <c r="J1401">
        <f>-676.753753538015 -57.6126558341775 -559.313961687647</f>
        <v>-1293.6803710598394</v>
      </c>
      <c r="K1401" t="s">
        <v>14425</v>
      </c>
      <c r="L1401" t="s">
        <v>14426</v>
      </c>
      <c r="M1401" t="s">
        <v>14427</v>
      </c>
      <c r="N1401">
        <f>-664.730300039293 -111.660829193148 -556.991734012651</f>
        <v>-1333.382863245092</v>
      </c>
      <c r="O1401">
        <f>-635.369585799891 -241.36802401204 -522.197094788957</f>
        <v>-1398.9347046008879</v>
      </c>
      <c r="P1401">
        <f>-624.165324886118 -287.223307695678 -231.74392092992</f>
        <v>-1143.132553511716</v>
      </c>
      <c r="Q1401">
        <f>-473.927034335189 -101.761250950994 -264.65518235893</f>
        <v>-840.34346764511292</v>
      </c>
      <c r="R1401" t="s">
        <v>14428</v>
      </c>
      <c r="S1401" t="s">
        <v>14429</v>
      </c>
      <c r="T1401" t="s">
        <v>14430</v>
      </c>
      <c r="U1401" t="s">
        <v>14431</v>
      </c>
      <c r="V1401">
        <f>-612.103994583112 -143.550550890729 -94.7853429087327</f>
        <v>-850.43988838257371</v>
      </c>
      <c r="W1401" t="s">
        <v>14432</v>
      </c>
      <c r="X1401" t="s">
        <v>14433</v>
      </c>
      <c r="Y1401" t="s">
        <v>14434</v>
      </c>
    </row>
    <row r="1402" spans="1:25" x14ac:dyDescent="0.3">
      <c r="A1402">
        <v>70050</v>
      </c>
      <c r="B1402" t="s">
        <v>14435</v>
      </c>
      <c r="C1402">
        <f>-643.985970686369 -53.6410237179623 -98.3251544811409</f>
        <v>-795.95214888547218</v>
      </c>
      <c r="D1402">
        <f>-660.286188917472 -65.2436082903462 -212.41243230767</f>
        <v>-937.94222951548818</v>
      </c>
      <c r="E1402">
        <f>-666.90951417717 -72.0708945347451 -310.576524705838</f>
        <v>-1049.556933417753</v>
      </c>
      <c r="F1402">
        <f>-670.479660592241 -77.2757204946506 -399.449515680801</f>
        <v>-1147.2048967676926</v>
      </c>
      <c r="G1402">
        <f>-671.268025652785 -81.4810968587178 -488.443496857892</f>
        <v>-1241.1926193693948</v>
      </c>
      <c r="H1402">
        <f>-669.430458295201 -86.3714877332034 -612.91645761147</f>
        <v>-1368.7184036398744</v>
      </c>
      <c r="I1402">
        <f>-644.815909770043 -83.6834883611184 -692.238123245657</f>
        <v>-1420.7375213768184</v>
      </c>
      <c r="J1402">
        <f>-676.268695217351 -57.1989513759736 -559.29262652783</f>
        <v>-1292.7602731211546</v>
      </c>
      <c r="K1402" t="s">
        <v>14436</v>
      </c>
      <c r="L1402" t="s">
        <v>14437</v>
      </c>
      <c r="M1402" t="s">
        <v>14438</v>
      </c>
      <c r="N1402">
        <f>-664.209616298413 -111.240124098316 -556.991485760927</f>
        <v>-1332.441226157656</v>
      </c>
      <c r="O1402">
        <f>-634.766034488434 -240.948852757662 -522.278878082183</f>
        <v>-1397.9937653282791</v>
      </c>
      <c r="P1402">
        <f>-623.31392049858 -287.226379420756 -231.902497245357</f>
        <v>-1142.442797164693</v>
      </c>
      <c r="Q1402">
        <f>-473.393722468246 -101.19072385856 -262.975620842869</f>
        <v>-837.56006716967499</v>
      </c>
      <c r="R1402" t="s">
        <v>14439</v>
      </c>
      <c r="S1402" t="s">
        <v>14440</v>
      </c>
      <c r="T1402" t="s">
        <v>14441</v>
      </c>
      <c r="U1402" t="s">
        <v>14442</v>
      </c>
      <c r="V1402">
        <f>-611.906732457221 -143.404685887458 -94.7723378405983</f>
        <v>-850.08375618527725</v>
      </c>
      <c r="W1402" t="s">
        <v>14443</v>
      </c>
      <c r="X1402" t="s">
        <v>14444</v>
      </c>
      <c r="Y1402" t="s">
        <v>14445</v>
      </c>
    </row>
    <row r="1403" spans="1:25" x14ac:dyDescent="0.3">
      <c r="A1403">
        <v>70100</v>
      </c>
      <c r="B1403" t="s">
        <v>14446</v>
      </c>
      <c r="C1403">
        <f>-643.605975491418 -53.2413358837396 -98.2783631850945</f>
        <v>-795.12567456025204</v>
      </c>
      <c r="D1403">
        <f>-659.880478512472 -64.6956953933029 -212.384269989539</f>
        <v>-936.96044389531392</v>
      </c>
      <c r="E1403">
        <f>-666.393751561026 -71.4196866488649 -310.562793499937</f>
        <v>-1048.3762317098278</v>
      </c>
      <c r="F1403">
        <f>-669.829787329557 -76.5408169997659 -399.445812719205</f>
        <v>-1145.8164170485279</v>
      </c>
      <c r="G1403">
        <f>-670.45028070895 -80.6713916072881 -488.44467565835</f>
        <v>-1239.5663479745881</v>
      </c>
      <c r="H1403">
        <f>-668.34314255631 -85.4663656898722 -612.917167102445</f>
        <v>-1366.7266753486272</v>
      </c>
      <c r="I1403">
        <f>-643.522301287534 -82.6029647165944 -692.168461680228</f>
        <v>-1418.2937276843563</v>
      </c>
      <c r="J1403">
        <f>-675.340599213627 -56.3445252771728 -559.286290524287</f>
        <v>-1290.9714150150867</v>
      </c>
      <c r="K1403" t="s">
        <v>14447</v>
      </c>
      <c r="L1403" t="s">
        <v>14448</v>
      </c>
      <c r="M1403" t="s">
        <v>14449</v>
      </c>
      <c r="N1403">
        <f>-663.20003788692 -110.368025042619 -556.999669057243</f>
        <v>-1330.5677319867818</v>
      </c>
      <c r="O1403">
        <f>-633.527264749408 -240.051959180225 -522.398551716576</f>
        <v>-1395.977775646209</v>
      </c>
      <c r="P1403">
        <f>-621.432559919183 -286.815092694219 -232.125994086499</f>
        <v>-1140.373646699901</v>
      </c>
      <c r="Q1403">
        <f>-471.797604693717 -99.7858117553149 -258.208622548477</f>
        <v>-829.79203899750894</v>
      </c>
      <c r="R1403" t="s">
        <v>14450</v>
      </c>
      <c r="S1403" t="s">
        <v>14451</v>
      </c>
      <c r="T1403" t="s">
        <v>14452</v>
      </c>
      <c r="U1403" t="s">
        <v>14453</v>
      </c>
      <c r="V1403">
        <f>-611.521067335665 -143.127272114457 -94.7854386207387</f>
        <v>-849.43377807086063</v>
      </c>
      <c r="W1403" t="s">
        <v>14454</v>
      </c>
      <c r="X1403" t="s">
        <v>14455</v>
      </c>
      <c r="Y1403" t="s">
        <v>14456</v>
      </c>
    </row>
    <row r="1404" spans="1:25" x14ac:dyDescent="0.3">
      <c r="A1404">
        <v>70150</v>
      </c>
      <c r="B1404" t="s">
        <v>14457</v>
      </c>
      <c r="C1404">
        <f>-643.5241790051 -53.2069045087133 -98.2410090335749</f>
        <v>-794.97209254738812</v>
      </c>
      <c r="D1404">
        <f>-659.791508695664 -64.5790332157078 -212.356260434534</f>
        <v>-936.72680234590575</v>
      </c>
      <c r="E1404">
        <f>-666.232771170369 -71.2599057523485 -310.542384774251</f>
        <v>-1048.0350616969686</v>
      </c>
      <c r="F1404">
        <f>-669.577663974557 -76.353395893567 -399.430607505938</f>
        <v>-1145.3616673740621</v>
      </c>
      <c r="G1404">
        <f>-670.081532951903 -80.4689705372548 -488.4308572441</f>
        <v>-1238.9813607332578</v>
      </c>
      <c r="H1404">
        <f>-667.784441786118 -85.2560612755392 -612.900159712256</f>
        <v>-1365.9406627739131</v>
      </c>
      <c r="I1404">
        <f>-642.847858751097 -82.3481207877746 -692.113455953053</f>
        <v>-1417.3094354919244</v>
      </c>
      <c r="J1404">
        <f>-674.865438114003 -56.1379865634271 -559.278368056547</f>
        <v>-1290.2817927339772</v>
      </c>
      <c r="K1404" t="s">
        <v>14458</v>
      </c>
      <c r="L1404" t="s">
        <v>14459</v>
      </c>
      <c r="M1404" t="s">
        <v>14460</v>
      </c>
      <c r="N1404">
        <f>-662.724938815952 -110.160931228024 -556.976485328437</f>
        <v>-1329.8623553724128</v>
      </c>
      <c r="O1404">
        <f>-633.035241291929 -239.83857165544 -522.387964583569</f>
        <v>-1395.2617775309379</v>
      </c>
      <c r="P1404">
        <f>-620.785110336892 -286.761945336016 -232.147837944828</f>
        <v>-1139.6948936177362</v>
      </c>
      <c r="Q1404">
        <f>-471.174460383811 -99.3162630873035 -255.20700166782</f>
        <v>-825.69772513893452</v>
      </c>
      <c r="R1404" t="s">
        <v>14461</v>
      </c>
      <c r="S1404" t="s">
        <v>14462</v>
      </c>
      <c r="T1404" t="s">
        <v>14463</v>
      </c>
      <c r="U1404" t="s">
        <v>14464</v>
      </c>
      <c r="V1404">
        <f>-611.509479937785 -143.191445694835 -94.7915466734052</f>
        <v>-849.49247230602521</v>
      </c>
      <c r="W1404" t="s">
        <v>14465</v>
      </c>
      <c r="X1404" t="s">
        <v>14466</v>
      </c>
      <c r="Y1404" t="s">
        <v>14467</v>
      </c>
    </row>
    <row r="1405" spans="1:25" x14ac:dyDescent="0.3">
      <c r="A1405">
        <v>70200</v>
      </c>
      <c r="B1405" t="s">
        <v>14468</v>
      </c>
      <c r="C1405">
        <f>-643.718853217804 -52.8910584665412 -98.1526637961232</f>
        <v>-794.7625754804684</v>
      </c>
      <c r="D1405">
        <f>-659.894684419826 -64.0883898124239 -212.298166356578</f>
        <v>-936.28124058882793</v>
      </c>
      <c r="E1405">
        <f>-666.112805984758 -70.699307356369 -310.503447860247</f>
        <v>-1047.3155612013738</v>
      </c>
      <c r="F1405">
        <f>-669.1988263724 -75.765354394217 -399.402607994336</f>
        <v>-1144.3667887609531</v>
      </c>
      <c r="G1405">
        <f>-669.386213809322 -79.8915142037579 -488.40363911994</f>
        <v>-1237.6813671330199</v>
      </c>
      <c r="H1405">
        <f>-666.587733660821 -84.7367296680618 -612.86045201832</f>
        <v>-1364.1849153472026</v>
      </c>
      <c r="I1405">
        <f>-641.412339194528 -81.8451608805001 -691.998610065243</f>
        <v>-1415.2561101402712</v>
      </c>
      <c r="J1405">
        <f>-673.824544084365 -55.5802283311352 -559.280216207398</f>
        <v>-1288.6849886228983</v>
      </c>
      <c r="K1405" t="s">
        <v>14469</v>
      </c>
      <c r="L1405" t="s">
        <v>14470</v>
      </c>
      <c r="M1405" t="s">
        <v>14471</v>
      </c>
      <c r="N1405">
        <f>-661.813835738404 -109.629105095332 -556.905965564416</f>
        <v>-1328.3489063981519</v>
      </c>
      <c r="O1405">
        <f>-632.411814786902 -239.390712804737 -522.329046005015</f>
        <v>-1394.1315735966541</v>
      </c>
      <c r="P1405">
        <f>-620.760031029796 -286.023452340139 -232.017559326528</f>
        <v>-1138.8010426964629</v>
      </c>
      <c r="Q1405">
        <f>-470.269455655266 -98.73307853234 -250.06651576396</f>
        <v>-819.06904995156606</v>
      </c>
      <c r="R1405" t="s">
        <v>14472</v>
      </c>
      <c r="S1405" t="s">
        <v>14473</v>
      </c>
      <c r="T1405" t="s">
        <v>14474</v>
      </c>
      <c r="U1405" t="s">
        <v>14475</v>
      </c>
      <c r="V1405">
        <f>-611.792364243807 -142.946764400838 -94.8044962045851</f>
        <v>-849.54362484923013</v>
      </c>
      <c r="W1405" t="s">
        <v>14476</v>
      </c>
      <c r="X1405" t="s">
        <v>14477</v>
      </c>
      <c r="Y1405" t="s">
        <v>14478</v>
      </c>
    </row>
    <row r="1406" spans="1:25" x14ac:dyDescent="0.3">
      <c r="A1406">
        <v>70250</v>
      </c>
      <c r="B1406" t="s">
        <v>14479</v>
      </c>
      <c r="C1406">
        <f>-643.962896720537 -52.4840282005237 -98.1454590462833</f>
        <v>-794.59238396734395</v>
      </c>
      <c r="D1406">
        <f>-660.055838567353 -63.5984388648055 -212.310849435114</f>
        <v>-935.9651268672726</v>
      </c>
      <c r="E1406">
        <f>-666.152158568827 -70.1793970431745 -310.525761245676</f>
        <v>-1046.8573168576775</v>
      </c>
      <c r="F1406">
        <f>-669.107514532475 -75.2373525866094 -399.429806831111</f>
        <v>-1143.7746739501954</v>
      </c>
      <c r="G1406">
        <f>-669.14418422154 -79.3760655952046 -488.430421986244</f>
        <v>-1236.9506718029886</v>
      </c>
      <c r="H1406">
        <f>-666.114017068184 -84.2619113136457 -612.88016571444</f>
        <v>-1363.2560940962696</v>
      </c>
      <c r="I1406">
        <f>-640.83942501676 -81.3826328159323 -691.987279213347</f>
        <v>-1414.2093370460393</v>
      </c>
      <c r="J1406">
        <f>-673.393291342114 -55.0751348759957 -559.322277432352</f>
        <v>-1287.7907036504616</v>
      </c>
      <c r="K1406" t="s">
        <v>14480</v>
      </c>
      <c r="L1406" t="s">
        <v>14481</v>
      </c>
      <c r="M1406" t="s">
        <v>14482</v>
      </c>
      <c r="N1406">
        <f>-661.501689264506 -109.148656345804 -556.909785651836</f>
        <v>-1327.5601312621461</v>
      </c>
      <c r="O1406">
        <f>-632.410824657755 -238.97138479853 -522.292033215997</f>
        <v>-1393.6742426722822</v>
      </c>
      <c r="P1406">
        <f>-621.387163484487 -285.17808918348 -231.887870545593</f>
        <v>-1138.45312321356</v>
      </c>
      <c r="Q1406">
        <f>-470.015197632308 -98.416666122778 -247.938234249561</f>
        <v>-816.37009800464693</v>
      </c>
      <c r="R1406" t="s">
        <v>14483</v>
      </c>
      <c r="S1406" t="s">
        <v>14484</v>
      </c>
      <c r="T1406" t="s">
        <v>14485</v>
      </c>
      <c r="U1406" t="s">
        <v>14486</v>
      </c>
      <c r="V1406">
        <f>-612.021784883689 -142.524284968993 -94.8375218952386</f>
        <v>-849.3835917479206</v>
      </c>
      <c r="W1406" t="s">
        <v>14487</v>
      </c>
      <c r="X1406" t="s">
        <v>14488</v>
      </c>
      <c r="Y1406" t="s">
        <v>14489</v>
      </c>
    </row>
    <row r="1407" spans="1:25" x14ac:dyDescent="0.3">
      <c r="A1407">
        <v>70300</v>
      </c>
      <c r="B1407" t="s">
        <v>14490</v>
      </c>
      <c r="C1407">
        <f>-644.788785295125 -51.2405601829801 -98.2268016372456</f>
        <v>-794.25614711535059</v>
      </c>
      <c r="D1407">
        <f>-660.609553447349 -62.3010440497537 -212.435335838477</f>
        <v>-935.34593333557973</v>
      </c>
      <c r="E1407">
        <f>-666.363676950982 -68.8040667627015 -310.676081173403</f>
        <v>-1045.8438248870866</v>
      </c>
      <c r="F1407">
        <f>-668.963642832555 -73.7843884132931 -399.595661995709</f>
        <v>-1142.343693241557</v>
      </c>
      <c r="G1407">
        <f>-668.598184949181 -77.8425703301066 -488.599221042933</f>
        <v>-1235.0399763222206</v>
      </c>
      <c r="H1407">
        <f>-664.955966675228 -82.6162764599997 -613.037045487766</f>
        <v>-1360.6092886229935</v>
      </c>
      <c r="I1407">
        <f>-639.516007558068 -79.6088921301416 -692.086353755232</f>
        <v>-1411.2112534434418</v>
      </c>
      <c r="J1407">
        <f>-672.418343935205 -53.4601852929693 -559.487527045365</f>
        <v>-1285.3660562735395</v>
      </c>
      <c r="K1407" t="s">
        <v>14491</v>
      </c>
      <c r="L1407" t="s">
        <v>14492</v>
      </c>
      <c r="M1407" t="s">
        <v>14493</v>
      </c>
      <c r="N1407">
        <f>-660.698990083949 -107.570967025904 -557.068839966447</f>
        <v>-1325.3387970762999</v>
      </c>
      <c r="O1407">
        <f>-632.081889557341 -237.501193165005 -522.418957580382</f>
        <v>-1392.0020403027279</v>
      </c>
      <c r="P1407">
        <f>-623.257579773043 -283.942686757551 -231.976930700734</f>
        <v>-1139.1771972313279</v>
      </c>
      <c r="Q1407">
        <f>-470.367767147283 -98.1251034967456 -244.118658682509</f>
        <v>-812.61152932653761</v>
      </c>
      <c r="R1407" t="s">
        <v>14494</v>
      </c>
      <c r="S1407" t="s">
        <v>14495</v>
      </c>
      <c r="T1407" t="s">
        <v>14496</v>
      </c>
      <c r="U1407" t="s">
        <v>14497</v>
      </c>
      <c r="V1407">
        <f>-612.551005207324 -141.403434578645 -94.9154244110551</f>
        <v>-848.86986419702419</v>
      </c>
      <c r="W1407" t="s">
        <v>14498</v>
      </c>
      <c r="X1407" t="s">
        <v>14499</v>
      </c>
      <c r="Y1407" t="s">
        <v>14500</v>
      </c>
    </row>
    <row r="1408" spans="1:25" x14ac:dyDescent="0.3">
      <c r="A1408">
        <v>70350</v>
      </c>
      <c r="B1408" t="s">
        <v>14501</v>
      </c>
      <c r="C1408">
        <f>-645.291745945738 -50.4792211286522 -98.2903696647095</f>
        <v>-794.0613367390996</v>
      </c>
      <c r="D1408">
        <f>-660.956530846015 -61.5618070386979 -212.518232124629</f>
        <v>-935.03657000934186</v>
      </c>
      <c r="E1408">
        <f>-666.511492973965 -67.9764620462322 -310.776402221328</f>
        <v>-1045.2643572415252</v>
      </c>
      <c r="F1408">
        <f>-668.902220925297 -72.8384788238504 -399.708259498422</f>
        <v>-1141.4489592475695</v>
      </c>
      <c r="G1408">
        <f>-668.296493216864 -76.7420120847241 -488.717391701435</f>
        <v>-1233.7558970030232</v>
      </c>
      <c r="H1408">
        <f>-664.285278835001 -81.2634556660207 -613.153252911314</f>
        <v>-1358.7019874123357</v>
      </c>
      <c r="I1408">
        <f>-638.830145828435 -78.1085503863703 -692.192030964932</f>
        <v>-1409.1307271797373</v>
      </c>
      <c r="J1408">
        <f>-671.912796118819 -52.2173974093839 -559.567298435479</f>
        <v>-1283.6974919636818</v>
      </c>
      <c r="K1408" t="s">
        <v>14502</v>
      </c>
      <c r="L1408" t="s">
        <v>14503</v>
      </c>
      <c r="M1408" t="s">
        <v>14504</v>
      </c>
      <c r="N1408">
        <f>-660.188086577608 -106.330185098017 -557.223157853639</f>
        <v>-1323.741429529264</v>
      </c>
      <c r="O1408">
        <f>-631.685256453626 -236.320392583649 -522.737039204489</f>
        <v>-1390.742688241764</v>
      </c>
      <c r="P1408">
        <f>-624.365935108171 -282.513786097412 -232.213659337288</f>
        <v>-1139.093380542871</v>
      </c>
      <c r="Q1408">
        <f>-469.700173216696 -98.0958985630064 -243.14093570442</f>
        <v>-810.93700748412243</v>
      </c>
      <c r="R1408" t="s">
        <v>14505</v>
      </c>
      <c r="S1408" t="s">
        <v>14506</v>
      </c>
      <c r="T1408" t="s">
        <v>14507</v>
      </c>
      <c r="U1408" t="s">
        <v>14508</v>
      </c>
      <c r="V1408">
        <f>-612.775825917686 -140.573025846465 -94.9726201222931</f>
        <v>-848.3214718864441</v>
      </c>
      <c r="W1408" t="s">
        <v>14509</v>
      </c>
      <c r="X1408" t="s">
        <v>14510</v>
      </c>
      <c r="Y1408" t="s">
        <v>14511</v>
      </c>
    </row>
    <row r="1409" spans="1:25" x14ac:dyDescent="0.3">
      <c r="A1409">
        <v>70400</v>
      </c>
      <c r="B1409" t="s">
        <v>14512</v>
      </c>
      <c r="C1409">
        <f>-646.417386016369 -49.7018479249573 -98.3674538791644</f>
        <v>-794.48668782049072</v>
      </c>
      <c r="D1409">
        <f>-661.710011533676 -60.9345093559616 -212.631109056972</f>
        <v>-935.27562994660968</v>
      </c>
      <c r="E1409">
        <f>-666.842801086795 -67.0511829346517 -310.931098642159</f>
        <v>-1044.8250826636058</v>
      </c>
      <c r="F1409">
        <f>-668.798687957385 -71.4857827673027 -399.896037586258</f>
        <v>-1140.1805083109457</v>
      </c>
      <c r="G1409">
        <f>-667.700780828554 -74.8052598573627 -488.92416338027</f>
        <v>-1231.4302040661867</v>
      </c>
      <c r="H1409">
        <f>-662.936373089374 -78.3508272780264 -613.365203657549</f>
        <v>-1354.6524040249494</v>
      </c>
      <c r="I1409">
        <f>-637.478352465268 -74.5925819196491 -692.37641461219</f>
        <v>-1404.4473489971072</v>
      </c>
      <c r="J1409">
        <f>-671.061321575676 -49.7637025953877 -559.605635085234</f>
        <v>-1280.4306592562975</v>
      </c>
      <c r="K1409" t="s">
        <v>14513</v>
      </c>
      <c r="L1409" t="s">
        <v>14514</v>
      </c>
      <c r="M1409" t="s">
        <v>14515</v>
      </c>
      <c r="N1409">
        <f>-659.004647016519 -103.81741679206 -557.604058884184</f>
        <v>-1320.4261226927631</v>
      </c>
      <c r="O1409">
        <f>-629.92994244017 -233.90479564463 -523.920564725079</f>
        <v>-1387.7553028098789</v>
      </c>
      <c r="P1409">
        <f>-624.51730406854 -281.817926181339 -233.634106369168</f>
        <v>-1139.969336619047</v>
      </c>
      <c r="Q1409">
        <f>-469.006555601537 -97.9953824063116 -242.385911189963</f>
        <v>-809.38784919781165</v>
      </c>
      <c r="R1409" t="s">
        <v>14516</v>
      </c>
      <c r="S1409" t="s">
        <v>14517</v>
      </c>
      <c r="T1409" t="s">
        <v>14518</v>
      </c>
      <c r="U1409" t="s">
        <v>14519</v>
      </c>
      <c r="V1409">
        <f>-612.615798790336 -139.651030499209 -95.0550293329696</f>
        <v>-847.3218586225147</v>
      </c>
      <c r="W1409" t="s">
        <v>14520</v>
      </c>
      <c r="X1409" t="s">
        <v>14521</v>
      </c>
      <c r="Y1409" t="s">
        <v>14522</v>
      </c>
    </row>
    <row r="1410" spans="1:25" x14ac:dyDescent="0.3">
      <c r="A1410">
        <v>70450</v>
      </c>
      <c r="B1410" t="s">
        <v>14523</v>
      </c>
      <c r="C1410">
        <f>-646.922015562283 -50.2644400124084 -98.3981547860792</f>
        <v>-795.58461036077063</v>
      </c>
      <c r="D1410">
        <f>-662.058410647048 -61.5444225541439 -212.677965402255</f>
        <v>-936.28079860344701</v>
      </c>
      <c r="E1410">
        <f>-667.010830870687 -67.4008257566672 -311.003073791446</f>
        <v>-1045.4147304188002</v>
      </c>
      <c r="F1410">
        <f>-668.777467587042 -71.4853465204819 -399.988669959887</f>
        <v>-1140.251484067411</v>
      </c>
      <c r="G1410">
        <f>-667.461760326258 -74.3389692341968 -489.030036249356</f>
        <v>-1230.8307658098108</v>
      </c>
      <c r="H1410">
        <f>-662.359737083502 -77.1133794773755 -613.477140884839</f>
        <v>-1352.9502574457165</v>
      </c>
      <c r="I1410">
        <f>-636.951449639084 -72.8830497862837 -692.480666753409</f>
        <v>-1402.3151661787765</v>
      </c>
      <c r="J1410">
        <f>-670.801597930267 -48.8987467154523 -559.569970310363</f>
        <v>-1279.2703149560823</v>
      </c>
      <c r="K1410" t="s">
        <v>14524</v>
      </c>
      <c r="L1410" t="s">
        <v>14525</v>
      </c>
      <c r="M1410" t="s">
        <v>14526</v>
      </c>
      <c r="N1410">
        <f>-658.408306077271 -102.886127729136 -557.858393835413</f>
        <v>-1319.1528276418201</v>
      </c>
      <c r="O1410">
        <f>-628.64398257735 -232.988281856175 -524.886393718036</f>
        <v>-1386.5186581515609</v>
      </c>
      <c r="P1410">
        <f>-623.832195951999 -282.192540406707 -234.805345255007</f>
        <v>-1140.830081613713</v>
      </c>
      <c r="Q1410">
        <f>-468.322728148771 -98.3394849432414 -242.912978026969</f>
        <v>-809.57519111898137</v>
      </c>
      <c r="R1410" t="s">
        <v>14527</v>
      </c>
      <c r="S1410" t="s">
        <v>14528</v>
      </c>
      <c r="T1410" t="s">
        <v>14529</v>
      </c>
      <c r="U1410" t="s">
        <v>14530</v>
      </c>
      <c r="V1410">
        <f>-612.685479570583 -140.344434694517 -95.1155734652037</f>
        <v>-848.14548773030367</v>
      </c>
      <c r="W1410" t="s">
        <v>14531</v>
      </c>
      <c r="X1410" t="s">
        <v>14532</v>
      </c>
      <c r="Y1410" t="s">
        <v>14533</v>
      </c>
    </row>
    <row r="1411" spans="1:25" x14ac:dyDescent="0.3">
      <c r="A1411">
        <v>70500</v>
      </c>
      <c r="B1411" t="s">
        <v>14534</v>
      </c>
      <c r="C1411">
        <f>-647.615445571241 -52.4650384521917 -98.4716467049514</f>
        <v>-798.5521307283841</v>
      </c>
      <c r="D1411">
        <f>-662.508280825297 -64.0534028325355 -212.752622896092</f>
        <v>-939.31430655392455</v>
      </c>
      <c r="E1411">
        <f>-667.231032473389 -69.2514694576589 -311.126019792789</f>
        <v>-1047.6085217238369</v>
      </c>
      <c r="F1411">
        <f>-668.759888841211 -72.3837648287051 -400.154655548149</f>
        <v>-1141.2983092180652</v>
      </c>
      <c r="G1411">
        <f>-667.167102064877 -73.9241706650221 -489.223833552522</f>
        <v>-1230.3151062824211</v>
      </c>
      <c r="H1411">
        <f>-661.627821428106 -74.4876136304235 -613.681911222703</f>
        <v>-1349.7973462812324</v>
      </c>
      <c r="I1411">
        <f>-636.477233888039 -69.0048408473845 -692.691001585362</f>
        <v>-1398.1730763207854</v>
      </c>
      <c r="J1411">
        <f>-670.718567581413 -47.3445678413482 -559.331995127701</f>
        <v>-1277.3951305504622</v>
      </c>
      <c r="K1411" t="s">
        <v>14535</v>
      </c>
      <c r="L1411" t="s">
        <v>14536</v>
      </c>
      <c r="M1411" t="s">
        <v>14537</v>
      </c>
      <c r="N1411">
        <f>-657.412059824371 -101.134941024505 -558.496278276227</f>
        <v>-1317.043279125103</v>
      </c>
      <c r="O1411">
        <f>-625.482945367321 -231.210988684944 -527.498765124254</f>
        <v>-1384.192699176519</v>
      </c>
      <c r="P1411">
        <f>-620.431479173681 -285.511740684935 -238.332517446547</f>
        <v>-1144.2757373051629</v>
      </c>
      <c r="Q1411">
        <f>-470.091797461376 -97.2668685867438 -241.89611040345</f>
        <v>-809.2547764515698</v>
      </c>
      <c r="R1411" t="s">
        <v>14538</v>
      </c>
      <c r="S1411" t="s">
        <v>14539</v>
      </c>
      <c r="T1411" t="s">
        <v>14540</v>
      </c>
      <c r="U1411" t="s">
        <v>14541</v>
      </c>
      <c r="V1411">
        <f>-612.157947958956 -142.13242375942 -95.1656215631532</f>
        <v>-849.45599328152923</v>
      </c>
      <c r="W1411" t="s">
        <v>14542</v>
      </c>
      <c r="X1411" t="s">
        <v>14543</v>
      </c>
      <c r="Y1411" t="s">
        <v>14544</v>
      </c>
    </row>
    <row r="1412" spans="1:25" x14ac:dyDescent="0.3">
      <c r="A1412">
        <v>70550</v>
      </c>
      <c r="B1412" t="s">
        <v>14545</v>
      </c>
      <c r="C1412">
        <f>-647.969246139749 -53.7062154361217 -98.4606901776193</f>
        <v>-800.13615175349003</v>
      </c>
      <c r="D1412">
        <f>-662.77868056168 -65.4307575749719 -212.738507124972</f>
        <v>-940.94794526162389</v>
      </c>
      <c r="E1412">
        <f>-667.432941707059 -70.2056083831999 -311.136724816354</f>
        <v>-1048.7752749066128</v>
      </c>
      <c r="F1412">
        <f>-668.888273138849 -72.7454456840314 -400.185447453075</f>
        <v>-1141.8191662759555</v>
      </c>
      <c r="G1412">
        <f>-667.204857954758 -73.4811154203146 -489.26326460823</f>
        <v>-1229.9492379833027</v>
      </c>
      <c r="H1412">
        <f>-661.515804554382 -72.6980381687044 -613.713384942954</f>
        <v>-1347.9272276660404</v>
      </c>
      <c r="I1412">
        <f>-636.528588513294 -66.4229818434155 -692.715215111712</f>
        <v>-1395.6667854684215</v>
      </c>
      <c r="J1412">
        <f>-670.94415661114 -46.2133256893615 -559.096858707244</f>
        <v>-1276.2543410077456</v>
      </c>
      <c r="K1412" t="s">
        <v>14546</v>
      </c>
      <c r="L1412" t="s">
        <v>14547</v>
      </c>
      <c r="M1412" t="s">
        <v>14548</v>
      </c>
      <c r="N1412">
        <f>-657.094455307657 -99.8720728848102 -558.801261598691</f>
        <v>-1315.7677897911581</v>
      </c>
      <c r="O1412">
        <f>-623.806849207459 -229.888446083438 -529.028912315526</f>
        <v>-1382.7242076064231</v>
      </c>
      <c r="P1412">
        <f>-618.47348103266 -287.282166665796 -240.465706286833</f>
        <v>-1146.2213539852889</v>
      </c>
      <c r="Q1412">
        <f>-472.250745664611 -95.7885906731533 -240.285387540842</f>
        <v>-808.32472387860639</v>
      </c>
      <c r="R1412" t="s">
        <v>14549</v>
      </c>
      <c r="S1412" t="s">
        <v>14550</v>
      </c>
      <c r="T1412" t="s">
        <v>14551</v>
      </c>
      <c r="U1412" t="s">
        <v>14552</v>
      </c>
      <c r="V1412">
        <f>-611.698647140887 -142.976488614305 -95.1713894948615</f>
        <v>-849.84652525005356</v>
      </c>
      <c r="W1412" t="s">
        <v>14553</v>
      </c>
      <c r="X1412" t="s">
        <v>14554</v>
      </c>
      <c r="Y1412" t="s">
        <v>14555</v>
      </c>
    </row>
    <row r="1413" spans="1:25" x14ac:dyDescent="0.3">
      <c r="A1413">
        <v>70600</v>
      </c>
      <c r="B1413" t="s">
        <v>14556</v>
      </c>
      <c r="C1413">
        <f>-648.6492058137 -57.4842118043496 -98.4081745848173</f>
        <v>-804.54159220286681</v>
      </c>
      <c r="D1413">
        <f>-663.044857854205 -69.492272634033 -212.709473438924</f>
        <v>-945.24660392716203</v>
      </c>
      <c r="E1413">
        <f>-667.513918391667 -73.3019706228108 -311.15825044349</f>
        <v>-1051.9741394579678</v>
      </c>
      <c r="F1413">
        <f>-668.840530645723 -74.4969426737962 -400.237337649723</f>
        <v>-1143.5748109692422</v>
      </c>
      <c r="G1413">
        <f>-667.056289036579 -73.4078634056118 -489.309586551103</f>
        <v>-1229.7737389932938</v>
      </c>
      <c r="H1413">
        <f>-661.243361241102 -69.5724622435457 -613.697307906544</f>
        <v>-1344.5131313911916</v>
      </c>
      <c r="I1413">
        <f>-636.748986748626 -61.4241195122202 -692.682563176743</f>
        <v>-1390.8556694375891</v>
      </c>
      <c r="J1413">
        <f>-671.348015502729 -44.6027842845926 -558.491120240956</f>
        <v>-1274.4419200282778</v>
      </c>
      <c r="K1413" t="s">
        <v>14557</v>
      </c>
      <c r="L1413" t="s">
        <v>14558</v>
      </c>
      <c r="M1413" t="s">
        <v>14559</v>
      </c>
      <c r="N1413">
        <f>-656.254575425142 -97.9177467800241 -559.429722067222</f>
        <v>-1313.602044272388</v>
      </c>
      <c r="O1413">
        <f>-619.767849188085 -227.638619298891 -532.213519374891</f>
        <v>-1379.6199878618672</v>
      </c>
      <c r="P1413">
        <f>-614.421278771255 -291.053611289671 -244.913752717795</f>
        <v>-1150.3886427787209</v>
      </c>
      <c r="Q1413">
        <f>-475.332885519838 -94.4203642786219 -238.540141827921</f>
        <v>-808.29339162638098</v>
      </c>
      <c r="R1413" t="s">
        <v>14560</v>
      </c>
      <c r="S1413" t="s">
        <v>14561</v>
      </c>
      <c r="T1413" t="s">
        <v>14562</v>
      </c>
      <c r="U1413" t="s">
        <v>14563</v>
      </c>
      <c r="V1413">
        <f>-610.617474743817 -146.388169148337 -95.0559329755699</f>
        <v>-852.06157686772394</v>
      </c>
      <c r="W1413" t="s">
        <v>14564</v>
      </c>
      <c r="X1413" t="s">
        <v>14565</v>
      </c>
      <c r="Y1413" t="s">
        <v>14566</v>
      </c>
    </row>
    <row r="1414" spans="1:25" x14ac:dyDescent="0.3">
      <c r="A1414">
        <v>70650</v>
      </c>
      <c r="B1414" t="s">
        <v>14567</v>
      </c>
      <c r="C1414">
        <f>-648.666327950259 -59.7852778579472 -98.2617823148977</f>
        <v>-806.71338812310387</v>
      </c>
      <c r="D1414">
        <f>-662.800590041782 -71.7746634160267 -212.597656733525</f>
        <v>-947.1729101913337</v>
      </c>
      <c r="E1414">
        <f>-667.150073382697 -75.0153439631745 -311.072200446192</f>
        <v>-1053.2376177920635</v>
      </c>
      <c r="F1414">
        <f>-668.397526135318 -75.4790251006468 -400.159077084864</f>
        <v>-1144.0356283208289</v>
      </c>
      <c r="G1414">
        <f>-666.558619558058 -73.4373866153944 -489.213604601398</f>
        <v>-1229.2096107748505</v>
      </c>
      <c r="H1414">
        <f>-660.689718916507 -68.0387473591761 -613.540644422075</f>
        <v>-1342.2691106977582</v>
      </c>
      <c r="I1414">
        <f>-636.489103781272 -58.8948385428403 -692.507316607487</f>
        <v>-1387.8912589315992</v>
      </c>
      <c r="J1414">
        <f>-671.163810263299 -43.8642368599506 -558.050076185501</f>
        <v>-1273.0781233087505</v>
      </c>
      <c r="K1414" t="s">
        <v>14568</v>
      </c>
      <c r="L1414" t="s">
        <v>14569</v>
      </c>
      <c r="M1414" t="s">
        <v>14570</v>
      </c>
      <c r="N1414">
        <f>-655.380850155832 -96.9644157135394 -559.610837877098</f>
        <v>-1311.9561037464696</v>
      </c>
      <c r="O1414">
        <f>-617.138085067578 -226.452685490307 -533.749829841233</f>
        <v>-1377.3406003991181</v>
      </c>
      <c r="P1414">
        <f>-612.48083962451 -292.304501698471 -246.986679766916</f>
        <v>-1151.772021089897</v>
      </c>
      <c r="Q1414">
        <f>-475.489403570363 -94.2763698862975 -238.675886086139</f>
        <v>-808.44165954279947</v>
      </c>
      <c r="R1414" t="s">
        <v>14571</v>
      </c>
      <c r="S1414" t="s">
        <v>14572</v>
      </c>
      <c r="T1414" t="s">
        <v>14573</v>
      </c>
      <c r="U1414" t="s">
        <v>14574</v>
      </c>
      <c r="V1414">
        <f>-609.956585566455 -148.30758662529 -94.9288036055972</f>
        <v>-853.19297579734223</v>
      </c>
      <c r="W1414" t="s">
        <v>14575</v>
      </c>
      <c r="X1414" t="s">
        <v>14576</v>
      </c>
      <c r="Y1414" t="s">
        <v>14577</v>
      </c>
    </row>
    <row r="1415" spans="1:25" x14ac:dyDescent="0.3">
      <c r="A1415">
        <v>70700</v>
      </c>
      <c r="B1415" t="s">
        <v>14578</v>
      </c>
      <c r="C1415">
        <f>-648.599035636996 -64.5492950957214 -97.6256923193121</f>
        <v>-810.77402305202941</v>
      </c>
      <c r="D1415">
        <f>-662.217664546682 -76.1030459590436 -212.068964800929</f>
        <v>-950.38967530665468</v>
      </c>
      <c r="E1415">
        <f>-666.293989863222 -78.2707966639093 -310.584621888241</f>
        <v>-1055.1494084153724</v>
      </c>
      <c r="F1415">
        <f>-667.349069984457 -77.48820108668 -399.67186833945</f>
        <v>-1144.5091394105868</v>
      </c>
      <c r="G1415">
        <f>-665.370931599475 -73.9140358569609 -488.674838190023</f>
        <v>-1227.9598056464588</v>
      </c>
      <c r="H1415">
        <f>-659.358781555119 -66.0708309742743 -612.86496182891</f>
        <v>-1338.2945743583032</v>
      </c>
      <c r="I1415">
        <f>-635.82192416156 -55.2717268318481 -691.823311781121</f>
        <v>-1382.9169627745291</v>
      </c>
      <c r="J1415">
        <f>-670.539120551736 -43.1900117358505 -556.965152321785</f>
        <v>-1270.6942846093716</v>
      </c>
      <c r="K1415" t="s">
        <v>14579</v>
      </c>
      <c r="L1415" t="s">
        <v>14580</v>
      </c>
      <c r="M1415" t="s">
        <v>14581</v>
      </c>
      <c r="N1415">
        <f>-653.469824738642 -95.8544458959664 -559.46499122219</f>
        <v>-1308.7892618567985</v>
      </c>
      <c r="O1415">
        <f>-612.098972799853 -224.806425672384 -535.950197593137</f>
        <v>-1372.8555960653739</v>
      </c>
      <c r="P1415">
        <f>-608.343878112403 -294.62733786985 -250.114397137639</f>
        <v>-1153.0856131198921</v>
      </c>
      <c r="Q1415">
        <f>-473.542491513024 -95.1714425514583 -240.276576207158</f>
        <v>-808.99051027164023</v>
      </c>
      <c r="R1415" t="s">
        <v>14582</v>
      </c>
      <c r="S1415" t="s">
        <v>14583</v>
      </c>
      <c r="T1415" t="s">
        <v>14584</v>
      </c>
      <c r="U1415" t="s">
        <v>14585</v>
      </c>
      <c r="V1415">
        <f>-608.954347944578 -152.697581694514 -94.552912445339</f>
        <v>-856.20484208443099</v>
      </c>
      <c r="W1415" t="s">
        <v>14586</v>
      </c>
      <c r="X1415" t="s">
        <v>14587</v>
      </c>
      <c r="Y1415" t="s">
        <v>14588</v>
      </c>
    </row>
    <row r="1416" spans="1:25" x14ac:dyDescent="0.3">
      <c r="A1416">
        <v>70750</v>
      </c>
      <c r="B1416" t="s">
        <v>14589</v>
      </c>
      <c r="C1416">
        <f>-648.193511156096 -66.7608089351891 -97.146877513302</f>
        <v>-812.10119760458701</v>
      </c>
      <c r="D1416">
        <f>-661.640399241738 -77.9651525890977 -211.645122809737</f>
        <v>-951.2506746405727</v>
      </c>
      <c r="E1416">
        <f>-665.607370340954 -79.6272193801262 -310.175113147344</f>
        <v>-1055.4097028684243</v>
      </c>
      <c r="F1416">
        <f>-666.57952749611 -78.3033255124492 -399.256723172007</f>
        <v>-1144.1395761805661</v>
      </c>
      <c r="G1416">
        <f>-664.536304503406 -74.0975485929121 -488.230957434822</f>
        <v>-1226.8648105311399</v>
      </c>
      <c r="H1416">
        <f>-658.453234582597 -65.2742375051719 -612.351695716603</f>
        <v>-1336.079167804372</v>
      </c>
      <c r="I1416">
        <f>-635.1963726054 -53.821547778253 -691.300822575024</f>
        <v>-1380.3187429586769</v>
      </c>
      <c r="J1416">
        <f>-669.951758158829 -42.9287743486384 -556.300019516956</f>
        <v>-1269.1805520244234</v>
      </c>
      <c r="K1416" t="s">
        <v>14590</v>
      </c>
      <c r="L1416" t="s">
        <v>14591</v>
      </c>
      <c r="M1416" t="s">
        <v>14592</v>
      </c>
      <c r="N1416">
        <f>-652.30850682318 -95.3851462320456 -559.164290184104</f>
        <v>-1306.8579432393294</v>
      </c>
      <c r="O1416">
        <f>-609.695954519505 -224.149260920142 -536.607109574258</f>
        <v>-1370.452325013905</v>
      </c>
      <c r="P1416">
        <f>-605.028561235756 -297.354360873429 -251.632653954547</f>
        <v>-1154.0155760637322</v>
      </c>
      <c r="Q1416">
        <f>-471.760151693272 -96.8901056331288 -241.412168840326</f>
        <v>-810.06242616672682</v>
      </c>
      <c r="R1416" t="s">
        <v>14593</v>
      </c>
      <c r="S1416" t="s">
        <v>14594</v>
      </c>
      <c r="T1416" t="s">
        <v>14595</v>
      </c>
      <c r="U1416" t="s">
        <v>14596</v>
      </c>
      <c r="V1416">
        <f>-608.317049123586 -155.004622754517 -94.3844620084537</f>
        <v>-857.7061338865567</v>
      </c>
      <c r="W1416" t="s">
        <v>14597</v>
      </c>
      <c r="X1416" t="s">
        <v>14598</v>
      </c>
      <c r="Y1416" t="s">
        <v>14599</v>
      </c>
    </row>
    <row r="1417" spans="1:25" x14ac:dyDescent="0.3">
      <c r="A1417">
        <v>70800</v>
      </c>
      <c r="B1417" t="s">
        <v>14600</v>
      </c>
      <c r="C1417">
        <f>-647.903366283145 -69.1507093108687 -96.3072446957557</f>
        <v>-813.36132028976942</v>
      </c>
      <c r="D1417">
        <f>-661.408124022366 -80.1428219734194 -210.819339761226</f>
        <v>-952.37028575701129</v>
      </c>
      <c r="E1417">
        <f>-665.320127156377 -80.7312624107519 -309.363776114399</f>
        <v>-1055.4151656815279</v>
      </c>
      <c r="F1417">
        <f>-666.198790464093 -78.0741260261782 -398.416566604612</f>
        <v>-1142.6894830948831</v>
      </c>
      <c r="G1417">
        <f>-664.021248617155 -72.1614007860148 -487.290302923263</f>
        <v>-1223.472952326433</v>
      </c>
      <c r="H1417">
        <f>-657.71021854639 -60.5561040132088 -611.170471905576</f>
        <v>-1329.4367944651749</v>
      </c>
      <c r="I1417">
        <f>-634.740879927072 -47.5860048263289 -689.969188255431</f>
        <v>-1372.2960730088321</v>
      </c>
      <c r="J1417">
        <f>-669.924025557546 -39.6836822490559 -554.703882920904</f>
        <v>-1264.311590727506</v>
      </c>
      <c r="K1417" t="s">
        <v>14601</v>
      </c>
      <c r="L1417" t="s">
        <v>14602</v>
      </c>
      <c r="M1417" t="s">
        <v>14603</v>
      </c>
      <c r="N1417">
        <f>-651.050667499359 -91.6423735533178 -558.610021087716</f>
        <v>-1301.3030621403927</v>
      </c>
      <c r="O1417">
        <f>-606.206550873729 -219.93136307139 -537.947397983291</f>
        <v>-1364.0853119284102</v>
      </c>
      <c r="P1417">
        <f>-600.183068732506 -297.450245081713 -254.141473005277</f>
        <v>-1151.7747868194958</v>
      </c>
      <c r="Q1417">
        <f>-468.853645310074 -95.7658815225752 -242.879302223993</f>
        <v>-807.49882905664219</v>
      </c>
      <c r="R1417" t="s">
        <v>14604</v>
      </c>
      <c r="S1417" t="s">
        <v>14605</v>
      </c>
      <c r="T1417" t="s">
        <v>14606</v>
      </c>
      <c r="U1417" t="s">
        <v>14607</v>
      </c>
      <c r="V1417">
        <f>-607.868136888166 -156.573672405605 -94.0761846011482</f>
        <v>-858.51799389491919</v>
      </c>
      <c r="W1417" t="s">
        <v>14608</v>
      </c>
      <c r="X1417" t="s">
        <v>14609</v>
      </c>
      <c r="Y1417" t="s">
        <v>14610</v>
      </c>
    </row>
    <row r="1418" spans="1:25" x14ac:dyDescent="0.3">
      <c r="A1418">
        <v>70850</v>
      </c>
      <c r="B1418" t="s">
        <v>14611</v>
      </c>
      <c r="C1418">
        <f>-648.44380426957 -69.4483358313569 -96.1507885263811</f>
        <v>-814.04292862730802</v>
      </c>
      <c r="D1418">
        <f>-661.986380255599 -80.5094865433639 -210.651751710341</f>
        <v>-953.14761850930381</v>
      </c>
      <c r="E1418">
        <f>-665.899013545613 -80.6531289833476 -309.197860957992</f>
        <v>-1055.7500034869527</v>
      </c>
      <c r="F1418">
        <f>-666.760097575187 -77.3929938845474 -398.230798067193</f>
        <v>-1142.3838895269275</v>
      </c>
      <c r="G1418">
        <f>-664.547089637911 -70.6731553678885 -487.046303684047</f>
        <v>-1222.2665486898466</v>
      </c>
      <c r="H1418">
        <f>-658.165555537561 -57.7258613853157 -610.78991065565</f>
        <v>-1326.6813275785266</v>
      </c>
      <c r="I1418">
        <f>-635.276759593331 -44.0813988530163 -689.497810451156</f>
        <v>-1368.8559688975033</v>
      </c>
      <c r="J1418">
        <f>-670.68330206844 -37.5649894319563 -554.131608016567</f>
        <v>-1262.3798995169632</v>
      </c>
      <c r="K1418" t="s">
        <v>14612</v>
      </c>
      <c r="L1418" t="s">
        <v>14613</v>
      </c>
      <c r="M1418" t="s">
        <v>14614</v>
      </c>
      <c r="N1418">
        <f>-651.264208453524 -89.28181211834 -558.541303683127</f>
        <v>-1299.087324254991</v>
      </c>
      <c r="O1418">
        <f>-605.207092337286 -217.305148968574 -538.953628329136</f>
        <v>-1361.4658696349961</v>
      </c>
      <c r="P1418">
        <f>-599.089387745478 -296.456021667895 -255.600612946008</f>
        <v>-1151.146022359381</v>
      </c>
      <c r="Q1418">
        <f>-468.770623891888 -94.1532159520327 -243.707074594151</f>
        <v>-806.63091443807173</v>
      </c>
      <c r="R1418" t="s">
        <v>14615</v>
      </c>
      <c r="S1418" t="s">
        <v>14616</v>
      </c>
      <c r="T1418" t="s">
        <v>14617</v>
      </c>
      <c r="U1418" t="s">
        <v>14618</v>
      </c>
      <c r="V1418">
        <f>-607.810453588294 -156.424726042843 -94.0198904604673</f>
        <v>-858.25507009160424</v>
      </c>
      <c r="W1418" t="s">
        <v>14619</v>
      </c>
      <c r="X1418" t="s">
        <v>14620</v>
      </c>
      <c r="Y1418" t="s">
        <v>14621</v>
      </c>
    </row>
    <row r="1419" spans="1:25" x14ac:dyDescent="0.3">
      <c r="A1419">
        <v>70900</v>
      </c>
      <c r="B1419" t="s">
        <v>14622</v>
      </c>
      <c r="C1419">
        <f>-649.499086336962 -69.2478967655934 -96.3164966294572</f>
        <v>-815.06347973201264</v>
      </c>
      <c r="D1419">
        <f>-662.910843034624 -80.5143835166966 -210.812864098501</f>
        <v>-954.23809064982163</v>
      </c>
      <c r="E1419">
        <f>-666.984120413101 -80.1415524541669 -309.351795286803</f>
        <v>-1056.4774681540709</v>
      </c>
      <c r="F1419">
        <f>-668.083199451436 -76.1431517311312 -398.352042091095</f>
        <v>-1142.5783932736622</v>
      </c>
      <c r="G1419">
        <f>-666.195018248351 -68.4107782078247 -487.092578692324</f>
        <v>-1221.6983751484997</v>
      </c>
      <c r="H1419">
        <f>-660.352521896749 -53.7622485497668 -610.673043722505</f>
        <v>-1324.7878141690207</v>
      </c>
      <c r="I1419">
        <f>-637.639915643209 -39.0196160552509 -689.233841034143</f>
        <v>-1365.893372732603</v>
      </c>
      <c r="J1419">
        <f>-672.955976938667 -34.5075830837702 -553.719236810788</f>
        <v>-1261.1827968332252</v>
      </c>
      <c r="K1419" t="s">
        <v>14623</v>
      </c>
      <c r="L1419" t="s">
        <v>14624</v>
      </c>
      <c r="M1419" t="s">
        <v>14625</v>
      </c>
      <c r="N1419">
        <f>-652.890894425322 -85.9089731650063 -558.863457537257</f>
        <v>-1297.6633251275853</v>
      </c>
      <c r="O1419">
        <f>-605.152698540516 -213.602297280071 -541.23614321897</f>
        <v>-1359.9911390395571</v>
      </c>
      <c r="P1419">
        <f>-597.952667041446 -294.479496496785 -258.39660733357</f>
        <v>-1150.828770871801</v>
      </c>
      <c r="Q1419">
        <f>-469.267684470873 -91.1480541358667 -246.25800796187</f>
        <v>-806.67374656860977</v>
      </c>
      <c r="R1419" t="s">
        <v>14626</v>
      </c>
      <c r="S1419" t="s">
        <v>14627</v>
      </c>
      <c r="T1419" t="s">
        <v>14628</v>
      </c>
      <c r="U1419" t="s">
        <v>14629</v>
      </c>
      <c r="V1419">
        <f>-607.389013837509 -155.669397712266 -94.1813460584674</f>
        <v>-857.23975760824237</v>
      </c>
      <c r="W1419" t="s">
        <v>14630</v>
      </c>
      <c r="X1419" t="s">
        <v>14631</v>
      </c>
      <c r="Y1419" t="s">
        <v>14632</v>
      </c>
    </row>
    <row r="1420" spans="1:25" x14ac:dyDescent="0.3">
      <c r="A1420">
        <v>70950</v>
      </c>
      <c r="B1420" t="s">
        <v>14633</v>
      </c>
      <c r="C1420">
        <f>-649.898977194096 -69.0211250010454 -96.4819843303159</f>
        <v>-815.40208652545732</v>
      </c>
      <c r="D1420">
        <f>-663.217615970312 -80.3721481910618 -210.980824751574</f>
        <v>-954.57058891294776</v>
      </c>
      <c r="E1420">
        <f>-667.413779813327 -79.9393230701296 -309.514360765122</f>
        <v>-1056.8674636485785</v>
      </c>
      <c r="F1420">
        <f>-668.697388467624 -75.8356565878794 -398.507430525268</f>
        <v>-1143.0404755807713</v>
      </c>
      <c r="G1420">
        <f>-667.063632389843 -67.946890668348 -487.239229330498</f>
        <v>-1222.2497523886891</v>
      </c>
      <c r="H1420">
        <f>-661.645611861287 -53.0274321124796 -610.806466667659</f>
        <v>-1325.4795106414256</v>
      </c>
      <c r="I1420">
        <f>-639.041281135591 -37.9910803411808 -689.342915776477</f>
        <v>-1366.3752772532489</v>
      </c>
      <c r="J1420">
        <f>-674.075785902372 -33.906421387451 -553.769802824185</f>
        <v>-1261.752010114008</v>
      </c>
      <c r="K1420" t="s">
        <v>14634</v>
      </c>
      <c r="L1420" t="s">
        <v>14635</v>
      </c>
      <c r="M1420" t="s">
        <v>14636</v>
      </c>
      <c r="N1420">
        <f>-653.983850138886 -85.2791357098895 -559.091480596065</f>
        <v>-1298.3544664448405</v>
      </c>
      <c r="O1420">
        <f>-606.070846170775 -212.971841026485 -541.969033102688</f>
        <v>-1361.0117202999479</v>
      </c>
      <c r="P1420">
        <f>-597.339193200974 -294.72174789055 -259.423545373314</f>
        <v>-1151.484486464838</v>
      </c>
      <c r="Q1420">
        <f>-469.692999054826 -90.6877693011943 -248.13414011459</f>
        <v>-808.51490847061029</v>
      </c>
      <c r="R1420" t="s">
        <v>14637</v>
      </c>
      <c r="S1420" t="s">
        <v>14638</v>
      </c>
      <c r="T1420" t="s">
        <v>14639</v>
      </c>
      <c r="U1420" t="s">
        <v>14640</v>
      </c>
      <c r="V1420">
        <f>-607.466484625341 -155.334585654782 -94.2931101464585</f>
        <v>-857.09418042658149</v>
      </c>
      <c r="W1420" t="s">
        <v>14641</v>
      </c>
      <c r="X1420" t="s">
        <v>14642</v>
      </c>
      <c r="Y1420" t="s">
        <v>14643</v>
      </c>
    </row>
    <row r="1421" spans="1:25" x14ac:dyDescent="0.3">
      <c r="A1421">
        <v>71000</v>
      </c>
      <c r="B1421" t="s">
        <v>14644</v>
      </c>
      <c r="C1421">
        <f>-650.041689393666 -69.424681266418 -96.6267145068624</f>
        <v>-816.09308516694648</v>
      </c>
      <c r="D1421">
        <f>-663.423640279429 -80.7290132161233 -211.122894127172</f>
        <v>-955.27554762272439</v>
      </c>
      <c r="E1421">
        <f>-667.76044288663 -80.3448565461258 -309.650572131627</f>
        <v>-1057.7558715643827</v>
      </c>
      <c r="F1421">
        <f>-669.206645940656 -76.3190139496767 -398.644491087484</f>
        <v>-1144.1701509778168</v>
      </c>
      <c r="G1421">
        <f>-667.769802929013 -68.5422837763622 -487.389644280039</f>
        <v>-1223.7017309854143</v>
      </c>
      <c r="H1421">
        <f>-662.66296040308 -53.8144740914806 -610.993134525786</f>
        <v>-1327.4705690203466</v>
      </c>
      <c r="I1421">
        <f>-640.131472207063 -38.6182208742612 -689.519823397677</f>
        <v>-1368.2695164790011</v>
      </c>
      <c r="J1421">
        <f>-674.84879311654 -34.5666459246404 -553.946356221438</f>
        <v>-1263.3617952626184</v>
      </c>
      <c r="K1421" t="s">
        <v>14645</v>
      </c>
      <c r="L1421" t="s">
        <v>14646</v>
      </c>
      <c r="M1421" t="s">
        <v>14647</v>
      </c>
      <c r="N1421">
        <f>-654.971687311992 -86.0242284181795 -559.256378402857</f>
        <v>-1300.2522941330285</v>
      </c>
      <c r="O1421">
        <f>-607.524275678608 -213.891107859704 -542.069180404617</f>
        <v>-1363.4845639429291</v>
      </c>
      <c r="P1421">
        <f>-595.786147119512 -297.040143434256 -260.041407065921</f>
        <v>-1152.8676976196889</v>
      </c>
      <c r="Q1421">
        <f>-470.35548101312 -91.4650957909616 -252.497989870171</f>
        <v>-814.31856667425268</v>
      </c>
      <c r="R1421" t="s">
        <v>14648</v>
      </c>
      <c r="S1421" t="s">
        <v>14649</v>
      </c>
      <c r="T1421" t="s">
        <v>14650</v>
      </c>
      <c r="U1421" t="s">
        <v>14651</v>
      </c>
      <c r="V1421">
        <f>-607.959189276893 -156.056738226952 -94.4262635800344</f>
        <v>-858.44219108387938</v>
      </c>
      <c r="W1421" t="s">
        <v>14652</v>
      </c>
      <c r="X1421" t="s">
        <v>14653</v>
      </c>
      <c r="Y1421" t="s">
        <v>14654</v>
      </c>
    </row>
    <row r="1422" spans="1:25" x14ac:dyDescent="0.3">
      <c r="A1422">
        <v>71050</v>
      </c>
      <c r="B1422" t="s">
        <v>14655</v>
      </c>
      <c r="C1422">
        <f>-650.05844348387 -69.5552814407304 -96.6215357556425</f>
        <v>-816.23526068024285</v>
      </c>
      <c r="D1422">
        <f>-663.604641601688 -80.8472639896431 -211.099387534272</f>
        <v>-955.55129312560302</v>
      </c>
      <c r="E1422">
        <f>-668.007742829578 -80.5390958346425 -309.624482208272</f>
        <v>-1058.1713208724925</v>
      </c>
      <c r="F1422">
        <f>-669.489951376947 -76.6128428105123 -398.622409254715</f>
        <v>-1144.7252034421745</v>
      </c>
      <c r="G1422">
        <f>-668.067392491633 -68.9660760288234 -487.379041095019</f>
        <v>-1224.4125096154753</v>
      </c>
      <c r="H1422">
        <f>-662.960410486421 -54.4504494792936 -611.007657283397</f>
        <v>-1328.4185172491116</v>
      </c>
      <c r="I1422">
        <f>-640.414298693375 -39.3385996328705 -689.546358776143</f>
        <v>-1369.2992571023885</v>
      </c>
      <c r="J1422">
        <f>-675.103227112863 -35.0885891639398 -553.99021298174</f>
        <v>-1264.1820292585428</v>
      </c>
      <c r="K1422" t="s">
        <v>14656</v>
      </c>
      <c r="L1422" t="s">
        <v>14657</v>
      </c>
      <c r="M1422" t="s">
        <v>14658</v>
      </c>
      <c r="N1422">
        <f>-655.312271057444 -86.5875421637402 -559.219362982995</f>
        <v>-1301.1191762041792</v>
      </c>
      <c r="O1422">
        <f>-608.030712079191 -214.507132086088 -541.79587104843</f>
        <v>-1364.333715213709</v>
      </c>
      <c r="P1422">
        <f>-595.840507020519 -297.958548486351 -259.876578969524</f>
        <v>-1153.675634476394</v>
      </c>
      <c r="Q1422">
        <f>-471.695236564691 -91.5371409883217 -254.483488641166</f>
        <v>-817.71586619417872</v>
      </c>
      <c r="R1422" t="s">
        <v>14659</v>
      </c>
      <c r="S1422" t="s">
        <v>14660</v>
      </c>
      <c r="T1422" t="s">
        <v>14661</v>
      </c>
      <c r="U1422" t="s">
        <v>14662</v>
      </c>
      <c r="V1422">
        <f>-608.316311031696 -156.130691251626 -94.4301844966111</f>
        <v>-858.87718677993314</v>
      </c>
      <c r="W1422" t="s">
        <v>14663</v>
      </c>
      <c r="X1422" t="s">
        <v>14664</v>
      </c>
      <c r="Y1422" t="s">
        <v>14665</v>
      </c>
    </row>
    <row r="1423" spans="1:25" x14ac:dyDescent="0.3">
      <c r="A1423">
        <v>71100</v>
      </c>
      <c r="B1423" t="s">
        <v>14666</v>
      </c>
      <c r="C1423">
        <f>-649.899503069634 -69.1467153429994 -96.5862361656768</f>
        <v>-815.63245457831022</v>
      </c>
      <c r="D1423">
        <f>-663.834221898777 -80.6077694568562 -211.000811085063</f>
        <v>-955.44280244069614</v>
      </c>
      <c r="E1423">
        <f>-668.456081237886 -80.5521510285512 -309.516250671547</f>
        <v>-1058.5244829379842</v>
      </c>
      <c r="F1423">
        <f>-670.100619375205 -76.8900214890941 -398.522584117248</f>
        <v>-1145.5132249815472</v>
      </c>
      <c r="G1423">
        <f>-668.809540917861 -69.5409499551799 -487.306452278363</f>
        <v>-1225.656943151404</v>
      </c>
      <c r="H1423">
        <f>-663.858718842972 -55.4730923136003 -610.992966969122</f>
        <v>-1330.3247781256944</v>
      </c>
      <c r="I1423">
        <f>-641.213026930051 -40.7280751945395 -689.572866044548</f>
        <v>-1371.5139681691385</v>
      </c>
      <c r="J1423">
        <f>-675.898660433804 -35.8932866507798 -554.028300939199</f>
        <v>-1265.8202480237828</v>
      </c>
      <c r="K1423" t="s">
        <v>14667</v>
      </c>
      <c r="L1423" t="s">
        <v>14668</v>
      </c>
      <c r="M1423" t="s">
        <v>14669</v>
      </c>
      <c r="N1423">
        <f>-656.175990100836 -87.4341556384938 -559.101070795244</f>
        <v>-1302.7112165345739</v>
      </c>
      <c r="O1423">
        <f>-609.146994545766 -215.357269215513 -541.218063534075</f>
        <v>-1365.722327295354</v>
      </c>
      <c r="P1423">
        <f>-597.237064650207 -297.935862790798 -259.029879717397</f>
        <v>-1154.202807158402</v>
      </c>
      <c r="Q1423">
        <f>-474.355413497986 -90.6909336868068 -258.302418800805</f>
        <v>-823.34876598559777</v>
      </c>
      <c r="R1423" t="s">
        <v>14670</v>
      </c>
      <c r="S1423" t="s">
        <v>14671</v>
      </c>
      <c r="T1423" t="s">
        <v>14672</v>
      </c>
      <c r="U1423" t="s">
        <v>14673</v>
      </c>
      <c r="V1423">
        <f>-608.498997801892 -155.638491122604 -94.3606752463863</f>
        <v>-858.49816417088232</v>
      </c>
      <c r="W1423" t="s">
        <v>14674</v>
      </c>
      <c r="X1423" t="s">
        <v>14675</v>
      </c>
      <c r="Y1423" t="s">
        <v>14676</v>
      </c>
    </row>
    <row r="1424" spans="1:25" x14ac:dyDescent="0.3">
      <c r="A1424">
        <v>71150</v>
      </c>
      <c r="B1424" t="s">
        <v>14677</v>
      </c>
      <c r="C1424">
        <f>-649.538997550068 -68.9310288643139 -96.5841218857894</f>
        <v>-815.05414830017128</v>
      </c>
      <c r="D1424">
        <f>-663.673618404073 -80.5671881945677 -210.956341923101</f>
        <v>-955.19714852174172</v>
      </c>
      <c r="E1424">
        <f>-668.474901043799 -80.7342253225265 -309.463131030117</f>
        <v>-1058.6722573964425</v>
      </c>
      <c r="F1424">
        <f>-670.288332152742 -77.2989091782601 -398.475131283409</f>
        <v>-1146.0623726144111</v>
      </c>
      <c r="G1424">
        <f>-669.174922038624 -70.2007957392914 -487.281853004998</f>
        <v>-1226.6575707829134</v>
      </c>
      <c r="H1424">
        <f>-664.482929715782 -56.5066579197826 -611.020576564499</f>
        <v>-1332.0101642000636</v>
      </c>
      <c r="I1424">
        <f>-641.791065767933 -41.9449459165876 -689.621317267782</f>
        <v>-1373.3573289523026</v>
      </c>
      <c r="J1424">
        <f>-676.409169226734 -36.7568627134453 -554.090546698518</f>
        <v>-1267.2565786386972</v>
      </c>
      <c r="K1424" t="s">
        <v>14678</v>
      </c>
      <c r="L1424" t="s">
        <v>14679</v>
      </c>
      <c r="M1424" t="s">
        <v>14680</v>
      </c>
      <c r="N1424">
        <f>-656.686072178613 -88.308667971032 -559.047969834843</f>
        <v>-1304.0427099844881</v>
      </c>
      <c r="O1424">
        <f>-609.605934659758 -216.187788777367 -540.895481758016</f>
        <v>-1366.6892051951409</v>
      </c>
      <c r="P1424">
        <f>-597.415714600158 -298.295205029011 -258.581977062085</f>
        <v>-1154.2928966912541</v>
      </c>
      <c r="Q1424">
        <f>-475.593359304996 -90.4278284268905 -259.733713690689</f>
        <v>-825.75490142257547</v>
      </c>
      <c r="R1424" t="s">
        <v>14681</v>
      </c>
      <c r="S1424" t="s">
        <v>14682</v>
      </c>
      <c r="T1424" t="s">
        <v>14683</v>
      </c>
      <c r="U1424" t="s">
        <v>14684</v>
      </c>
      <c r="V1424">
        <f>-608.207982043239 -155.455083675187 -94.3185072001521</f>
        <v>-857.98157291857808</v>
      </c>
      <c r="W1424" t="s">
        <v>14685</v>
      </c>
      <c r="X1424" t="s">
        <v>14686</v>
      </c>
      <c r="Y1424" t="s">
        <v>14687</v>
      </c>
    </row>
    <row r="1425" spans="1:25" x14ac:dyDescent="0.3">
      <c r="A1425">
        <v>71200</v>
      </c>
      <c r="B1425" t="s">
        <v>14688</v>
      </c>
      <c r="C1425">
        <f>-648.55638218663 -68.3407003493244 -96.6753260773701</f>
        <v>-813.57240861332446</v>
      </c>
      <c r="D1425">
        <f>-663.106408312075 -80.4022612748342 -210.951475307788</f>
        <v>-954.46014489469724</v>
      </c>
      <c r="E1425">
        <f>-668.399479721156 -81.0382882756778 -309.431097192055</f>
        <v>-1058.8688651888888</v>
      </c>
      <c r="F1425">
        <f>-670.714844398276 -78.0648460872392 -398.448127460532</f>
        <v>-1147.2278179460473</v>
      </c>
      <c r="G1425">
        <f>-670.161408956522 -71.4632487058473 -487.29842481995</f>
        <v>-1228.9230824823194</v>
      </c>
      <c r="H1425">
        <f>-666.313614761856 -58.4962208316563 -611.144458811532</f>
        <v>-1335.9542944050443</v>
      </c>
      <c r="I1425">
        <f>-643.562564882074 -44.1122238939465 -689.760767650336</f>
        <v>-1377.4355564263565</v>
      </c>
      <c r="J1425">
        <f>-677.892468764884 -38.4275008728087 -554.254390823551</f>
        <v>-1270.5743604612437</v>
      </c>
      <c r="K1425" t="s">
        <v>14689</v>
      </c>
      <c r="L1425" t="s">
        <v>14690</v>
      </c>
      <c r="M1425" t="s">
        <v>14691</v>
      </c>
      <c r="N1425">
        <f>-658.121036571142 -89.9773308491322 -559.037488080646</f>
        <v>-1307.1358555009201</v>
      </c>
      <c r="O1425">
        <f>-610.771250154443 -217.689751598305 -540.454363208373</f>
        <v>-1368.915364961121</v>
      </c>
      <c r="P1425">
        <f>-596.580085979675 -298.665063499348 -257.907302685695</f>
        <v>-1153.1524521647179</v>
      </c>
      <c r="Q1425">
        <f>-476.870146998272 -89.6075579410515 -261.824813123776</f>
        <v>-828.30251806309957</v>
      </c>
      <c r="R1425" t="s">
        <v>14692</v>
      </c>
      <c r="S1425" t="s">
        <v>14693</v>
      </c>
      <c r="T1425" t="s">
        <v>14694</v>
      </c>
      <c r="U1425" t="s">
        <v>14695</v>
      </c>
      <c r="V1425">
        <f>-607.119149764705 -154.918707981486 -94.2894969736876</f>
        <v>-856.3273547198786</v>
      </c>
      <c r="W1425" t="s">
        <v>14696</v>
      </c>
      <c r="X1425" t="s">
        <v>14697</v>
      </c>
      <c r="Y1425" t="s">
        <v>14698</v>
      </c>
    </row>
    <row r="1426" spans="1:25" x14ac:dyDescent="0.3">
      <c r="A1426">
        <v>71250</v>
      </c>
      <c r="B1426" t="s">
        <v>14699</v>
      </c>
      <c r="C1426">
        <f>-648.142462337815 -67.8515158106013 -96.7780947615634</f>
        <v>-812.77207290997967</v>
      </c>
      <c r="D1426">
        <f>-662.852145199045 -80.1073560672469 -211.013132750542</f>
        <v>-953.97263401683392</v>
      </c>
      <c r="E1426">
        <f>-668.39975254242 -80.9814888353105 -309.476948200533</f>
        <v>-1058.8581895782636</v>
      </c>
      <c r="F1426">
        <f>-670.99215443393 -78.2510875307462 -398.494126307064</f>
        <v>-1147.7373682717403</v>
      </c>
      <c r="G1426">
        <f>-670.762892358392 -71.9185651621929 -487.365258957863</f>
        <v>-1230.0467164784479</v>
      </c>
      <c r="H1426">
        <f>-667.417409162146 -59.3535555272053 -611.267376536934</f>
        <v>-1338.0383412262854</v>
      </c>
      <c r="I1426">
        <f>-644.649705292601 -45.0960728614934 -689.902071793064</f>
        <v>-1379.6478499471584</v>
      </c>
      <c r="J1426">
        <f>-678.788069164504 -39.1088449040876 -554.39767672745</f>
        <v>-1272.2945907960416</v>
      </c>
      <c r="K1426" t="s">
        <v>14700</v>
      </c>
      <c r="L1426" t="s">
        <v>14701</v>
      </c>
      <c r="M1426" t="s">
        <v>14702</v>
      </c>
      <c r="N1426">
        <f>-658.990944373883 -90.6568997690717 -559.090690118555</f>
        <v>-1308.7385342615098</v>
      </c>
      <c r="O1426">
        <f>-611.430360789116 -218.262675602879 -540.356010967585</f>
        <v>-1370.0490473595801</v>
      </c>
      <c r="P1426">
        <f>-595.930007004296 -298.409251457533 -257.641562037996</f>
        <v>-1151.9808204998251</v>
      </c>
      <c r="Q1426">
        <f>-477.09665477974 -88.8693851464084 -262.387055464318</f>
        <v>-828.35309539046636</v>
      </c>
      <c r="R1426" t="s">
        <v>14703</v>
      </c>
      <c r="S1426" t="s">
        <v>14704</v>
      </c>
      <c r="T1426" t="s">
        <v>14705</v>
      </c>
      <c r="U1426" t="s">
        <v>14706</v>
      </c>
      <c r="V1426">
        <f>-606.546922643287 -154.388793595953 -94.2979921558116</f>
        <v>-855.23370839505151</v>
      </c>
      <c r="W1426" t="s">
        <v>14707</v>
      </c>
      <c r="X1426" t="s">
        <v>14708</v>
      </c>
      <c r="Y1426" t="s">
        <v>14709</v>
      </c>
    </row>
    <row r="1427" spans="1:25" x14ac:dyDescent="0.3">
      <c r="A1427">
        <v>71300</v>
      </c>
      <c r="B1427" t="s">
        <v>14710</v>
      </c>
      <c r="C1427">
        <f>-647.6539841741 -66.6504030588758 -97.0228463239795</f>
        <v>-811.32723355695521</v>
      </c>
      <c r="D1427">
        <f>-662.616703868945 -79.2235726281713 -211.190529598307</f>
        <v>-953.03080609542326</v>
      </c>
      <c r="E1427">
        <f>-668.616265372212 -80.5347427875881 -309.622996355889</f>
        <v>-1058.7740045156891</v>
      </c>
      <c r="F1427">
        <f>-671.71070326156 -78.2649954425983 -398.637044543608</f>
        <v>-1148.6127432477663</v>
      </c>
      <c r="G1427">
        <f>-672.076544228376 -72.4560355424885 -487.543511677054</f>
        <v>-1232.0760914479185</v>
      </c>
      <c r="H1427">
        <f>-669.658799651309 -60.6866051059981 -611.545294561785</f>
        <v>-1341.8906993190922</v>
      </c>
      <c r="I1427">
        <f>-646.954738233453 -46.7103683675848 -690.248729557415</f>
        <v>-1383.9138361584528</v>
      </c>
      <c r="J1427">
        <f>-680.625732943496 -40.0850627682792 -554.724437600984</f>
        <v>-1275.435233312759</v>
      </c>
      <c r="K1427" t="s">
        <v>14711</v>
      </c>
      <c r="L1427" t="s">
        <v>14712</v>
      </c>
      <c r="M1427" t="s">
        <v>14713</v>
      </c>
      <c r="N1427">
        <f>-660.819760580086 -91.6463813620053 -559.232087533215</f>
        <v>-1311.6982294753063</v>
      </c>
      <c r="O1427">
        <f>-612.982587748822 -219.111673691889 -540.171938617203</f>
        <v>-1372.2662000579139</v>
      </c>
      <c r="P1427">
        <f>-595.006258282272 -297.68379689517 -257.162261274875</f>
        <v>-1149.8523164523169</v>
      </c>
      <c r="Q1427">
        <f>-476.916043691951 -87.7565010754156 -263.176347068651</f>
        <v>-827.84889183601763</v>
      </c>
      <c r="R1427" t="s">
        <v>14714</v>
      </c>
      <c r="S1427" t="s">
        <v>14715</v>
      </c>
      <c r="T1427" t="s">
        <v>14716</v>
      </c>
      <c r="U1427" t="s">
        <v>14717</v>
      </c>
      <c r="V1427">
        <f>-605.593165109334 -153.260244433505 -94.3685214957499</f>
        <v>-853.22193103858888</v>
      </c>
      <c r="W1427" t="s">
        <v>14718</v>
      </c>
      <c r="X1427" t="s">
        <v>14719</v>
      </c>
      <c r="Y1427" t="s">
        <v>14720</v>
      </c>
    </row>
    <row r="1428" spans="1:25" x14ac:dyDescent="0.3">
      <c r="A1428">
        <v>71350</v>
      </c>
      <c r="B1428" t="s">
        <v>14721</v>
      </c>
      <c r="C1428">
        <f>-647.558022885092 -66.0295607432763 -97.132441634226</f>
        <v>-810.72002526259428</v>
      </c>
      <c r="D1428">
        <f>-662.622433126782 -78.7018015737547 -211.275764776189</f>
        <v>-952.59999947672566</v>
      </c>
      <c r="E1428">
        <f>-668.788472194144 -80.1466190738552 -309.695975058278</f>
        <v>-1058.6310663262771</v>
      </c>
      <c r="F1428">
        <f>-672.065035118739 -78.016571304059 -398.707091115699</f>
        <v>-1148.788697538497</v>
      </c>
      <c r="G1428">
        <f>-672.644206755884 -72.3654988850192 -487.622653818309</f>
        <v>-1232.6323594592122</v>
      </c>
      <c r="H1428">
        <f>-670.557423209468 -60.8352174535194 -611.652851883701</f>
        <v>-1343.0454925466884</v>
      </c>
      <c r="I1428">
        <f>-647.882667738371 -46.9581358143582 -690.382165740266</f>
        <v>-1385.2229692929952</v>
      </c>
      <c r="J1428">
        <f>-681.379969327057 -40.1269855669607 -554.843065768545</f>
        <v>-1276.3500206625627</v>
      </c>
      <c r="K1428" t="s">
        <v>14722</v>
      </c>
      <c r="L1428" t="s">
        <v>14723</v>
      </c>
      <c r="M1428" t="s">
        <v>14724</v>
      </c>
      <c r="N1428">
        <f>-661.571552881648 -91.6914059828662 -559.303563453385</f>
        <v>-1312.5665223178992</v>
      </c>
      <c r="O1428">
        <f>-613.699551334413 -219.136044726146 -540.138838130408</f>
        <v>-1372.9744341909668</v>
      </c>
      <c r="P1428">
        <f>-595.061419745312 -297.004696857008 -256.97751247563</f>
        <v>-1149.0436290779501</v>
      </c>
      <c r="Q1428">
        <f>-476.648198476158 -87.2730826466752 -263.444191315078</f>
        <v>-827.36547243791119</v>
      </c>
      <c r="R1428" t="s">
        <v>14725</v>
      </c>
      <c r="S1428" t="s">
        <v>14726</v>
      </c>
      <c r="T1428" t="s">
        <v>14727</v>
      </c>
      <c r="U1428" t="s">
        <v>14728</v>
      </c>
      <c r="V1428">
        <f>-605.468085317943 -152.718178552084 -94.4166704078243</f>
        <v>-852.60293427785132</v>
      </c>
      <c r="W1428" t="s">
        <v>14729</v>
      </c>
      <c r="X1428" t="s">
        <v>14730</v>
      </c>
      <c r="Y1428" t="s">
        <v>14731</v>
      </c>
    </row>
    <row r="1429" spans="1:25" x14ac:dyDescent="0.3">
      <c r="A1429">
        <v>71400</v>
      </c>
      <c r="B1429" t="s">
        <v>14732</v>
      </c>
      <c r="C1429">
        <f>-647.537465871936 -64.2966556759616 -97.3160334071443</f>
        <v>-809.1501549550419</v>
      </c>
      <c r="D1429">
        <f>-662.714926052739 -77.0051206697303 -211.440410068313</f>
        <v>-951.16045679078229</v>
      </c>
      <c r="E1429">
        <f>-669.039802204027 -78.5820263227793 -309.848546734284</f>
        <v>-1057.4703752610903</v>
      </c>
      <c r="F1429">
        <f>-672.486279504646 -76.6104581237571 -398.856821052142</f>
        <v>-1147.953558680545</v>
      </c>
      <c r="G1429">
        <f>-673.262570569897 -71.1566276501071 -487.783162135304</f>
        <v>-1232.202360355308</v>
      </c>
      <c r="H1429">
        <f>-671.479616362955 -59.9412727914205 -611.847104771384</f>
        <v>-1343.2679939257596</v>
      </c>
      <c r="I1429">
        <f>-648.794695717508 -46.3325215527177 -690.620317562336</f>
        <v>-1385.7475348325618</v>
      </c>
      <c r="J1429">
        <f>-682.12776273209 -39.0753775939547 -555.062045445413</f>
        <v>-1276.2651857714577</v>
      </c>
      <c r="K1429" t="s">
        <v>14733</v>
      </c>
      <c r="L1429" t="s">
        <v>14734</v>
      </c>
      <c r="M1429" t="s">
        <v>14735</v>
      </c>
      <c r="N1429">
        <f>-662.400539966273 -90.6777836798688 -559.443270751518</f>
        <v>-1312.5215943976596</v>
      </c>
      <c r="O1429">
        <f>-614.820257297102 -218.1972475146 -540.091561982431</f>
        <v>-1373.109066794133</v>
      </c>
      <c r="P1429">
        <f>-595.761750276575 -295.16980183167 -256.713275107704</f>
        <v>-1147.6448272159489</v>
      </c>
      <c r="Q1429">
        <f>-476.436362022509 -85.9821252181839 -263.980874567023</f>
        <v>-826.39936180771588</v>
      </c>
      <c r="R1429" t="s">
        <v>14736</v>
      </c>
      <c r="S1429" t="s">
        <v>14737</v>
      </c>
      <c r="T1429" t="s">
        <v>14738</v>
      </c>
      <c r="U1429" t="s">
        <v>14739</v>
      </c>
      <c r="V1429">
        <f>-605.347245785011 -150.96893530639 -94.5949404741177</f>
        <v>-850.91112156551867</v>
      </c>
      <c r="W1429" t="s">
        <v>14740</v>
      </c>
      <c r="X1429" t="s">
        <v>14741</v>
      </c>
      <c r="Y1429" t="s">
        <v>14742</v>
      </c>
    </row>
    <row r="1430" spans="1:25" x14ac:dyDescent="0.3">
      <c r="A1430">
        <v>71450</v>
      </c>
      <c r="B1430" t="s">
        <v>14743</v>
      </c>
      <c r="C1430">
        <f>-647.60396752574 -63.2311632144797 -97.3863328087217</f>
        <v>-808.22146354894141</v>
      </c>
      <c r="D1430">
        <f>-662.793263971306 -75.941945922692 -211.5088342176</f>
        <v>-950.24404411159799</v>
      </c>
      <c r="E1430">
        <f>-669.153834420125 -77.5740873766488 -309.913764302734</f>
        <v>-1056.6416860995078</v>
      </c>
      <c r="F1430">
        <f>-672.644553129978 -75.6720765789689 -398.921849195378</f>
        <v>-1147.2384789043249</v>
      </c>
      <c r="G1430">
        <f>-673.477107490727 -70.3078508222395 -487.85320043755</f>
        <v>-1231.6381587505166</v>
      </c>
      <c r="H1430">
        <f>-671.78606001869 -59.2376893870482 -611.931402291917</f>
        <v>-1342.9551516976553</v>
      </c>
      <c r="I1430">
        <f>-649.06989192725 -45.8147266519406 -690.727440387945</f>
        <v>-1385.6120589671355</v>
      </c>
      <c r="J1430">
        <f>-682.353301893058 -38.2907384829089 -555.161045392127</f>
        <v>-1275.8050857680937</v>
      </c>
      <c r="K1430" t="s">
        <v>14744</v>
      </c>
      <c r="L1430" t="s">
        <v>14745</v>
      </c>
      <c r="M1430" t="s">
        <v>14746</v>
      </c>
      <c r="N1430">
        <f>-662.707137987951 -89.9275231009185 -559.500356342077</f>
        <v>-1312.1350174309464</v>
      </c>
      <c r="O1430">
        <f>-615.383508172536 -217.51110660287 -540.019109734538</f>
        <v>-1372.9137245099441</v>
      </c>
      <c r="P1430">
        <f>-596.644451879377 -294.072303944549 -256.508235663777</f>
        <v>-1147.2249914877029</v>
      </c>
      <c r="Q1430">
        <f>-476.671623488093 -85.2665877496452 -264.097396854164</f>
        <v>-826.03560809190219</v>
      </c>
      <c r="R1430" t="s">
        <v>14747</v>
      </c>
      <c r="S1430" t="s">
        <v>14748</v>
      </c>
      <c r="T1430" t="s">
        <v>14749</v>
      </c>
      <c r="U1430" t="s">
        <v>14750</v>
      </c>
      <c r="V1430">
        <f>-605.511007851932 -149.866247639188 -94.6501036228021</f>
        <v>-850.02735911392222</v>
      </c>
      <c r="W1430" t="s">
        <v>14751</v>
      </c>
      <c r="X1430" t="s">
        <v>14752</v>
      </c>
      <c r="Y1430" t="s">
        <v>14753</v>
      </c>
    </row>
    <row r="1431" spans="1:25" x14ac:dyDescent="0.3">
      <c r="A1431">
        <v>71500</v>
      </c>
      <c r="B1431" t="s">
        <v>14754</v>
      </c>
      <c r="C1431">
        <f>-647.844650137676 -60.8561280140686 -97.4463491006072</f>
        <v>-806.14712725235188</v>
      </c>
      <c r="D1431">
        <f>-663.087848071866 -73.4677107150628 -211.572626549609</f>
        <v>-948.12818533653785</v>
      </c>
      <c r="E1431">
        <f>-669.453358347366 -75.2207939402238 -309.975164656398</f>
        <v>-1054.6493169439877</v>
      </c>
      <c r="F1431">
        <f>-672.937329062615 -73.5076034734368 -398.987428500901</f>
        <v>-1145.4323610369529</v>
      </c>
      <c r="G1431">
        <f>-673.753988225447 -68.412605277043 -487.934633149322</f>
        <v>-1230.1012266518119</v>
      </c>
      <c r="H1431">
        <f>-672.03316260334 -57.8024964123388 -612.052616721692</f>
        <v>-1341.8882757373708</v>
      </c>
      <c r="I1431">
        <f>-649.100448841163 -44.7640179448135 -690.850622966924</f>
        <v>-1384.7150897529004</v>
      </c>
      <c r="J1431">
        <f>-682.490268020064 -36.5988165981423 -555.357253777407</f>
        <v>-1274.4463383956133</v>
      </c>
      <c r="K1431" t="s">
        <v>14755</v>
      </c>
      <c r="L1431" t="s">
        <v>14756</v>
      </c>
      <c r="M1431" t="s">
        <v>14757</v>
      </c>
      <c r="N1431">
        <f>-663.090676034291 -88.3439821814134 -559.511561466591</f>
        <v>-1310.9462196822956</v>
      </c>
      <c r="O1431">
        <f>-616.428724077049 -216.094639859746 -539.546524553786</f>
        <v>-1372.069888490581</v>
      </c>
      <c r="P1431">
        <f>-598.598925681824 -291.658083691107 -255.709465478743</f>
        <v>-1145.9664748516739</v>
      </c>
      <c r="Q1431">
        <f>-477.614618707978 -83.4533161118784 -263.740091668377</f>
        <v>-824.80802648823339</v>
      </c>
      <c r="R1431" t="s">
        <v>14758</v>
      </c>
      <c r="S1431" t="s">
        <v>14759</v>
      </c>
      <c r="T1431" t="s">
        <v>14760</v>
      </c>
      <c r="U1431" t="s">
        <v>14761</v>
      </c>
      <c r="V1431">
        <f>-606.090292425735 -147.555113325066 -94.7005770674522</f>
        <v>-848.34598281825322</v>
      </c>
      <c r="W1431" t="s">
        <v>14762</v>
      </c>
      <c r="X1431" t="s">
        <v>14763</v>
      </c>
      <c r="Y1431" t="s">
        <v>14764</v>
      </c>
    </row>
    <row r="1432" spans="1:25" x14ac:dyDescent="0.3">
      <c r="A1432">
        <v>71550</v>
      </c>
      <c r="B1432" t="s">
        <v>14765</v>
      </c>
      <c r="C1432">
        <f>-647.886895299232 -59.7958651399265 -97.4716115743759</f>
        <v>-805.15437201353438</v>
      </c>
      <c r="D1432">
        <f>-663.145172462756 -72.3137489320982 -211.606247297421</f>
        <v>-947.06516869227517</v>
      </c>
      <c r="E1432">
        <f>-669.486766665893 -74.1335551545578 -310.009091865912</f>
        <v>-1053.6294136863628</v>
      </c>
      <c r="F1432">
        <f>-672.93831922784 -72.5378573999606 -399.024751833382</f>
        <v>-1144.5009284611826</v>
      </c>
      <c r="G1432">
        <f>-673.712911061713 -67.6179700367954 -487.982224960748</f>
        <v>-1229.3131060592564</v>
      </c>
      <c r="H1432">
        <f>-671.924727759443 -57.3127022420315 -612.125054718232</f>
        <v>-1341.3624847197066</v>
      </c>
      <c r="I1432">
        <f>-648.800903319509 -44.4813275935196 -690.901102019504</f>
        <v>-1384.1833329325327</v>
      </c>
      <c r="J1432">
        <f>-682.331090314381 -35.9398803505699 -555.483855544474</f>
        <v>-1273.7548262094247</v>
      </c>
      <c r="K1432" t="s">
        <v>14766</v>
      </c>
      <c r="L1432" t="s">
        <v>14767</v>
      </c>
      <c r="M1432" t="s">
        <v>14768</v>
      </c>
      <c r="N1432">
        <f>-663.092257071563 -87.7552242529439 -559.508040652217</f>
        <v>-1310.355521976724</v>
      </c>
      <c r="O1432">
        <f>-616.801040308062 -215.59350707918 -539.224045667004</f>
        <v>-1371.618593054246</v>
      </c>
      <c r="P1432">
        <f>-599.45511806071 -290.569385952005 -255.201150778345</f>
        <v>-1145.2256547910599</v>
      </c>
      <c r="Q1432">
        <f>-478.106133244075 -82.5810307309241 -263.336248453017</f>
        <v>-824.02341242801606</v>
      </c>
      <c r="R1432" t="s">
        <v>14769</v>
      </c>
      <c r="S1432" t="s">
        <v>14770</v>
      </c>
      <c r="T1432" t="s">
        <v>14771</v>
      </c>
      <c r="U1432" t="s">
        <v>14772</v>
      </c>
      <c r="V1432">
        <f>-606.2761758498 -146.732656252554 -94.7398178750839</f>
        <v>-847.74864997743782</v>
      </c>
      <c r="W1432" t="s">
        <v>14773</v>
      </c>
      <c r="X1432" t="s">
        <v>14774</v>
      </c>
      <c r="Y1432" t="s">
        <v>14775</v>
      </c>
    </row>
    <row r="1433" spans="1:25" x14ac:dyDescent="0.3">
      <c r="A1433">
        <v>71600</v>
      </c>
      <c r="B1433" t="s">
        <v>14776</v>
      </c>
      <c r="C1433">
        <f>-647.922685686335 -57.7567655993271 -97.4807364650376</f>
        <v>-803.16018775069961</v>
      </c>
      <c r="D1433">
        <f>-663.136355428404 -69.9460874849203 -211.656779995045</f>
        <v>-944.73922290836936</v>
      </c>
      <c r="E1433">
        <f>-669.35976677699 -71.8575857801191 -310.065547737926</f>
        <v>-1051.282900295035</v>
      </c>
      <c r="F1433">
        <f>-672.6814461132 -70.4904521029989 -399.089940537153</f>
        <v>-1142.2618387533519</v>
      </c>
      <c r="G1433">
        <f>-673.306168810712 -65.9466753009488 -488.068515912597</f>
        <v>-1227.3213600242577</v>
      </c>
      <c r="H1433">
        <f>-671.290751796751 -56.321298863066 -612.262434717834</f>
        <v>-1339.8744853776511</v>
      </c>
      <c r="I1433">
        <f>-647.648321193398 -43.9359010234766 -690.9559129745</f>
        <v>-1382.5401351913747</v>
      </c>
      <c r="J1433">
        <f>-681.608271331707 -34.5686146947166 -555.749685316863</f>
        <v>-1271.9265713432865</v>
      </c>
      <c r="K1433" t="s">
        <v>14777</v>
      </c>
      <c r="L1433" t="s">
        <v>14778</v>
      </c>
      <c r="M1433" t="s">
        <v>14779</v>
      </c>
      <c r="N1433">
        <f>-662.746967393021 -86.5452612923311 -559.471936578422</f>
        <v>-1308.764165263774</v>
      </c>
      <c r="O1433">
        <f>-617.323244339807 -214.585411795009 -538.484248056032</f>
        <v>-1370.3929041908482</v>
      </c>
      <c r="P1433">
        <f>-601.113450157833 -288.194231462467 -254.037045222789</f>
        <v>-1143.3447268430889</v>
      </c>
      <c r="Q1433">
        <f>-478.964349120155 -80.6839841801075 -262.398825228013</f>
        <v>-822.04715852827553</v>
      </c>
      <c r="R1433" t="s">
        <v>14780</v>
      </c>
      <c r="S1433" t="s">
        <v>14781</v>
      </c>
      <c r="T1433" t="s">
        <v>14782</v>
      </c>
      <c r="U1433" t="s">
        <v>14783</v>
      </c>
      <c r="V1433">
        <f>-606.85975617232 -145.003985189497 -94.8356685891171</f>
        <v>-846.69940995093407</v>
      </c>
      <c r="W1433" t="s">
        <v>14784</v>
      </c>
      <c r="X1433" t="s">
        <v>14785</v>
      </c>
      <c r="Y1433" t="s">
        <v>14786</v>
      </c>
    </row>
    <row r="1434" spans="1:25" x14ac:dyDescent="0.3">
      <c r="A1434">
        <v>71650</v>
      </c>
      <c r="B1434" t="s">
        <v>14787</v>
      </c>
      <c r="C1434">
        <f>-647.938052988515 -56.9003122647755 -97.455900380344</f>
        <v>-802.2942656336345</v>
      </c>
      <c r="D1434">
        <f>-663.117553879538 -68.8909053802195 -211.657538247956</f>
        <v>-943.66599750771354</v>
      </c>
      <c r="E1434">
        <f>-669.253251230572 -70.8401929943352 -310.071136400231</f>
        <v>-1050.1645806251381</v>
      </c>
      <c r="F1434">
        <f>-672.477036270338 -69.5883418503679 -399.100656270765</f>
        <v>-1141.1660343914709</v>
      </c>
      <c r="G1434">
        <f>-672.986591186905 -65.2431158113884 -488.090138223039</f>
        <v>-1226.3198452213323</v>
      </c>
      <c r="H1434">
        <f>-670.794026489233 -55.9815908578005 -612.308610988413</f>
        <v>-1339.0842283354464</v>
      </c>
      <c r="I1434">
        <f>-646.836264401662 -43.8298366341273 -690.943014482005</f>
        <v>-1381.6091155177942</v>
      </c>
      <c r="J1434">
        <f>-681.072851156955 -34.0210472389624 -555.869365446158</f>
        <v>-1270.9632638420753</v>
      </c>
      <c r="K1434" t="s">
        <v>14788</v>
      </c>
      <c r="L1434" t="s">
        <v>14789</v>
      </c>
      <c r="M1434" t="s">
        <v>14790</v>
      </c>
      <c r="N1434">
        <f>-662.444961161428 -86.0933691272792 -559.422900400001</f>
        <v>-1307.9612306887082</v>
      </c>
      <c r="O1434">
        <f>-617.56339426194 -214.26374470542 -538.056563894089</f>
        <v>-1369.8837028614489</v>
      </c>
      <c r="P1434">
        <f>-601.998602755877 -287.100285014161 -253.374631539785</f>
        <v>-1142.4735193098229</v>
      </c>
      <c r="Q1434">
        <f>-479.250761174777 -79.9544444046614 -262.000130240595</f>
        <v>-821.20533582003338</v>
      </c>
      <c r="R1434" t="s">
        <v>14791</v>
      </c>
      <c r="S1434" t="s">
        <v>14792</v>
      </c>
      <c r="T1434" t="s">
        <v>14793</v>
      </c>
      <c r="U1434" t="s">
        <v>14794</v>
      </c>
      <c r="V1434">
        <f>-607.239534653646 -144.332130963326 -94.8828459393095</f>
        <v>-846.45451155628155</v>
      </c>
      <c r="W1434" t="s">
        <v>14795</v>
      </c>
      <c r="X1434" t="s">
        <v>14796</v>
      </c>
      <c r="Y1434" t="s">
        <v>14797</v>
      </c>
    </row>
    <row r="1435" spans="1:25" x14ac:dyDescent="0.3">
      <c r="A1435">
        <v>71700</v>
      </c>
      <c r="B1435" t="s">
        <v>14798</v>
      </c>
      <c r="C1435">
        <f>-647.884579565911 -54.7318932581893 -97.4485756478034</f>
        <v>-800.06504847190376</v>
      </c>
      <c r="D1435">
        <f>-663.063123113926 -66.4633916306013 -211.677281748194</f>
        <v>-941.20379649272138</v>
      </c>
      <c r="E1435">
        <f>-669.037170221026 -68.515785786371 -310.098654186642</f>
        <v>-1047.651610194039</v>
      </c>
      <c r="F1435">
        <f>-672.058265023436 -67.4834046359467 -399.138207128616</f>
        <v>-1138.6798767879986</v>
      </c>
      <c r="G1435">
        <f>-672.309979334952 -63.4882116397193 -488.145014591914</f>
        <v>-1223.9432055665852</v>
      </c>
      <c r="H1435">
        <f>-669.702475194611 -54.8528788574772 -612.400575796854</f>
        <v>-1336.9559298489421</v>
      </c>
      <c r="I1435">
        <f>-645.052956896116 -43.1290166596384 -690.886082056552</f>
        <v>-1379.0680556123066</v>
      </c>
      <c r="J1435">
        <f>-679.895824745765 -32.5125268515671 -556.095036999914</f>
        <v>-1268.5033885972462</v>
      </c>
      <c r="K1435" t="s">
        <v>14799</v>
      </c>
      <c r="L1435" t="s">
        <v>14800</v>
      </c>
      <c r="M1435" t="s">
        <v>14801</v>
      </c>
      <c r="N1435">
        <f>-661.804119012278 -84.7932287589176 -559.348619910893</f>
        <v>-1305.9459676820886</v>
      </c>
      <c r="O1435">
        <f>-618.133001424269 -213.268767550745 -537.306603520062</f>
        <v>-1368.708372495076</v>
      </c>
      <c r="P1435">
        <f>-603.994454481026 -284.831610445193 -252.227533359582</f>
        <v>-1141.0535982858009</v>
      </c>
      <c r="Q1435">
        <f>-479.941993070511 -78.4882340109564 -261.408561933625</f>
        <v>-819.83878901509229</v>
      </c>
      <c r="R1435" t="s">
        <v>14802</v>
      </c>
      <c r="S1435" t="s">
        <v>14803</v>
      </c>
      <c r="T1435" t="s">
        <v>14804</v>
      </c>
      <c r="U1435" t="s">
        <v>14805</v>
      </c>
      <c r="V1435">
        <f>-607.966410510939 -142.415659085195 -94.9309289852686</f>
        <v>-845.31299858140255</v>
      </c>
      <c r="W1435" t="s">
        <v>14806</v>
      </c>
      <c r="X1435" t="s">
        <v>14807</v>
      </c>
      <c r="Y1435" t="s">
        <v>14808</v>
      </c>
    </row>
    <row r="1436" spans="1:25" x14ac:dyDescent="0.3">
      <c r="A1436">
        <v>71750</v>
      </c>
      <c r="B1436" t="s">
        <v>14809</v>
      </c>
      <c r="C1436">
        <f>-647.709199955567 -53.5731819688071 -97.4418154950747</f>
        <v>-798.72419741944884</v>
      </c>
      <c r="D1436">
        <f>-662.880496963005 -65.1403370540997 -211.688226717324</f>
        <v>-939.70906073442882</v>
      </c>
      <c r="E1436">
        <f>-668.759250787313 -67.2137433055004 -310.114859610911</f>
        <v>-1046.0878537037245</v>
      </c>
      <c r="F1436">
        <f>-671.662269078667 -66.263562005036 -399.159219744725</f>
        <v>-1137.0850508284279</v>
      </c>
      <c r="G1436">
        <f>-671.764514913634 -62.4156376560268 -488.172908644388</f>
        <v>-1222.3530612140487</v>
      </c>
      <c r="H1436">
        <f>-668.916536721797 -54.055829667969 -612.441998013152</f>
        <v>-1335.414364402918</v>
      </c>
      <c r="I1436">
        <f>-643.896688835814 -42.5346365711525 -690.840317784075</f>
        <v>-1377.2716431910414</v>
      </c>
      <c r="J1436">
        <f>-679.064721758558 -31.5381524114423 -556.198936153576</f>
        <v>-1266.8018103235763</v>
      </c>
      <c r="K1436" t="s">
        <v>14810</v>
      </c>
      <c r="L1436" t="s">
        <v>14811</v>
      </c>
      <c r="M1436" t="s">
        <v>14812</v>
      </c>
      <c r="N1436">
        <f>-661.275048045459 -83.9308672292768 -559.315827864034</f>
        <v>-1304.5217431387698</v>
      </c>
      <c r="O1436">
        <f>-618.314447178113 -212.595229335757 -536.971055410944</f>
        <v>-1367.880731924814</v>
      </c>
      <c r="P1436">
        <f>-604.905025161304 -283.509712765902 -251.694787623908</f>
        <v>-1140.1095255511141</v>
      </c>
      <c r="Q1436">
        <f>-479.881550624275 -77.7677557955083 -261.1896426022</f>
        <v>-818.83894902198335</v>
      </c>
      <c r="R1436" t="s">
        <v>14813</v>
      </c>
      <c r="S1436" t="s">
        <v>14814</v>
      </c>
      <c r="T1436" t="s">
        <v>14815</v>
      </c>
      <c r="U1436" t="s">
        <v>14816</v>
      </c>
      <c r="V1436">
        <f>-608.239968916531 -141.404292461143 -94.9331086644344</f>
        <v>-844.57737004210833</v>
      </c>
      <c r="W1436" t="s">
        <v>14817</v>
      </c>
      <c r="X1436" t="s">
        <v>14818</v>
      </c>
      <c r="Y1436" t="s">
        <v>14819</v>
      </c>
    </row>
    <row r="1437" spans="1:25" x14ac:dyDescent="0.3">
      <c r="A1437">
        <v>71800</v>
      </c>
      <c r="B1437" t="s">
        <v>14820</v>
      </c>
      <c r="C1437">
        <f>-647.155135289141 -51.1948311053513 -97.4025536741934</f>
        <v>-795.75252006868573</v>
      </c>
      <c r="D1437">
        <f>-662.193076484515 -62.4105002012539 -211.701669742103</f>
        <v>-936.30524642787191</v>
      </c>
      <c r="E1437">
        <f>-667.778994968091 -64.4985781882215 -310.145141185192</f>
        <v>-1042.4227143415044</v>
      </c>
      <c r="F1437">
        <f>-670.352594806492 -63.684662836831 -399.200984355326</f>
        <v>-1133.2382419986488</v>
      </c>
      <c r="G1437">
        <f>-670.061390611725 -60.1021441302596 -488.225241128491</f>
        <v>-1218.3887758704755</v>
      </c>
      <c r="H1437">
        <f>-666.598599624511 -52.2498662978217 -612.511854149686</f>
        <v>-1331.3603200720186</v>
      </c>
      <c r="I1437">
        <f>-640.81742908063 -41.1529564628768 -690.724575456731</f>
        <v>-1372.6949610002378</v>
      </c>
      <c r="J1437">
        <f>-676.668969608197 -29.3856355633511 -556.39469958436</f>
        <v>-1262.4493047559081</v>
      </c>
      <c r="K1437" t="s">
        <v>14821</v>
      </c>
      <c r="L1437" t="s">
        <v>14822</v>
      </c>
      <c r="M1437" t="s">
        <v>14823</v>
      </c>
      <c r="N1437">
        <f>-659.575927732019 -82.0247822723861 -559.244079675398</f>
        <v>-1300.8447896798029</v>
      </c>
      <c r="O1437">
        <f>-618.313019325905 -211.142704073112 -536.320150899514</f>
        <v>-1365.7758742985311</v>
      </c>
      <c r="P1437">
        <f>-606.357468915138 -281.173211604062 -250.761012950045</f>
        <v>-1138.291693469245</v>
      </c>
      <c r="Q1437">
        <f>-479.040591783233 -76.8582597785532 -260.592693002247</f>
        <v>-816.49154456403335</v>
      </c>
      <c r="R1437" t="s">
        <v>14824</v>
      </c>
      <c r="S1437" t="s">
        <v>14825</v>
      </c>
      <c r="T1437" t="s">
        <v>14826</v>
      </c>
      <c r="U1437" t="s">
        <v>14827</v>
      </c>
      <c r="V1437">
        <f>-608.687043285453 -139.325734021073 -94.9078103924703</f>
        <v>-842.92058769899631</v>
      </c>
      <c r="W1437" t="s">
        <v>14828</v>
      </c>
      <c r="X1437" t="s">
        <v>14829</v>
      </c>
      <c r="Y1437" t="s">
        <v>14830</v>
      </c>
    </row>
    <row r="1438" spans="1:25" x14ac:dyDescent="0.3">
      <c r="A1438">
        <v>71850</v>
      </c>
      <c r="B1438" t="s">
        <v>14831</v>
      </c>
      <c r="C1438">
        <f>-646.921720621456 -49.9496168651403 -97.3416527253567</f>
        <v>-794.21299021195296</v>
      </c>
      <c r="D1438">
        <f>-661.852362599507 -60.9505994519207 -211.675661471079</f>
        <v>-934.47862352250672</v>
      </c>
      <c r="E1438">
        <f>-667.246350998644 -63.0176431303928 -310.130140537017</f>
        <v>-1040.3941346660538</v>
      </c>
      <c r="F1438">
        <f>-669.609954653637 -62.2481964670269 -399.19223591568</f>
        <v>-1131.0503870363439</v>
      </c>
      <c r="G1438">
        <f>-669.073008052077 -58.7762493535984 -488.219814436936</f>
        <v>-1216.0690718426113</v>
      </c>
      <c r="H1438">
        <f>-665.230361308872 -51.1491363370442 -612.509316543724</f>
        <v>-1328.8888141896402</v>
      </c>
      <c r="I1438">
        <f>-639.086262268902 -40.2556102039537 -690.629932420487</f>
        <v>-1369.9718048933428</v>
      </c>
      <c r="J1438">
        <f>-675.283331760793 -28.1233401936113 -556.455238904459</f>
        <v>-1259.8619108588632</v>
      </c>
      <c r="K1438" t="s">
        <v>14832</v>
      </c>
      <c r="L1438" t="s">
        <v>14833</v>
      </c>
      <c r="M1438" t="s">
        <v>14834</v>
      </c>
      <c r="N1438">
        <f>-658.559350821993 -80.8876320381009 -559.176139174976</f>
        <v>-1298.6231220350701</v>
      </c>
      <c r="O1438">
        <f>-618.243388635701 -210.253354186451 -535.954170521152</f>
        <v>-1364.4509133433039</v>
      </c>
      <c r="P1438">
        <f>-607.36515321852 -279.863996094484 -250.249489180266</f>
        <v>-1137.47863849327</v>
      </c>
      <c r="Q1438">
        <f>-478.641691185944 -76.438914555516 -260.217825055296</f>
        <v>-815.29843079675595</v>
      </c>
      <c r="R1438" t="s">
        <v>14835</v>
      </c>
      <c r="S1438" t="s">
        <v>14836</v>
      </c>
      <c r="T1438" t="s">
        <v>14837</v>
      </c>
      <c r="U1438" t="s">
        <v>14838</v>
      </c>
      <c r="V1438">
        <f>-609.038060348765 -138.197714742888 -94.8657794620763</f>
        <v>-842.10155455372933</v>
      </c>
      <c r="W1438" t="s">
        <v>14839</v>
      </c>
      <c r="X1438" t="s">
        <v>14840</v>
      </c>
      <c r="Y1438" t="s">
        <v>14841</v>
      </c>
    </row>
    <row r="1439" spans="1:25" x14ac:dyDescent="0.3">
      <c r="A1439">
        <v>71900</v>
      </c>
      <c r="B1439" t="s">
        <v>14842</v>
      </c>
      <c r="C1439">
        <f>-646.595034582372 -47.1713011389261 -97.1190442099434</f>
        <v>-790.88537993124146</v>
      </c>
      <c r="D1439">
        <f>-661.279486884059 -57.7154221963247 -211.527973224691</f>
        <v>-930.52288230507463</v>
      </c>
      <c r="E1439">
        <f>-666.212213328575 -59.6912190035198 -310.008617058659</f>
        <v>-1035.9120493907537</v>
      </c>
      <c r="F1439">
        <f>-668.067214408525 -58.9540685782767 -399.083052965885</f>
        <v>-1126.1043359526868</v>
      </c>
      <c r="G1439">
        <f>-666.932023083901 -55.6355068163721 -488.110807985112</f>
        <v>-1210.678337885385</v>
      </c>
      <c r="H1439">
        <f>-662.162294686301 -48.3499887094322 -612.38868863966</f>
        <v>-1322.9009720353934</v>
      </c>
      <c r="I1439">
        <f>-635.349952309847 -37.7933601801819 -690.328940327271</f>
        <v>-1363.4722528172999</v>
      </c>
      <c r="J1439">
        <f>-672.277556479673 -25.0610880991849 -556.45444072344</f>
        <v>-1253.7930853022979</v>
      </c>
      <c r="K1439" t="s">
        <v>14843</v>
      </c>
      <c r="L1439" t="s">
        <v>14844</v>
      </c>
      <c r="M1439" t="s">
        <v>14845</v>
      </c>
      <c r="N1439">
        <f>-656.244767248058 -78.0508324158857 -558.94567469239</f>
        <v>-1293.2412743563336</v>
      </c>
      <c r="O1439">
        <f>-617.827769308341 -207.874692860952 -535.109669883672</f>
        <v>-1360.8121320529649</v>
      </c>
      <c r="P1439">
        <f>-609.421186894362 -277.178725396559 -249.24705665996</f>
        <v>-1135.8469689508811</v>
      </c>
      <c r="Q1439">
        <f>-477.773531930617 -75.6410010244313 -259.361055322871</f>
        <v>-812.77558827791927</v>
      </c>
      <c r="R1439" t="s">
        <v>14846</v>
      </c>
      <c r="S1439" t="s">
        <v>14847</v>
      </c>
      <c r="T1439" t="s">
        <v>14848</v>
      </c>
      <c r="U1439" t="s">
        <v>14849</v>
      </c>
      <c r="V1439">
        <f>-609.849962183947 -135.680163805121 -94.72097280509</f>
        <v>-840.251098794158</v>
      </c>
      <c r="W1439" t="s">
        <v>14850</v>
      </c>
      <c r="X1439" t="s">
        <v>14851</v>
      </c>
      <c r="Y1439" t="s">
        <v>14852</v>
      </c>
    </row>
    <row r="1440" spans="1:25" x14ac:dyDescent="0.3">
      <c r="A1440">
        <v>71950</v>
      </c>
      <c r="B1440" t="s">
        <v>14853</v>
      </c>
      <c r="C1440">
        <f>-646.322049734235 -45.6295908472728 -96.9957768108459</f>
        <v>-788.9474173923536</v>
      </c>
      <c r="D1440">
        <f>-660.877633721548 -55.9402867615197 -211.442520168768</f>
        <v>-928.26044065183578</v>
      </c>
      <c r="E1440">
        <f>-665.567198981763 -57.8637956696496 -309.935991649397</f>
        <v>-1033.3669863008095</v>
      </c>
      <c r="F1440">
        <f>-667.154377425589 -57.1350437585231 -399.015671120241</f>
        <v>-1123.3050923043531</v>
      </c>
      <c r="G1440">
        <f>-665.704319171927 -53.8826676707695 -488.041327603381</f>
        <v>-1207.6283144460774</v>
      </c>
      <c r="H1440">
        <f>-660.44771763059 -46.750698630585 -612.308402652907</f>
        <v>-1319.506818914082</v>
      </c>
      <c r="I1440">
        <f>-633.318587904741 -36.3455225945759 -690.159381089691</f>
        <v>-1359.823491589008</v>
      </c>
      <c r="J1440">
        <f>-670.631857295711 -23.3481840767324 -556.434268126856</f>
        <v>-1250.4143094992994</v>
      </c>
      <c r="K1440" t="s">
        <v>14854</v>
      </c>
      <c r="L1440" t="s">
        <v>14855</v>
      </c>
      <c r="M1440" t="s">
        <v>14856</v>
      </c>
      <c r="N1440">
        <f>-654.889991047435 -76.4300644001 -558.814975811568</f>
        <v>-1290.135031259103</v>
      </c>
      <c r="O1440">
        <f>-617.292989170953 -206.440242476421 -534.6946876011</f>
        <v>-1358.4279192484739</v>
      </c>
      <c r="P1440">
        <f>-610.072231453797 -275.673827934301 -248.782461816998</f>
        <v>-1134.528521205096</v>
      </c>
      <c r="Q1440">
        <f>-477.078343259909 -75.0119553511158 -258.69547368225</f>
        <v>-810.7857722932747</v>
      </c>
      <c r="R1440" t="s">
        <v>14857</v>
      </c>
      <c r="S1440" t="s">
        <v>14858</v>
      </c>
      <c r="T1440" t="s">
        <v>14859</v>
      </c>
      <c r="U1440" t="s">
        <v>14860</v>
      </c>
      <c r="V1440">
        <f>-610.097008823682 -134.322234726713 -94.6597192545992</f>
        <v>-839.07896280499415</v>
      </c>
      <c r="W1440" t="s">
        <v>14861</v>
      </c>
      <c r="X1440" t="s">
        <v>14862</v>
      </c>
      <c r="Y1440" t="s">
        <v>14863</v>
      </c>
    </row>
    <row r="1441" spans="1:25" x14ac:dyDescent="0.3">
      <c r="A1441">
        <v>72000</v>
      </c>
      <c r="B1441" t="s">
        <v>14864</v>
      </c>
      <c r="C1441">
        <f>-645.393112260007 -42.52159791798 -96.7857050548051</f>
        <v>-784.70041523279212</v>
      </c>
      <c r="D1441">
        <f>-659.746864524455 -52.3789297132762 -211.297730459457</f>
        <v>-923.42352469718821</v>
      </c>
      <c r="E1441">
        <f>-663.999644454383 -54.2082402369174 -309.812918052353</f>
        <v>-1028.0208027436533</v>
      </c>
      <c r="F1441">
        <f>-665.095670144996 -53.5062168263232 -398.900187891916</f>
        <v>-1117.5020748632353</v>
      </c>
      <c r="G1441">
        <f>-663.061245813612 -50.3960752864971 -487.919454714204</f>
        <v>-1201.3767758143131</v>
      </c>
      <c r="H1441">
        <f>-656.894193376697 -43.5835599360978 -612.16264959168</f>
        <v>-1312.6404029044747</v>
      </c>
      <c r="I1441">
        <f>-629.176908756211 -33.4674111215461 -689.844340812771</f>
        <v>-1352.4886606905279</v>
      </c>
      <c r="J1441">
        <f>-667.244851725649 -19.9673843256214 -556.409116137468</f>
        <v>-1243.6213521887385</v>
      </c>
      <c r="K1441" t="s">
        <v>14865</v>
      </c>
      <c r="L1441" t="s">
        <v>14866</v>
      </c>
      <c r="M1441" t="s">
        <v>14867</v>
      </c>
      <c r="N1441">
        <f>-651.971252992211 -73.1955072497178 -558.5695141889</f>
        <v>-1283.7362744308289</v>
      </c>
      <c r="O1441">
        <f>-615.727574990491 -203.490381924667 -533.923856865636</f>
        <v>-1353.1418137807941</v>
      </c>
      <c r="P1441">
        <f>-610.458630352149 -272.786563399231 -247.984176467187</f>
        <v>-1131.2293702185671</v>
      </c>
      <c r="Q1441">
        <f>-475.421485601969 -73.4414431873261 -256.781094912803</f>
        <v>-805.64402370209814</v>
      </c>
      <c r="R1441" t="s">
        <v>14868</v>
      </c>
      <c r="S1441" t="s">
        <v>14869</v>
      </c>
      <c r="T1441" t="s">
        <v>14870</v>
      </c>
      <c r="U1441" t="s">
        <v>14871</v>
      </c>
      <c r="V1441">
        <f>-610.061245127701 -131.589275580426 -94.5369006104627</f>
        <v>-836.18742131858971</v>
      </c>
      <c r="W1441" t="s">
        <v>14872</v>
      </c>
      <c r="X1441" t="s">
        <v>14873</v>
      </c>
      <c r="Y1441" t="s">
        <v>14874</v>
      </c>
    </row>
    <row r="1442" spans="1:25" x14ac:dyDescent="0.3">
      <c r="A1442">
        <v>72050</v>
      </c>
      <c r="B1442" t="s">
        <v>14875</v>
      </c>
      <c r="C1442">
        <f>-644.572637870111 -41.153049517982 -96.6744086860932</f>
        <v>-782.40009607418619</v>
      </c>
      <c r="D1442">
        <f>-658.837886209386 -50.8076145627679 -211.214758693526</f>
        <v>-920.86025946567997</v>
      </c>
      <c r="E1442">
        <f>-662.879598714801 -52.5873423616092 -309.739753740884</f>
        <v>-1025.2066948172942</v>
      </c>
      <c r="F1442">
        <f>-663.733923388597 -51.8882007701695 -398.82977852839</f>
        <v>-1114.4519026871565</v>
      </c>
      <c r="G1442">
        <f>-661.408890462113 -48.8303010141055 -487.843629402733</f>
        <v>-1198.0828208789517</v>
      </c>
      <c r="H1442">
        <f>-654.785859464806 -42.1425385078969 -612.070143969024</f>
        <v>-1308.9985419417269</v>
      </c>
      <c r="I1442">
        <f>-626.775123472886 -32.1524322362363 -689.662855559951</f>
        <v>-1348.5904112690732</v>
      </c>
      <c r="J1442">
        <f>-665.241765687279 -18.4424666343994 -556.371917406127</f>
        <v>-1240.0561497278054</v>
      </c>
      <c r="K1442" t="s">
        <v>14876</v>
      </c>
      <c r="L1442" t="s">
        <v>14877</v>
      </c>
      <c r="M1442" t="s">
        <v>14878</v>
      </c>
      <c r="N1442">
        <f>-650.158996940656 -71.7285180834322 -558.43650714942</f>
        <v>-1280.3240221735082</v>
      </c>
      <c r="O1442">
        <f>-614.474608394602 -202.133698266712 -533.582409978739</f>
        <v>-1350.1907166400529</v>
      </c>
      <c r="P1442">
        <f>-610.158281195346 -271.433530579309 -247.627558632646</f>
        <v>-1129.2193704073011</v>
      </c>
      <c r="Q1442">
        <f>-474.32063424553 -72.6094759030268 -255.871830223656</f>
        <v>-802.80194037221281</v>
      </c>
      <c r="R1442" t="s">
        <v>14879</v>
      </c>
      <c r="S1442" t="s">
        <v>14880</v>
      </c>
      <c r="T1442" t="s">
        <v>14881</v>
      </c>
      <c r="U1442" t="s">
        <v>14882</v>
      </c>
      <c r="V1442">
        <f>-609.495532845606 -130.397180630767 -94.4882691036446</f>
        <v>-834.38098258001764</v>
      </c>
      <c r="W1442" t="s">
        <v>14883</v>
      </c>
      <c r="X1442" t="s">
        <v>14884</v>
      </c>
      <c r="Y1442" t="s">
        <v>14885</v>
      </c>
    </row>
    <row r="1443" spans="1:25" x14ac:dyDescent="0.3">
      <c r="A1443">
        <v>72100</v>
      </c>
      <c r="B1443" t="s">
        <v>14886</v>
      </c>
      <c r="C1443">
        <f>-642.667600783742 -38.8077746578269 -96.4751817555865</f>
        <v>-777.95055719715549</v>
      </c>
      <c r="D1443">
        <f>-656.705675254943 -48.0444586639912 -211.078022940193</f>
        <v>-915.82815685912726</v>
      </c>
      <c r="E1443">
        <f>-660.315644023345 -49.7323353257821 -309.621446103586</f>
        <v>-1019.6694254527131</v>
      </c>
      <c r="F1443">
        <f>-660.691781870871 -49.0523628939159 -398.714760760124</f>
        <v>-1108.4589055249107</v>
      </c>
      <c r="G1443">
        <f>-657.803474454266 -46.1189524127508 -487.716420030367</f>
        <v>-1191.6388468973837</v>
      </c>
      <c r="H1443">
        <f>-650.30711109093 -39.7158061677155 -611.908222471145</f>
        <v>-1301.9311397297906</v>
      </c>
      <c r="I1443">
        <f>-621.744688905192 -29.9831003664003 -689.332366429922</f>
        <v>-1341.0601557015143</v>
      </c>
      <c r="J1443">
        <f>-660.960657821436 -15.8347520520165 -556.325046309646</f>
        <v>-1233.1204561830987</v>
      </c>
      <c r="K1443" t="s">
        <v>14887</v>
      </c>
      <c r="L1443" t="s">
        <v>14888</v>
      </c>
      <c r="M1443" t="s">
        <v>14889</v>
      </c>
      <c r="N1443">
        <f>-646.251124117557 -69.2323768419465 -558.190110080616</f>
        <v>-1273.6736110401193</v>
      </c>
      <c r="O1443">
        <f>-611.637783071995 -199.838875158659 -532.887909605908</f>
        <v>-1344.3645678365619</v>
      </c>
      <c r="P1443">
        <f>-609.227990961392 -268.669436444056 -246.797377754137</f>
        <v>-1124.694805159585</v>
      </c>
      <c r="Q1443">
        <f>-472.106164953048 -70.6995092746072 -254.303504538881</f>
        <v>-797.10917876653616</v>
      </c>
      <c r="R1443" t="s">
        <v>14890</v>
      </c>
      <c r="S1443" t="s">
        <v>14891</v>
      </c>
      <c r="T1443" t="s">
        <v>14892</v>
      </c>
      <c r="U1443" t="s">
        <v>14893</v>
      </c>
      <c r="V1443">
        <f>-608.461884040189 -128.113730870371 -94.4299096682319</f>
        <v>-831.00552457879189</v>
      </c>
      <c r="W1443" t="s">
        <v>14894</v>
      </c>
      <c r="X1443" t="s">
        <v>14895</v>
      </c>
      <c r="Y1443" t="s">
        <v>14896</v>
      </c>
    </row>
    <row r="1444" spans="1:25" x14ac:dyDescent="0.3">
      <c r="A1444">
        <v>72150</v>
      </c>
      <c r="B1444" t="s">
        <v>14897</v>
      </c>
      <c r="C1444">
        <f>-642.125920025902 -37.5422409115142 -96.375148704195</f>
        <v>-776.04330964161124</v>
      </c>
      <c r="D1444">
        <f>-656.032041922736 -46.5625010797203 -211.011403895468</f>
        <v>-913.60594689792424</v>
      </c>
      <c r="E1444">
        <f>-659.425292962736 -48.2194788860029 -309.562909660565</f>
        <v>-1017.2076815093039</v>
      </c>
      <c r="F1444">
        <f>-659.568433789042 -47.5706758200663 -398.657251477469</f>
        <v>-1105.7963610865772</v>
      </c>
      <c r="G1444">
        <f>-656.411275529543 -44.7287839480869 -487.652753145251</f>
        <v>-1188.7928126228808</v>
      </c>
      <c r="H1444">
        <f>-648.503733717093 -38.5166104832758 -611.82884743252</f>
        <v>-1298.849191632889</v>
      </c>
      <c r="I1444">
        <f>-619.663527267257 -28.9043490904958 -689.164944969118</f>
        <v>-1337.7328213268706</v>
      </c>
      <c r="J1444">
        <f>-659.239738406227 -14.5225384509206 -556.310060654149</f>
        <v>-1230.0723375112966</v>
      </c>
      <c r="K1444" t="s">
        <v>14898</v>
      </c>
      <c r="L1444" t="s">
        <v>14899</v>
      </c>
      <c r="M1444" t="s">
        <v>14900</v>
      </c>
      <c r="N1444">
        <f>-644.727143618371 -67.9779218161395 -558.060046543896</f>
        <v>-1270.7651119784064</v>
      </c>
      <c r="O1444">
        <f>-610.650681426542 -198.688142319495 -532.518705097012</f>
        <v>-1341.8575288430488</v>
      </c>
      <c r="P1444">
        <f>-609.188865814365 -267.227295020563 -246.351946066143</f>
        <v>-1122.768106901071</v>
      </c>
      <c r="Q1444">
        <f>-471.64557913131 -69.5460488608242 -253.757499884585</f>
        <v>-794.9491278767191</v>
      </c>
      <c r="R1444" t="s">
        <v>14901</v>
      </c>
      <c r="S1444" t="s">
        <v>14902</v>
      </c>
      <c r="T1444" t="s">
        <v>14903</v>
      </c>
      <c r="U1444" t="s">
        <v>14904</v>
      </c>
      <c r="V1444">
        <f>-608.464581594216 -126.915610337674 -94.3821511354407</f>
        <v>-829.76234306733079</v>
      </c>
      <c r="W1444" t="s">
        <v>14905</v>
      </c>
      <c r="X1444" t="s">
        <v>14906</v>
      </c>
      <c r="Y1444" t="s">
        <v>14907</v>
      </c>
    </row>
    <row r="1445" spans="1:25" x14ac:dyDescent="0.3">
      <c r="A1445">
        <v>72200</v>
      </c>
      <c r="B1445" t="s">
        <v>14908</v>
      </c>
      <c r="C1445">
        <f>-642.083420230146 -34.8489547683791 -96.2423722530364</f>
        <v>-773.17474725156148</v>
      </c>
      <c r="D1445">
        <f>-655.725103744395 -43.3955861614352 -210.946714009094</f>
        <v>-910.06740391492417</v>
      </c>
      <c r="E1445">
        <f>-658.698194096938 -44.999941045573 -309.51271969813</f>
        <v>-1013.210854840641</v>
      </c>
      <c r="F1445">
        <f>-658.393523285735 -44.4372465874958 -398.607167135376</f>
        <v>-1101.4379370086067</v>
      </c>
      <c r="G1445">
        <f>-654.724075414093 -41.8173085348501 -487.58985959002</f>
        <v>-1184.1312435389632</v>
      </c>
      <c r="H1445">
        <f>-646.036829675823 -36.0563391472278 -611.735510575842</f>
        <v>-1293.8286793988927</v>
      </c>
      <c r="I1445">
        <f>-616.579834404929 -26.6843446892385 -688.868346160279</f>
        <v>-1332.1325252544466</v>
      </c>
      <c r="J1445">
        <f>-656.879621368853 -11.7968702033422 -556.353015325743</f>
        <v>-1225.0295068979381</v>
      </c>
      <c r="K1445" t="s">
        <v>14909</v>
      </c>
      <c r="L1445" t="s">
        <v>14910</v>
      </c>
      <c r="M1445" t="s">
        <v>14911</v>
      </c>
      <c r="N1445">
        <f>-642.83958101771 -65.3859427242394 -557.857312381606</f>
        <v>-1266.0828361235554</v>
      </c>
      <c r="O1445">
        <f>-610.016887817768 -196.294347508527 -531.705411871856</f>
        <v>-1338.0166471981511</v>
      </c>
      <c r="P1445">
        <f>-610.32640352117 -263.877227121277 -245.307667543718</f>
        <v>-1119.511298186165</v>
      </c>
      <c r="Q1445">
        <f>-471.746429863611 -66.9372631921844 -253.127338576657</f>
        <v>-791.81103163245234</v>
      </c>
      <c r="R1445" t="s">
        <v>14912</v>
      </c>
      <c r="S1445" t="s">
        <v>14913</v>
      </c>
      <c r="T1445" t="s">
        <v>14914</v>
      </c>
      <c r="U1445" t="s">
        <v>14915</v>
      </c>
      <c r="V1445">
        <f>-609.518080017417 -124.437982176093 -94.4002033256864</f>
        <v>-828.35626551919643</v>
      </c>
      <c r="W1445" t="s">
        <v>14916</v>
      </c>
      <c r="X1445" t="s">
        <v>14917</v>
      </c>
      <c r="Y1445" t="s">
        <v>14918</v>
      </c>
    </row>
    <row r="1446" spans="1:25" x14ac:dyDescent="0.3">
      <c r="A1446">
        <v>72250</v>
      </c>
      <c r="B1446" t="s">
        <v>14919</v>
      </c>
      <c r="C1446">
        <f>-642.391599487017 -33.5413853847792 -96.2090926533206</f>
        <v>-772.14207752511675</v>
      </c>
      <c r="D1446">
        <f>-655.921346264112 -41.8730217970992 -210.942570877896</f>
        <v>-908.73693893910718</v>
      </c>
      <c r="E1446">
        <f>-658.706795363166 -43.4737971556347 -309.513998790111</f>
        <v>-1011.6945913089116</v>
      </c>
      <c r="F1446">
        <f>-658.200419238858 -42.9765213556345 -398.608032601694</f>
        <v>-1099.7849731961865</v>
      </c>
      <c r="G1446">
        <f>-654.298142318447 -40.4922253171728 -487.584553055415</f>
        <v>-1182.3749206910347</v>
      </c>
      <c r="H1446">
        <f>-645.254842431837 -34.9941988546768 -611.716799634721</f>
        <v>-1291.9658409212348</v>
      </c>
      <c r="I1446">
        <f>-615.462720860883 -25.7914122156283 -688.741264706945</f>
        <v>-1329.9953977834562</v>
      </c>
      <c r="J1446">
        <f>-656.10647618063 -10.5790728195004 -556.404506267127</f>
        <v>-1223.0900552672574</v>
      </c>
      <c r="K1446" t="s">
        <v>14920</v>
      </c>
      <c r="L1446" t="s">
        <v>14921</v>
      </c>
      <c r="M1446" t="s">
        <v>14922</v>
      </c>
      <c r="N1446">
        <f>-642.362180791772 -64.248246165778 -557.780197359501</f>
        <v>-1264.3906243170509</v>
      </c>
      <c r="O1446">
        <f>-610.312027126271 -195.282461249944 -531.296321452138</f>
        <v>-1336.890809828353</v>
      </c>
      <c r="P1446">
        <f>-611.515183554273 -262.108403047928 -244.723328682252</f>
        <v>-1118.346915284453</v>
      </c>
      <c r="Q1446">
        <f>-471.829385417329 -65.9627990198017 -252.824693015751</f>
        <v>-790.61687745288168</v>
      </c>
      <c r="R1446" t="s">
        <v>14923</v>
      </c>
      <c r="S1446" t="s">
        <v>14924</v>
      </c>
      <c r="T1446" t="s">
        <v>14925</v>
      </c>
      <c r="U1446" t="s">
        <v>14926</v>
      </c>
      <c r="V1446">
        <f>-610.284260302406 -123.328237760529 -94.4142066865638</f>
        <v>-828.02670474949878</v>
      </c>
      <c r="W1446" t="s">
        <v>14927</v>
      </c>
      <c r="X1446" t="s">
        <v>14928</v>
      </c>
      <c r="Y1446" t="s">
        <v>14929</v>
      </c>
    </row>
    <row r="1447" spans="1:25" x14ac:dyDescent="0.3">
      <c r="A1447">
        <v>72300</v>
      </c>
      <c r="B1447" t="s">
        <v>14930</v>
      </c>
      <c r="C1447">
        <f>-643.295938094179 -30.9418167373353 -96.1539610418555</f>
        <v>-770.39171587336978</v>
      </c>
      <c r="D1447">
        <f>-656.646843641943 -38.897551216498 -210.934998662877</f>
        <v>-906.47939352131789</v>
      </c>
      <c r="E1447">
        <f>-659.104446797515 -40.519102458624 -309.514809335743</f>
        <v>-1009.138358591882</v>
      </c>
      <c r="F1447">
        <f>-658.238650323442 -40.1716508466216 -398.606748342184</f>
        <v>-1097.0170495122475</v>
      </c>
      <c r="G1447">
        <f>-653.915770535361 -37.9730274833109 -487.571442817176</f>
        <v>-1179.460240835848</v>
      </c>
      <c r="H1447">
        <f>-644.223761805725 -33.0169931588309 -611.677448769448</f>
        <v>-1288.9182037340038</v>
      </c>
      <c r="I1447">
        <f>-613.709725800157 -24.1399724710875 -688.457230251501</f>
        <v>-1326.3069285227455</v>
      </c>
      <c r="J1447">
        <f>-655.031900137762 -8.27839498504045 -556.500540683114</f>
        <v>-1219.8108358059164</v>
      </c>
      <c r="K1447" t="s">
        <v>14931</v>
      </c>
      <c r="L1447" t="s">
        <v>14932</v>
      </c>
      <c r="M1447" t="s">
        <v>14933</v>
      </c>
      <c r="N1447">
        <f>-641.945569697209 -62.1174356419135 -557.628557021008</f>
        <v>-1261.6915623601303</v>
      </c>
      <c r="O1447">
        <f>-611.615864998043 -193.430914904943 -530.506183444574</f>
        <v>-1335.5529633475599</v>
      </c>
      <c r="P1447">
        <f>-614.470023326935 -259.208234054997 -243.702433202946</f>
        <v>-1117.380690584878</v>
      </c>
      <c r="Q1447">
        <f>-472.508166358607 -64.721994627489 -252.234777081867</f>
        <v>-789.46493806796309</v>
      </c>
      <c r="R1447" t="s">
        <v>14934</v>
      </c>
      <c r="S1447" t="s">
        <v>14935</v>
      </c>
      <c r="T1447" t="s">
        <v>14936</v>
      </c>
      <c r="U1447" t="s">
        <v>14937</v>
      </c>
      <c r="V1447">
        <f>-612.174828776936 -121.012428758664 -94.4440829680304</f>
        <v>-827.63134050363044</v>
      </c>
      <c r="W1447" t="s">
        <v>14938</v>
      </c>
      <c r="X1447" t="s">
        <v>14939</v>
      </c>
      <c r="Y1447" t="s">
        <v>14940</v>
      </c>
    </row>
    <row r="1448" spans="1:25" x14ac:dyDescent="0.3">
      <c r="A1448">
        <v>72350</v>
      </c>
      <c r="B1448" t="s">
        <v>14941</v>
      </c>
      <c r="C1448">
        <f>-643.661583732758 -29.9503706824021 -96.102036931659</f>
        <v>-769.71399134681906</v>
      </c>
      <c r="D1448">
        <f>-656.954091617299 -37.7296316485385 -210.902068969641</f>
        <v>-905.58579223547849</v>
      </c>
      <c r="E1448">
        <f>-659.289045718909 -39.3720449478899 -309.484434204117</f>
        <v>-1008.145524870916</v>
      </c>
      <c r="F1448">
        <f>-658.286310376769 -39.1091344743195 -398.57518456132</f>
        <v>-1095.9706294124085</v>
      </c>
      <c r="G1448">
        <f>-653.801862194142 -37.0631012457743 -487.53556833562</f>
        <v>-1178.4005317755364</v>
      </c>
      <c r="H1448">
        <f>-643.859123515219 -32.3914702416132 -611.632884921714</f>
        <v>-1287.8834786785462</v>
      </c>
      <c r="I1448">
        <f>-612.983347798544 -23.6704718950184 -688.285754368983</f>
        <v>-1324.9395740625455</v>
      </c>
      <c r="J1448">
        <f>-654.620817282007 -7.48886816406571 -556.520616920602</f>
        <v>-1218.6303023666746</v>
      </c>
      <c r="K1448" t="s">
        <v>14942</v>
      </c>
      <c r="L1448" t="s">
        <v>14943</v>
      </c>
      <c r="M1448" t="s">
        <v>14944</v>
      </c>
      <c r="N1448">
        <f>-641.848128519425 -61.4055448166203 -557.526915162013</f>
        <v>-1260.7805884980583</v>
      </c>
      <c r="O1448">
        <f>-612.376784501689 -192.853932738532 -530.105022171691</f>
        <v>-1335.3357394119121</v>
      </c>
      <c r="P1448">
        <f>-616.148387197798 -258.026054254934 -243.173658772237</f>
        <v>-1117.3481002249691</v>
      </c>
      <c r="Q1448">
        <f>-472.949315870651 -64.4599519482395 -251.949263301432</f>
        <v>-789.35853112032248</v>
      </c>
      <c r="R1448" t="s">
        <v>14945</v>
      </c>
      <c r="S1448" t="s">
        <v>14946</v>
      </c>
      <c r="T1448" t="s">
        <v>14947</v>
      </c>
      <c r="U1448" t="s">
        <v>14948</v>
      </c>
      <c r="V1448">
        <f>-612.999541330537 -120.210419179006 -94.4417475255957</f>
        <v>-827.65170803513865</v>
      </c>
      <c r="W1448" t="s">
        <v>14949</v>
      </c>
      <c r="X1448" t="s">
        <v>14950</v>
      </c>
      <c r="Y1448" t="s">
        <v>14951</v>
      </c>
    </row>
    <row r="1449" spans="1:25" x14ac:dyDescent="0.3">
      <c r="A1449">
        <v>72400</v>
      </c>
      <c r="B1449" t="s">
        <v>14952</v>
      </c>
      <c r="C1449">
        <f>-644.619174281283 -28.4780952691801 -96.0010914841013</f>
        <v>-769.09836103456439</v>
      </c>
      <c r="D1449">
        <f>-657.90385392429 -36.0173210402052 -210.817947700438</f>
        <v>-904.73912266493323</v>
      </c>
      <c r="E1449">
        <f>-660.117689921163 -37.7810334819092 -309.401095197442</f>
        <v>-1007.2998186005141</v>
      </c>
      <c r="F1449">
        <f>-658.965389029694 -37.7542738923025 -398.490451513499</f>
        <v>-1095.2101144354956</v>
      </c>
      <c r="G1449">
        <f>-654.292490328324 -36.0744502873688 -487.448846774664</f>
        <v>-1177.8157873903567</v>
      </c>
      <c r="H1449">
        <f>-644.047809703681 -32.0517917742329 -611.544170001754</f>
        <v>-1287.643771479668</v>
      </c>
      <c r="I1449">
        <f>-612.448772694084 -23.731150328942 -687.946427832334</f>
        <v>-1324.1263508553602</v>
      </c>
      <c r="J1449">
        <f>-654.658010405083 -6.79571793943001 -556.563607206762</f>
        <v>-1218.017335551275</v>
      </c>
      <c r="K1449" t="s">
        <v>14953</v>
      </c>
      <c r="L1449" t="s">
        <v>14954</v>
      </c>
      <c r="M1449" t="s">
        <v>14955</v>
      </c>
      <c r="N1449">
        <f>-642.453935871474 -60.8481402612117 -557.308347364724</f>
        <v>-1260.6104234974096</v>
      </c>
      <c r="O1449">
        <f>-614.537807486487 -192.492117810696 -529.278620924854</f>
        <v>-1336.308546222037</v>
      </c>
      <c r="P1449">
        <f>-619.804776452858 -256.652237924251 -242.142792589378</f>
        <v>-1118.599806966487</v>
      </c>
      <c r="Q1449">
        <f>-474.28569774483 -64.8404412582299 -251.268443774731</f>
        <v>-790.3945827777909</v>
      </c>
      <c r="R1449" t="s">
        <v>14956</v>
      </c>
      <c r="S1449" t="s">
        <v>14957</v>
      </c>
      <c r="T1449" t="s">
        <v>14958</v>
      </c>
      <c r="U1449" t="s">
        <v>14959</v>
      </c>
      <c r="V1449">
        <f>-614.75338231683 -119.07120407967 -94.4134063359828</f>
        <v>-828.23799273248278</v>
      </c>
      <c r="W1449" t="s">
        <v>14960</v>
      </c>
      <c r="X1449" t="s">
        <v>14961</v>
      </c>
      <c r="Y1449" t="s">
        <v>14962</v>
      </c>
    </row>
    <row r="1450" spans="1:25" x14ac:dyDescent="0.3">
      <c r="A1450">
        <v>72450</v>
      </c>
      <c r="B1450" t="s">
        <v>14963</v>
      </c>
      <c r="C1450">
        <f>-645.232241122552 -28.049652608255 -95.9702131104342</f>
        <v>-769.25210684124113</v>
      </c>
      <c r="D1450">
        <f>-658.563277892546 -35.5023655669879 -210.787317100143</f>
        <v>-904.85296055967694</v>
      </c>
      <c r="E1450">
        <f>-660.739609906698 -37.3529130112981 -309.369655245269</f>
        <v>-1007.4621781632651</v>
      </c>
      <c r="F1450">
        <f>-659.524599662747 -37.4682961104115 -398.458221489538</f>
        <v>-1095.4511172626967</v>
      </c>
      <c r="G1450">
        <f>-654.760639267692 -35.9973961019628 -487.415431473016</f>
        <v>-1178.1734668426707</v>
      </c>
      <c r="H1450">
        <f>-644.359770106353 -32.3369783041821 -611.509079755883</f>
        <v>-1288.2058281664181</v>
      </c>
      <c r="I1450">
        <f>-612.381250982316 -24.2558484941515 -687.778853197941</f>
        <v>-1324.4159526744083</v>
      </c>
      <c r="J1450">
        <f>-654.912068766217 -6.89234352957646 -556.604297926373</f>
        <v>-1218.4087102221665</v>
      </c>
      <c r="K1450" t="s">
        <v>14964</v>
      </c>
      <c r="L1450" t="s">
        <v>14965</v>
      </c>
      <c r="M1450" t="s">
        <v>14966</v>
      </c>
      <c r="N1450">
        <f>-642.961180267702 -61.003131375528 -557.198746697115</f>
        <v>-1261.1630583403451</v>
      </c>
      <c r="O1450">
        <f>-615.708565652134 -192.7218337694 -528.878878127725</f>
        <v>-1337.3092775492591</v>
      </c>
      <c r="P1450">
        <f>-621.572725437093 -256.376201667557 -241.642282216901</f>
        <v>-1119.5912093215511</v>
      </c>
      <c r="Q1450">
        <f>-474.998384422711 -65.3717218388285 -250.812100534429</f>
        <v>-791.18220679596845</v>
      </c>
      <c r="R1450" t="s">
        <v>14967</v>
      </c>
      <c r="S1450" t="s">
        <v>14968</v>
      </c>
      <c r="T1450" t="s">
        <v>14969</v>
      </c>
      <c r="U1450" t="s">
        <v>14970</v>
      </c>
      <c r="V1450">
        <f>-615.528482898499 -118.770236657483 -94.3925700482788</f>
        <v>-828.69128960426076</v>
      </c>
      <c r="W1450" t="s">
        <v>14971</v>
      </c>
      <c r="X1450" t="s">
        <v>14972</v>
      </c>
      <c r="Y1450" t="s">
        <v>14973</v>
      </c>
    </row>
    <row r="1451" spans="1:25" x14ac:dyDescent="0.3">
      <c r="A1451">
        <v>72500</v>
      </c>
      <c r="B1451" t="s">
        <v>14974</v>
      </c>
      <c r="C1451">
        <f>-645.832829892918 -28.0617265490037 -95.899937653379</f>
        <v>-769.79449409530059</v>
      </c>
      <c r="D1451">
        <f>-659.364376600201 -35.5670613338634 -210.690179177668</f>
        <v>-905.62161711173246</v>
      </c>
      <c r="E1451">
        <f>-661.529282729526 -37.6001881635484 -309.269314673973</f>
        <v>-1008.3987855670474</v>
      </c>
      <c r="F1451">
        <f>-660.230909685512 -37.9389194065079 -398.355952305934</f>
        <v>-1096.5257813979538</v>
      </c>
      <c r="G1451">
        <f>-655.310396028239 -36.753638234765 -487.308849895854</f>
        <v>-1179.3728841588581</v>
      </c>
      <c r="H1451">
        <f>-644.614828498456 -33.5613795744725 -611.390370568515</f>
        <v>-1289.5665786414434</v>
      </c>
      <c r="I1451">
        <f>-611.95671471352 -25.8649918062499 -687.411808839118</f>
        <v>-1325.2335153588879</v>
      </c>
      <c r="J1451">
        <f>-655.144556241781 -7.87655526156937 -556.593284797875</f>
        <v>-1219.6143963012253</v>
      </c>
      <c r="K1451" t="s">
        <v>14975</v>
      </c>
      <c r="L1451" t="s">
        <v>14976</v>
      </c>
      <c r="M1451" t="s">
        <v>14977</v>
      </c>
      <c r="N1451">
        <f>-643.498407089099 -62.0557103152885 -556.983347444018</f>
        <v>-1262.5374648484055</v>
      </c>
      <c r="O1451">
        <f>-617.129561553121 -193.864626397445 -528.20850393467</f>
        <v>-1339.2026918852362</v>
      </c>
      <c r="P1451">
        <f>-624.13156243061 -256.260935767475 -240.721308868308</f>
        <v>-1121.1138070663928</v>
      </c>
      <c r="Q1451">
        <f>-476.020872206171 -66.4502494799401 -249.997407097332</f>
        <v>-792.46852878344316</v>
      </c>
      <c r="R1451" t="s">
        <v>14978</v>
      </c>
      <c r="S1451" t="s">
        <v>14979</v>
      </c>
      <c r="T1451" t="s">
        <v>14980</v>
      </c>
      <c r="U1451" t="s">
        <v>14981</v>
      </c>
      <c r="V1451">
        <f>-615.922624097292 -118.705898825357 -94.4296074130342</f>
        <v>-829.05813033568313</v>
      </c>
      <c r="W1451" t="s">
        <v>14982</v>
      </c>
      <c r="X1451" t="s">
        <v>14983</v>
      </c>
      <c r="Y1451" t="s">
        <v>14984</v>
      </c>
    </row>
    <row r="1452" spans="1:25" x14ac:dyDescent="0.3">
      <c r="A1452">
        <v>72550</v>
      </c>
      <c r="B1452" t="s">
        <v>14985</v>
      </c>
      <c r="C1452">
        <f>-646.392211114284 -28.0821106641215 -95.8427507929827</f>
        <v>-770.31707257138817</v>
      </c>
      <c r="D1452">
        <f>-660.148437044305 -35.8093011024287 -210.591501634376</f>
        <v>-906.54923978110958</v>
      </c>
      <c r="E1452">
        <f>-662.42948579479 -38.0031491438756 -309.164487977481</f>
        <v>-1009.5971229161466</v>
      </c>
      <c r="F1452">
        <f>-661.202941481082 -38.4810992740317 -398.251692696693</f>
        <v>-1097.9357334518068</v>
      </c>
      <c r="G1452">
        <f>-656.319896748382 -37.4317064022016 -487.208394196198</f>
        <v>-1180.9599973467816</v>
      </c>
      <c r="H1452">
        <f>-645.63973949999 -34.4283010743029 -611.295884554312</f>
        <v>-1291.3639251286049</v>
      </c>
      <c r="I1452">
        <f>-612.673532046098 -26.9284534029578 -687.203797230719</f>
        <v>-1326.8057826797749</v>
      </c>
      <c r="J1452">
        <f>-656.143225740333 -8.65592958911634 -556.534841859425</f>
        <v>-1221.3339971888745</v>
      </c>
      <c r="K1452" t="s">
        <v>14986</v>
      </c>
      <c r="L1452" t="s">
        <v>14987</v>
      </c>
      <c r="M1452" t="s">
        <v>14988</v>
      </c>
      <c r="N1452">
        <f>-644.536092326806 -62.8439720020974 -556.847327557988</f>
        <v>-1264.2273918868914</v>
      </c>
      <c r="O1452">
        <f>-618.300333408198 -194.653185437324 -527.951021225249</f>
        <v>-1340.904540070771</v>
      </c>
      <c r="P1452">
        <f>-625.827136117888 -256.194849971182 -240.292854802257</f>
        <v>-1122.3148408913271</v>
      </c>
      <c r="Q1452">
        <f>-477.161461675502 -66.8356388248665 -249.908434992237</f>
        <v>-793.9055354926054</v>
      </c>
      <c r="R1452" t="s">
        <v>14989</v>
      </c>
      <c r="S1452" t="s">
        <v>14990</v>
      </c>
      <c r="T1452" t="s">
        <v>14991</v>
      </c>
      <c r="U1452" t="s">
        <v>14992</v>
      </c>
      <c r="V1452">
        <f>-616.660939663487 -118.369474725596 -94.2636937641895</f>
        <v>-829.29410815327253</v>
      </c>
      <c r="W1452" t="s">
        <v>14993</v>
      </c>
      <c r="X1452" t="s">
        <v>14994</v>
      </c>
      <c r="Y1452" t="s">
        <v>14995</v>
      </c>
    </row>
    <row r="1453" spans="1:25" x14ac:dyDescent="0.3">
      <c r="A1453">
        <v>72600</v>
      </c>
      <c r="B1453" t="s">
        <v>14996</v>
      </c>
      <c r="C1453">
        <f>-647.605609998273 -28.6019744072385 -95.6802633675625</f>
        <v>-771.88784777307399</v>
      </c>
      <c r="D1453">
        <f>-661.704857256426 -36.8657794375786 -210.350046355851</f>
        <v>-908.92068304985548</v>
      </c>
      <c r="E1453">
        <f>-664.318455389842 -39.3807142232297 -308.907117416637</f>
        <v>-1012.6062870297087</v>
      </c>
      <c r="F1453">
        <f>-663.399474058034 -40.1080138394589 -397.996181668812</f>
        <v>-1101.5036695663048</v>
      </c>
      <c r="G1453">
        <f>-658.827862573594 -39.2704976771327 -486.971650170722</f>
        <v>-1185.0700104214486</v>
      </c>
      <c r="H1453">
        <f>-648.583389656135 -36.5295106020417 -611.102144262519</f>
        <v>-1296.2150445206958</v>
      </c>
      <c r="I1453">
        <f>-615.047867467893 -29.2227790954009 -686.779040780362</f>
        <v>-1331.0496873436559</v>
      </c>
      <c r="J1453">
        <f>-658.996120353053 -10.6634205867892 -556.36794237028</f>
        <v>-1226.0274833101223</v>
      </c>
      <c r="K1453" t="s">
        <v>14997</v>
      </c>
      <c r="L1453" t="s">
        <v>14998</v>
      </c>
      <c r="M1453" t="s">
        <v>14999</v>
      </c>
      <c r="N1453">
        <f>-647.186801900426 -64.8081016843794 -556.588973816274</f>
        <v>-1268.5838774010795</v>
      </c>
      <c r="O1453">
        <f>-620.472641660065 -196.520628231313 -527.589807555569</f>
        <v>-1344.5830774469471</v>
      </c>
      <c r="P1453">
        <f>-627.730481949221 -256.336779465888 -239.560904848299</f>
        <v>-1123.628166263408</v>
      </c>
      <c r="Q1453">
        <f>-478.820931270496 -67.2405037516705 -250.489469498881</f>
        <v>-796.55090452104753</v>
      </c>
      <c r="R1453" t="s">
        <v>15000</v>
      </c>
      <c r="S1453" t="s">
        <v>15001</v>
      </c>
      <c r="T1453" t="s">
        <v>15002</v>
      </c>
      <c r="U1453" t="s">
        <v>15003</v>
      </c>
      <c r="V1453">
        <f>-616.501692352327 -118.602013960536 -94.0585614795342</f>
        <v>-829.1622677923973</v>
      </c>
      <c r="W1453" t="s">
        <v>15004</v>
      </c>
      <c r="X1453" t="s">
        <v>15005</v>
      </c>
      <c r="Y1453" t="s">
        <v>15006</v>
      </c>
    </row>
    <row r="1454" spans="1:25" x14ac:dyDescent="0.3">
      <c r="A1454">
        <v>72650</v>
      </c>
      <c r="B1454" t="s">
        <v>15007</v>
      </c>
      <c r="C1454">
        <f>-648.39035907384 -28.9868092421664 -95.7020334873068</f>
        <v>-773.07920180331325</v>
      </c>
      <c r="D1454">
        <f>-662.661263332482 -37.6040451671988 -210.324384685178</f>
        <v>-910.58969318485879</v>
      </c>
      <c r="E1454">
        <f>-665.508717757156 -40.2748748825595 -308.871066843139</f>
        <v>-1014.6546594828544</v>
      </c>
      <c r="F1454">
        <f>-664.830339758475 -41.0913189613088 -397.961399177664</f>
        <v>-1103.883057897448</v>
      </c>
      <c r="G1454">
        <f>-660.526414183094 -40.2912380044631 -486.950669882532</f>
        <v>-1187.7683220700892</v>
      </c>
      <c r="H1454">
        <f>-650.68177350794 -37.5508679267032 -611.113362260223</f>
        <v>-1299.3460036948661</v>
      </c>
      <c r="I1454">
        <f>-616.898884328068 -30.2265935951773 -686.678493486963</f>
        <v>-1333.8039714102083</v>
      </c>
      <c r="J1454">
        <f>-661.008738905157 -11.704223906725 -556.353825196314</f>
        <v>-1229.066788008196</v>
      </c>
      <c r="K1454" t="s">
        <v>15008</v>
      </c>
      <c r="L1454" t="s">
        <v>15009</v>
      </c>
      <c r="M1454" t="s">
        <v>15010</v>
      </c>
      <c r="N1454">
        <f>-649.019118340477 -65.8093475963176 -556.597272992484</f>
        <v>-1271.4257389292786</v>
      </c>
      <c r="O1454">
        <f>-621.832276188417 -197.446977199568 -527.667645715039</f>
        <v>-1346.946899103024</v>
      </c>
      <c r="P1454">
        <f>-628.420843946882 -256.454728406675 -239.456073096205</f>
        <v>-1124.3316454497619</v>
      </c>
      <c r="Q1454">
        <f>-479.65397449657 -67.3070537794856 -251.391222875083</f>
        <v>-798.3522511511386</v>
      </c>
      <c r="R1454" t="s">
        <v>15011</v>
      </c>
      <c r="S1454" t="s">
        <v>15012</v>
      </c>
      <c r="T1454" t="s">
        <v>15013</v>
      </c>
      <c r="U1454" t="s">
        <v>15014</v>
      </c>
      <c r="V1454">
        <f>-616.63077154659 -118.977528038032 -94.0070689364991</f>
        <v>-829.61536852112113</v>
      </c>
      <c r="W1454" t="s">
        <v>15015</v>
      </c>
      <c r="X1454" t="s">
        <v>15016</v>
      </c>
      <c r="Y1454" t="s">
        <v>15017</v>
      </c>
    </row>
    <row r="1455" spans="1:25" x14ac:dyDescent="0.3">
      <c r="A1455">
        <v>72700</v>
      </c>
      <c r="B1455" t="s">
        <v>15018</v>
      </c>
      <c r="C1455">
        <f>-649.605851887643 -30.5805158012579 -96.0019215672917</f>
        <v>-776.18828925619255</v>
      </c>
      <c r="D1455">
        <f>-664.113667793821 -39.8308152017448 -210.545253033997</f>
        <v>-914.48973602956289</v>
      </c>
      <c r="E1455">
        <f>-667.41053882171 -42.8190097913694 -309.068728246959</f>
        <v>-1019.2982768600384</v>
      </c>
      <c r="F1455">
        <f>-667.229515022065 -43.8393065666382 -398.15943099401</f>
        <v>-1109.2282525827131</v>
      </c>
      <c r="G1455">
        <f>-663.511492477787 -43.1561387174836 -487.1759576871</f>
        <v>-1193.8435888823706</v>
      </c>
      <c r="H1455">
        <f>-654.575001173682 -40.4886227765671 -611.408992528892</f>
        <v>-1306.4726164791412</v>
      </c>
      <c r="I1455">
        <f>-620.494459671679 -33.1040765038324 -686.83461338094</f>
        <v>-1340.4331495564516</v>
      </c>
      <c r="J1455">
        <f>-664.763770226986 -14.669260696149 -556.610610607601</f>
        <v>-1236.0436415307358</v>
      </c>
      <c r="K1455" t="s">
        <v>15019</v>
      </c>
      <c r="L1455" t="s">
        <v>15020</v>
      </c>
      <c r="M1455" t="s">
        <v>15021</v>
      </c>
      <c r="N1455">
        <f>-652.251338509367 -68.6557676121261 -556.869724266786</f>
        <v>-1277.776830388279</v>
      </c>
      <c r="O1455">
        <f>-623.917431441238 -200.017561042927 -527.946958812288</f>
        <v>-1351.8819512964531</v>
      </c>
      <c r="P1455">
        <f>-629.090480903755 -258.241781457281 -239.547273013117</f>
        <v>-1126.879535374153</v>
      </c>
      <c r="Q1455">
        <f>-480.707807107957 -69.0125763990031 -254.573290187703</f>
        <v>-804.2936736946632</v>
      </c>
      <c r="R1455" t="s">
        <v>15022</v>
      </c>
      <c r="S1455" t="s">
        <v>15023</v>
      </c>
      <c r="T1455" t="s">
        <v>15024</v>
      </c>
      <c r="U1455" t="s">
        <v>15025</v>
      </c>
      <c r="V1455">
        <f>-616.849764160959 -120.675649036746 -94.0169754106628</f>
        <v>-831.54238860836779</v>
      </c>
      <c r="W1455" t="s">
        <v>15026</v>
      </c>
      <c r="X1455" t="s">
        <v>15027</v>
      </c>
      <c r="Y1455" t="s">
        <v>15028</v>
      </c>
    </row>
    <row r="1456" spans="1:25" x14ac:dyDescent="0.3">
      <c r="A1456">
        <v>72750</v>
      </c>
      <c r="B1456" t="s">
        <v>15029</v>
      </c>
      <c r="C1456">
        <f>-650.258014935583 -31.5129669639796 -96.196639431997</f>
        <v>-777.9676213315596</v>
      </c>
      <c r="D1456">
        <f>-664.813771319788 -40.9337680817032 -210.720021492526</f>
        <v>-916.4675608940172</v>
      </c>
      <c r="E1456">
        <f>-668.195421608654 -44.0851648299854 -309.235328371495</f>
        <v>-1021.5159148101343</v>
      </c>
      <c r="F1456">
        <f>-668.109567002506 -45.2588446637492 -398.324459404193</f>
        <v>-1111.6928710704483</v>
      </c>
      <c r="G1456">
        <f>-664.506980621292 -44.7304226204697 -487.346859074741</f>
        <v>-1196.5842623165026</v>
      </c>
      <c r="H1456">
        <f>-655.753862981129 -42.2774252049958 -611.597328631308</f>
        <v>-1309.6286168174329</v>
      </c>
      <c r="I1456">
        <f>-621.516376891409 -34.8780231032922 -686.950355875915</f>
        <v>-1343.3447558706162</v>
      </c>
      <c r="J1456">
        <f>-666.063411771587 -16.410851699487 -556.843773915899</f>
        <v>-1239.3180373869729</v>
      </c>
      <c r="K1456" t="s">
        <v>15030</v>
      </c>
      <c r="L1456" t="s">
        <v>15031</v>
      </c>
      <c r="M1456" t="s">
        <v>15032</v>
      </c>
      <c r="N1456">
        <f>-653.147980346361 -70.3028535028743 -556.99782839044</f>
        <v>-1280.4486622396753</v>
      </c>
      <c r="O1456">
        <f>-624.069702201232 -201.464619813667 -527.876744356226</f>
        <v>-1353.4110663711249</v>
      </c>
      <c r="P1456">
        <f>-629.175649904668 -259.054766854527 -239.34850936068</f>
        <v>-1127.578926119875</v>
      </c>
      <c r="Q1456">
        <f>-480.47633073846 -70.2507125205186 -256.448504128425</f>
        <v>-807.17554738740364</v>
      </c>
      <c r="R1456" t="s">
        <v>15033</v>
      </c>
      <c r="S1456" t="s">
        <v>15034</v>
      </c>
      <c r="T1456" t="s">
        <v>15035</v>
      </c>
      <c r="U1456" t="s">
        <v>15036</v>
      </c>
      <c r="V1456">
        <f>-617.337752809387 -121.405028652223 -94.0579315205831</f>
        <v>-832.80071298219309</v>
      </c>
      <c r="W1456" t="s">
        <v>15037</v>
      </c>
      <c r="X1456" t="s">
        <v>15038</v>
      </c>
      <c r="Y1456" t="s">
        <v>15039</v>
      </c>
    </row>
    <row r="1457" spans="1:25" x14ac:dyDescent="0.3">
      <c r="A1457">
        <v>72800</v>
      </c>
      <c r="B1457" t="s">
        <v>15040</v>
      </c>
      <c r="C1457">
        <f>-652.207765231564 -33.4711002609472 -96.4145068939102</f>
        <v>-782.09337238642149</v>
      </c>
      <c r="D1457">
        <f>-666.7246541471 -43.23045715694 -210.914487730099</f>
        <v>-920.86959903413901</v>
      </c>
      <c r="E1457">
        <f>-670.094258781667 -46.6838603653339 -309.420277065656</f>
        <v>-1026.1983962126569</v>
      </c>
      <c r="F1457">
        <f>-670.008089478398 -48.1343354612345 -398.505105534702</f>
        <v>-1116.6475304743344</v>
      </c>
      <c r="G1457">
        <f>-666.418966694274 -47.8774418037312 -487.529203190174</f>
        <v>-1201.8256116881792</v>
      </c>
      <c r="H1457">
        <f>-657.700893346557 -45.7937983641982 -611.788980452129</f>
        <v>-1315.2836721628842</v>
      </c>
      <c r="I1457">
        <f>-623.078136236551 -38.2420656600752 -686.950625509277</f>
        <v>-1348.2708274059032</v>
      </c>
      <c r="J1457">
        <f>-668.406039014828 -19.8664713564615 -557.140135278254</f>
        <v>-1245.4126456495435</v>
      </c>
      <c r="K1457" t="s">
        <v>15041</v>
      </c>
      <c r="L1457" t="s">
        <v>15042</v>
      </c>
      <c r="M1457" t="s">
        <v>15043</v>
      </c>
      <c r="N1457">
        <f>-654.668530664102 -73.5549166253481 -557.076679960281</f>
        <v>-1285.3001272497313</v>
      </c>
      <c r="O1457">
        <f>-624.105908676506 -204.225567080463 -527.271703109319</f>
        <v>-1355.6031788662881</v>
      </c>
      <c r="P1457">
        <f>-629.693627085907 -259.816104041288 -238.36064371057</f>
        <v>-1127.870374837765</v>
      </c>
      <c r="Q1457">
        <f>-480.175725810323 -72.1192701478444 -259.927933432121</f>
        <v>-812.22292939028841</v>
      </c>
      <c r="R1457" t="s">
        <v>15044</v>
      </c>
      <c r="S1457" t="s">
        <v>15045</v>
      </c>
      <c r="T1457" t="s">
        <v>15046</v>
      </c>
      <c r="U1457" t="s">
        <v>15047</v>
      </c>
      <c r="V1457">
        <f>-618.864299752369 -123.023659763032 -94.0752221430396</f>
        <v>-835.96318165844059</v>
      </c>
      <c r="W1457" t="s">
        <v>15048</v>
      </c>
      <c r="X1457" t="s">
        <v>15049</v>
      </c>
      <c r="Y1457" t="s">
        <v>15050</v>
      </c>
    </row>
    <row r="1458" spans="1:25" x14ac:dyDescent="0.3">
      <c r="A1458">
        <v>72850</v>
      </c>
      <c r="B1458" t="s">
        <v>15051</v>
      </c>
      <c r="C1458">
        <f>-653.497309114363 -34.4618600978115 -96.4766662358549</f>
        <v>-784.43583544802937</v>
      </c>
      <c r="D1458">
        <f>-667.989221899337 -44.3391457944369 -210.969692560789</f>
        <v>-923.29806025456298</v>
      </c>
      <c r="E1458">
        <f>-671.256775844984 -47.8939846526305 -309.475227539661</f>
        <v>-1028.6259880372754</v>
      </c>
      <c r="F1458">
        <f>-671.046931410727 -49.43649039806 -398.558343237274</f>
        <v>-1119.0417650460608</v>
      </c>
      <c r="G1458">
        <f>-667.304361774781 -49.2687309695773 -487.576463156081</f>
        <v>-1204.1495559004393</v>
      </c>
      <c r="H1458">
        <f>-658.341711589694 -47.3047119863616 -611.820728901715</f>
        <v>-1317.4671524777705</v>
      </c>
      <c r="I1458">
        <f>-623.41906955691 -39.5992332231999 -686.827751600522</f>
        <v>-1349.8460543806318</v>
      </c>
      <c r="J1458">
        <f>-669.359537367738 -21.3782588566949 -557.233756546961</f>
        <v>-1247.9715527713938</v>
      </c>
      <c r="K1458" t="s">
        <v>15052</v>
      </c>
      <c r="L1458" t="s">
        <v>15053</v>
      </c>
      <c r="M1458" t="s">
        <v>15054</v>
      </c>
      <c r="N1458">
        <f>-655.21170957677 -74.959780055852 -557.060058473628</f>
        <v>-1287.2315481062501</v>
      </c>
      <c r="O1458">
        <f>-623.859000730851 -205.359530688784 -526.89465733554</f>
        <v>-1356.1131887551751</v>
      </c>
      <c r="P1458">
        <f>-629.670914045777 -259.748328241041 -237.759272629845</f>
        <v>-1127.1785149166631</v>
      </c>
      <c r="Q1458">
        <f>-479.550893852731 -72.8096242591273 -261.608750318854</f>
        <v>-813.96926843071219</v>
      </c>
      <c r="R1458" t="s">
        <v>15055</v>
      </c>
      <c r="S1458" t="s">
        <v>15056</v>
      </c>
      <c r="T1458" t="s">
        <v>15057</v>
      </c>
      <c r="U1458" t="s">
        <v>15058</v>
      </c>
      <c r="V1458">
        <f>-619.942449163723 -123.987653740919 -94.0620939952437</f>
        <v>-837.9921968998857</v>
      </c>
      <c r="W1458" t="s">
        <v>15059</v>
      </c>
      <c r="X1458" t="s">
        <v>15060</v>
      </c>
      <c r="Y1458" t="s">
        <v>15061</v>
      </c>
    </row>
    <row r="1459" spans="1:25" x14ac:dyDescent="0.3">
      <c r="A1459">
        <v>72900</v>
      </c>
      <c r="B1459" t="s">
        <v>15062</v>
      </c>
      <c r="C1459">
        <f>-656.273580531745 -36.4334551264851 -96.6253711308957</f>
        <v>-789.3324067891258</v>
      </c>
      <c r="D1459">
        <f>-670.620980132243 -46.5573769892499 -211.115104729747</f>
        <v>-928.29346185123984</v>
      </c>
      <c r="E1459">
        <f>-673.709410856116 -50.3344886549191 -309.618051475969</f>
        <v>-1033.6619509870043</v>
      </c>
      <c r="F1459">
        <f>-673.315026965989 -52.0863828009005 -398.696761292364</f>
        <v>-1124.0981710592534</v>
      </c>
      <c r="G1459">
        <f>-669.36758171002 -52.1310373822089 -487.706102636638</f>
        <v>-1209.2047217288668</v>
      </c>
      <c r="H1459">
        <f>-660.098544026521 -50.4660783889185 -611.93226972291</f>
        <v>-1322.4968921383495</v>
      </c>
      <c r="I1459">
        <f>-624.538916445356 -42.4483351959477 -686.606539660199</f>
        <v>-1353.5937913015027</v>
      </c>
      <c r="J1459">
        <f>-671.589373290658 -24.5000178090859 -557.461692010466</f>
        <v>-1253.5510831102099</v>
      </c>
      <c r="K1459" t="s">
        <v>15063</v>
      </c>
      <c r="L1459" t="s">
        <v>15064</v>
      </c>
      <c r="M1459" t="s">
        <v>15065</v>
      </c>
      <c r="N1459">
        <f>-656.765570210253 -77.897319126525 -557.071138179943</f>
        <v>-1291.734027516721</v>
      </c>
      <c r="O1459">
        <f>-624.090360712292 -207.824994417821 -526.303694636225</f>
        <v>-1358.219049766338</v>
      </c>
      <c r="P1459">
        <f>-629.815438980967 -259.030932030024 -236.586089828395</f>
        <v>-1125.4324608393861</v>
      </c>
      <c r="Q1459">
        <f>-478.204759192459 -73.8573838130346 -264.439520866487</f>
        <v>-816.50166387198055</v>
      </c>
      <c r="R1459" t="s">
        <v>15066</v>
      </c>
      <c r="S1459" t="s">
        <v>15067</v>
      </c>
      <c r="T1459" t="s">
        <v>15068</v>
      </c>
      <c r="U1459" t="s">
        <v>15069</v>
      </c>
      <c r="V1459">
        <f>-622.128654895465 -125.890730513804 -94.1084040575097</f>
        <v>-842.12778946677872</v>
      </c>
      <c r="W1459" t="s">
        <v>15070</v>
      </c>
      <c r="X1459" t="s">
        <v>15071</v>
      </c>
      <c r="Y1459" t="s">
        <v>15072</v>
      </c>
    </row>
    <row r="1460" spans="1:25" x14ac:dyDescent="0.3">
      <c r="A1460">
        <v>72950</v>
      </c>
      <c r="B1460" t="s">
        <v>15073</v>
      </c>
      <c r="C1460">
        <f>-657.500272105251 -37.3225075799594 -96.6912932313331</f>
        <v>-791.51407291654357</v>
      </c>
      <c r="D1460">
        <f>-671.75486346567 -47.5784795167888 -211.1808017842</f>
        <v>-930.51414476665877</v>
      </c>
      <c r="E1460">
        <f>-674.761901001625 -51.4957474024447 -309.680849645599</f>
        <v>-1035.9384980496689</v>
      </c>
      <c r="F1460">
        <f>-674.292395659928 -53.3880171094265 -398.756313891397</f>
        <v>-1126.4367266607514</v>
      </c>
      <c r="G1460">
        <f>-670.269312767348 -53.5849964906533 -487.762135994569</f>
        <v>-1211.6164452525704</v>
      </c>
      <c r="H1460">
        <f>-660.89409713556 -52.1458312889704 -611.983080004477</f>
        <v>-1325.0230084290074</v>
      </c>
      <c r="I1460">
        <f>-624.997768744256 -44.0144527508828 -686.483730207665</f>
        <v>-1355.4959517028037</v>
      </c>
      <c r="J1460">
        <f>-672.549473983779 -26.1141613241718 -557.578974971185</f>
        <v>-1256.2426102791358</v>
      </c>
      <c r="K1460" t="s">
        <v>15074</v>
      </c>
      <c r="L1460" t="s">
        <v>15075</v>
      </c>
      <c r="M1460" t="s">
        <v>15076</v>
      </c>
      <c r="N1460">
        <f>-657.489915281729 -79.4441837755419 -557.060236742605</f>
        <v>-1293.9943357998759</v>
      </c>
      <c r="O1460">
        <f>-624.313921189623 -209.191761419066 -526.040758276925</f>
        <v>-1359.5464408856139</v>
      </c>
      <c r="P1460">
        <f>-629.890293573894 -259.056336630462 -236.086187629856</f>
        <v>-1125.032817834212</v>
      </c>
      <c r="Q1460">
        <f>-477.483091487963 -74.7696958406893 -265.435554635625</f>
        <v>-817.68834196427724</v>
      </c>
      <c r="R1460" t="s">
        <v>15077</v>
      </c>
      <c r="S1460" t="s">
        <v>15078</v>
      </c>
      <c r="T1460" t="s">
        <v>15079</v>
      </c>
      <c r="U1460" t="s">
        <v>15080</v>
      </c>
      <c r="V1460">
        <f>-623.110146909281 -126.474610270693 -94.142632234883</f>
        <v>-843.72738941485693</v>
      </c>
      <c r="W1460" t="s">
        <v>15081</v>
      </c>
      <c r="X1460" t="s">
        <v>15082</v>
      </c>
      <c r="Y1460" t="s">
        <v>15083</v>
      </c>
    </row>
    <row r="1461" spans="1:25" x14ac:dyDescent="0.3">
      <c r="A1461">
        <v>73000</v>
      </c>
      <c r="B1461" t="s">
        <v>15084</v>
      </c>
      <c r="C1461">
        <f>-659.534935487703 -38.878794526715 -96.7524030037665</f>
        <v>-795.1661330181845</v>
      </c>
      <c r="D1461">
        <f>-673.636545674374 -49.3527470775389 -211.241202623417</f>
        <v>-934.23049537532984</v>
      </c>
      <c r="E1461">
        <f>-676.47673146629 -53.5480139818901 -309.734673795664</f>
        <v>-1039.7594192438441</v>
      </c>
      <c r="F1461">
        <f>-675.841800364262 -55.7327128741422 -398.802426165743</f>
        <v>-1130.3769394041472</v>
      </c>
      <c r="G1461">
        <f>-671.639446159084 -56.262976944465 -487.798556644213</f>
        <v>-1215.7009797477619</v>
      </c>
      <c r="H1461">
        <f>-661.99954172967 -55.3335386827687 -612.00408786173</f>
        <v>-1329.3371682741686</v>
      </c>
      <c r="I1461">
        <f>-625.392318113357 -47.0486473915241 -686.141124571564</f>
        <v>-1358.5820900764452</v>
      </c>
      <c r="J1461">
        <f>-673.855828996988 -29.1030644109844 -557.739057191799</f>
        <v>-1260.6979505997715</v>
      </c>
      <c r="K1461" t="s">
        <v>15085</v>
      </c>
      <c r="L1461" t="s">
        <v>15086</v>
      </c>
      <c r="M1461" t="s">
        <v>15087</v>
      </c>
      <c r="N1461">
        <f>-658.627340969585 -82.3820445700751 -556.955859111355</f>
        <v>-1297.9652446510152</v>
      </c>
      <c r="O1461">
        <f>-625.070315089178 -211.908082651706 -525.369488815856</f>
        <v>-1362.3478865567399</v>
      </c>
      <c r="P1461">
        <f>-630.033493419287 -260.336702138998 -235.160570668908</f>
        <v>-1125.530766227193</v>
      </c>
      <c r="Q1461">
        <f>-477.10709209796 -76.8224098338621 -266.575552812586</f>
        <v>-820.50505474440808</v>
      </c>
      <c r="R1461" t="s">
        <v>15088</v>
      </c>
      <c r="S1461" t="s">
        <v>15089</v>
      </c>
      <c r="T1461" t="s">
        <v>15090</v>
      </c>
      <c r="U1461" t="s">
        <v>15091</v>
      </c>
      <c r="V1461">
        <f>-625.034368492961 -127.840155903734 -94.0519558534285</f>
        <v>-846.92648025012352</v>
      </c>
      <c r="W1461" t="s">
        <v>15092</v>
      </c>
      <c r="X1461" t="s">
        <v>15093</v>
      </c>
      <c r="Y1461" t="s">
        <v>15094</v>
      </c>
    </row>
    <row r="1462" spans="1:25" x14ac:dyDescent="0.3">
      <c r="A1462">
        <v>73050</v>
      </c>
      <c r="B1462" t="s">
        <v>15095</v>
      </c>
      <c r="C1462">
        <f>-660.134649631872 -39.9908064644476 -96.7409551870959</f>
        <v>-796.86641128341546</v>
      </c>
      <c r="D1462">
        <f>-674.205663586718 -50.5243641594514 -211.228024829106</f>
        <v>-935.95805257527536</v>
      </c>
      <c r="E1462">
        <f>-677.023447003025 -54.8231552472168 -309.717796643605</f>
        <v>-1041.5643988938468</v>
      </c>
      <c r="F1462">
        <f>-676.370721053273 -57.1214897011735 -398.782541446862</f>
        <v>-1132.2747522013085</v>
      </c>
      <c r="G1462">
        <f>-672.153720908346 -57.7851163823955 -487.777027645599</f>
        <v>-1217.7158649363405</v>
      </c>
      <c r="H1462">
        <f>-662.496921654928 -57.0619721237074 -611.982633821215</f>
        <v>-1331.5415275998503</v>
      </c>
      <c r="I1462">
        <f>-625.549982508126 -48.6991113048416 -685.942230928471</f>
        <v>-1360.1913247414386</v>
      </c>
      <c r="J1462">
        <f>-674.359378850687 -30.7410706317021 -557.762725035776</f>
        <v>-1262.8631745181651</v>
      </c>
      <c r="K1462" t="s">
        <v>15096</v>
      </c>
      <c r="L1462" t="s">
        <v>15097</v>
      </c>
      <c r="M1462" t="s">
        <v>15098</v>
      </c>
      <c r="N1462">
        <f>-659.133411193136 -84.0193608343022 -556.889163854261</f>
        <v>-1300.0419358816994</v>
      </c>
      <c r="O1462">
        <f>-625.604012639105 -213.488719533329 -525.033802404804</f>
        <v>-1364.1265345772381</v>
      </c>
      <c r="P1462">
        <f>-630.388447685274 -261.368592005677 -234.730775457917</f>
        <v>-1126.4878151488679</v>
      </c>
      <c r="Q1462">
        <f>-477.438686294491 -78.0053805988648 -266.905540436366</f>
        <v>-822.34960732972172</v>
      </c>
      <c r="R1462" t="s">
        <v>15099</v>
      </c>
      <c r="S1462" t="s">
        <v>15100</v>
      </c>
      <c r="T1462" t="s">
        <v>15101</v>
      </c>
      <c r="U1462" t="s">
        <v>15102</v>
      </c>
      <c r="V1462">
        <f>-625.768412124841 -129.126544433492 -93.9998513032515</f>
        <v>-848.89480786158447</v>
      </c>
      <c r="W1462" t="s">
        <v>15103</v>
      </c>
      <c r="X1462" t="s">
        <v>15104</v>
      </c>
      <c r="Y1462" t="s">
        <v>15105</v>
      </c>
    </row>
    <row r="1463" spans="1:25" x14ac:dyDescent="0.3">
      <c r="A1463">
        <v>73100</v>
      </c>
      <c r="B1463" t="s">
        <v>15106</v>
      </c>
      <c r="C1463">
        <f>-660.943042032896 -41.9740012672648 -96.6594676351569</f>
        <v>-799.57651093531774</v>
      </c>
      <c r="D1463">
        <f>-675.168266179761 -52.7225678679447 -211.107370648255</f>
        <v>-938.99820469596068</v>
      </c>
      <c r="E1463">
        <f>-678.124560602835 -57.2527543187912 -309.582866057403</f>
        <v>-1044.9601809790292</v>
      </c>
      <c r="F1463">
        <f>-677.602021503257 -59.7749812391578 -398.642361165369</f>
        <v>-1136.0193639077838</v>
      </c>
      <c r="G1463">
        <f>-673.52016094727 -60.6768696431327 -487.640970496463</f>
        <v>-1221.8380010868657</v>
      </c>
      <c r="H1463">
        <f>-664.058368739167 -60.3002167025825 -611.863193307236</f>
        <v>-1336.2217787489853</v>
      </c>
      <c r="I1463">
        <f>-626.424170136477 -51.7311848612167 -685.451694757982</f>
        <v>-1363.6070497556757</v>
      </c>
      <c r="J1463">
        <f>-675.777418416995 -33.8115264703599 -557.693811042325</f>
        <v>-1267.28275592968</v>
      </c>
      <c r="K1463" t="s">
        <v>15107</v>
      </c>
      <c r="L1463" t="s">
        <v>15108</v>
      </c>
      <c r="M1463" t="s">
        <v>15109</v>
      </c>
      <c r="N1463">
        <f>-660.666568060814 -87.120550349606 -556.704414426526</f>
        <v>-1304.4915328369461</v>
      </c>
      <c r="O1463">
        <f>-627.489978547718 -216.588025290543 -524.499428761243</f>
        <v>-1368.5774325995039</v>
      </c>
      <c r="P1463">
        <f>-632.386752930215 -263.665426770318 -234.067037451406</f>
        <v>-1130.1192171519392</v>
      </c>
      <c r="Q1463">
        <f>-480.043302323409 -79.9402715714755 -267.042934430613</f>
        <v>-827.02650832549762</v>
      </c>
      <c r="R1463" t="s">
        <v>15110</v>
      </c>
      <c r="S1463" t="s">
        <v>15111</v>
      </c>
      <c r="T1463" t="s">
        <v>15112</v>
      </c>
      <c r="U1463" t="s">
        <v>15113</v>
      </c>
      <c r="V1463">
        <f>-627.014395197054 -130.875660136561 -93.8083547229597</f>
        <v>-851.69841005657474</v>
      </c>
      <c r="W1463" t="s">
        <v>15114</v>
      </c>
      <c r="X1463" t="s">
        <v>15115</v>
      </c>
      <c r="Y1463" t="s">
        <v>15116</v>
      </c>
    </row>
    <row r="1464" spans="1:25" x14ac:dyDescent="0.3">
      <c r="A1464">
        <v>73150</v>
      </c>
      <c r="B1464" t="s">
        <v>15117</v>
      </c>
      <c r="C1464">
        <f>-661.137683332523 -42.8771162688313 -96.6056333085224</f>
        <v>-800.62043290987674</v>
      </c>
      <c r="D1464">
        <f>-675.50303635471 -53.7694296480804 -211.022466090228</f>
        <v>-940.29493209301847</v>
      </c>
      <c r="E1464">
        <f>-678.570697069929 -58.4583514005612 -309.487018295886</f>
        <v>-1046.5160667663763</v>
      </c>
      <c r="F1464">
        <f>-678.146189270222 -61.1363081377563 -398.542585129995</f>
        <v>-1137.8250825379732</v>
      </c>
      <c r="G1464">
        <f>-674.160047010122 -62.2066097964621 -487.543635161204</f>
        <v>-1223.910291967788</v>
      </c>
      <c r="H1464">
        <f>-664.829311301009 -62.078008424008 -611.776238206158</f>
        <v>-1338.6835579311751</v>
      </c>
      <c r="I1464">
        <f>-626.83740643154 -53.4912386644539 -685.178638714593</f>
        <v>-1365.5072838105871</v>
      </c>
      <c r="J1464">
        <f>-676.446594540619 -35.4684012781656 -557.644153413658</f>
        <v>-1269.5591492324427</v>
      </c>
      <c r="K1464" t="s">
        <v>15118</v>
      </c>
      <c r="L1464" t="s">
        <v>15119</v>
      </c>
      <c r="M1464" t="s">
        <v>15120</v>
      </c>
      <c r="N1464">
        <f>-661.424020123973 -88.8007074389029 -556.571075186678</f>
        <v>-1306.7958027495538</v>
      </c>
      <c r="O1464">
        <f>-628.48080755205 -218.262233227311 -524.188370354586</f>
        <v>-1370.931411133947</v>
      </c>
      <c r="P1464">
        <f>-633.492696993379 -265.25237245337 -233.743823685984</f>
        <v>-1132.4888931327332</v>
      </c>
      <c r="Q1464">
        <f>-481.496305307157 -81.2509360643044 -266.781293474581</f>
        <v>-829.52853484604248</v>
      </c>
      <c r="R1464" t="s">
        <v>15121</v>
      </c>
      <c r="S1464" t="s">
        <v>15122</v>
      </c>
      <c r="T1464" t="s">
        <v>15123</v>
      </c>
      <c r="U1464" t="s">
        <v>15124</v>
      </c>
      <c r="V1464">
        <f>-627.320473563835 -131.6945950703 -93.6988607295867</f>
        <v>-852.71392936372172</v>
      </c>
      <c r="W1464" t="s">
        <v>15125</v>
      </c>
      <c r="X1464" t="s">
        <v>15126</v>
      </c>
      <c r="Y1464" t="s">
        <v>15127</v>
      </c>
    </row>
    <row r="1465" spans="1:25" x14ac:dyDescent="0.3">
      <c r="A1465">
        <v>73200</v>
      </c>
      <c r="B1465" t="s">
        <v>15128</v>
      </c>
      <c r="C1465">
        <f>-660.664226558247 -44.3409637970012 -96.5731235675094</f>
        <v>-801.57831392275762</v>
      </c>
      <c r="D1465">
        <f>-675.24701150798 -55.3113398563726 -210.954917194054</f>
        <v>-941.51326855840659</v>
      </c>
      <c r="E1465">
        <f>-678.468185498391 -60.3531491548101 -309.397182182753</f>
        <v>-1048.2185168359542</v>
      </c>
      <c r="F1465">
        <f>-678.174448381929 -63.4607774798524 -398.439278688435</f>
        <v>-1140.0745045502163</v>
      </c>
      <c r="G1465">
        <f>-674.312546598155 -65.0720488070965 -487.43780946858</f>
        <v>-1226.8224048738316</v>
      </c>
      <c r="H1465">
        <f>-665.15110129611 -65.8156794858219 -611.680835774868</f>
        <v>-1342.6476165567999</v>
      </c>
      <c r="I1465">
        <f>-626.511392451634 -57.4362871248968 -684.768476868174</f>
        <v>-1368.7161564447049</v>
      </c>
      <c r="J1465">
        <f>-676.560615641733 -38.7889141807966 -557.711345910679</f>
        <v>-1273.0608757332086</v>
      </c>
      <c r="K1465" t="s">
        <v>15129</v>
      </c>
      <c r="L1465" t="s">
        <v>15130</v>
      </c>
      <c r="M1465" t="s">
        <v>15131</v>
      </c>
      <c r="N1465">
        <f>-661.804619201816 -92.1878253132493 -556.303791105004</f>
        <v>-1310.2962356200692</v>
      </c>
      <c r="O1465">
        <f>-629.454044255516 -221.678241727116 -523.413513929484</f>
        <v>-1374.5457999121159</v>
      </c>
      <c r="P1465">
        <f>-634.282850765633 -268.296937205657 -232.905992089915</f>
        <v>-1135.4857800612049</v>
      </c>
      <c r="Q1465">
        <f>-483.008422874897 -83.9451227836989 -267.276034712558</f>
        <v>-834.22958037115382</v>
      </c>
      <c r="R1465" t="s">
        <v>15132</v>
      </c>
      <c r="S1465" t="s">
        <v>15133</v>
      </c>
      <c r="T1465" t="s">
        <v>15134</v>
      </c>
      <c r="U1465" t="s">
        <v>15135</v>
      </c>
      <c r="V1465">
        <f>-627.148241761565 -133.049474500368 -93.5860321656426</f>
        <v>-853.78374842757557</v>
      </c>
      <c r="W1465" t="s">
        <v>15136</v>
      </c>
      <c r="X1465" t="s">
        <v>15137</v>
      </c>
      <c r="Y1465" t="s">
        <v>15138</v>
      </c>
    </row>
    <row r="1466" spans="1:25" x14ac:dyDescent="0.3">
      <c r="A1466">
        <v>73250</v>
      </c>
      <c r="B1466" t="s">
        <v>15139</v>
      </c>
      <c r="C1466">
        <f>-660.015779573055 -44.9476075718571 -96.6215365445789</f>
        <v>-801.58492368949112</v>
      </c>
      <c r="D1466">
        <f>-674.682671517217 -55.9316600137533 -210.991382531236</f>
        <v>-941.6057140622064</v>
      </c>
      <c r="E1466">
        <f>-677.976470239004 -61.1794779907225 -309.420338190855</f>
        <v>-1048.5762864205815</v>
      </c>
      <c r="F1466">
        <f>-677.751962919804 -64.549165554299 -398.453129466855</f>
        <v>-1140.7542579409578</v>
      </c>
      <c r="G1466">
        <f>-673.963796545878 -66.4990321606178 -487.448026579422</f>
        <v>-1227.9108552859179</v>
      </c>
      <c r="H1466">
        <f>-664.911514515168 -67.7952557131493 -611.694519235954</f>
        <v>-1344.4012894642715</v>
      </c>
      <c r="I1466">
        <f>-626.013640256528 -59.6008075655072 -684.665951387563</f>
        <v>-1370.2803992095983</v>
      </c>
      <c r="J1466">
        <f>-676.182034673444 -40.5034549069862 -557.829458317833</f>
        <v>-1274.5149478982632</v>
      </c>
      <c r="K1466" t="s">
        <v>15140</v>
      </c>
      <c r="L1466" t="s">
        <v>15141</v>
      </c>
      <c r="M1466" t="s">
        <v>15142</v>
      </c>
      <c r="N1466">
        <f>-661.607751050992 -93.9463078884164 -556.209950038194</f>
        <v>-1311.7640089776023</v>
      </c>
      <c r="O1466">
        <f>-629.598420241416 -223.436810441548 -522.985799489762</f>
        <v>-1376.0210301727261</v>
      </c>
      <c r="P1466">
        <f>-633.872298112849 -269.368623598355 -232.360243923331</f>
        <v>-1135.6011656345349</v>
      </c>
      <c r="Q1466">
        <f>-482.8208857588 -85.0860743419626 -268.057342612317</f>
        <v>-835.96430271307963</v>
      </c>
      <c r="R1466" t="s">
        <v>15143</v>
      </c>
      <c r="S1466" t="s">
        <v>15144</v>
      </c>
      <c r="T1466" t="s">
        <v>15145</v>
      </c>
      <c r="U1466" t="s">
        <v>15146</v>
      </c>
      <c r="V1466">
        <f>-626.771349679628 -133.662864150605 -93.5872209529994</f>
        <v>-854.02143478323228</v>
      </c>
      <c r="W1466" t="s">
        <v>15147</v>
      </c>
      <c r="X1466" t="s">
        <v>15148</v>
      </c>
      <c r="Y1466" t="s">
        <v>15149</v>
      </c>
    </row>
    <row r="1467" spans="1:25" x14ac:dyDescent="0.3">
      <c r="A1467">
        <v>73300</v>
      </c>
      <c r="B1467" t="s">
        <v>15150</v>
      </c>
      <c r="C1467">
        <f>-658.375251568506 -45.6072770674677 -96.6916525167769</f>
        <v>-800.67418115275063</v>
      </c>
      <c r="D1467">
        <f>-673.214922357595 -56.4506221682752 -211.052603829188</f>
        <v>-940.71814835505825</v>
      </c>
      <c r="E1467">
        <f>-676.674462611471 -62.0517403695164 -309.456513469824</f>
        <v>-1048.1827164508113</v>
      </c>
      <c r="F1467">
        <f>-676.614934370848 -65.9243040024412 -398.469064392391</f>
        <v>-1141.0083027656801</v>
      </c>
      <c r="G1467">
        <f>-673.009481126639 -68.5620974914132 -487.453734444827</f>
        <v>-1229.0253130628791</v>
      </c>
      <c r="H1467">
        <f>-664.234175119363 -71.0130869806601 -611.70267827016</f>
        <v>-1346.9499403701832</v>
      </c>
      <c r="I1467">
        <f>-624.874662842328 -63.2609096990902 -684.47479094976</f>
        <v>-1372.6103634911783</v>
      </c>
      <c r="J1467">
        <f>-675.165091839186 -43.1621556696909 -558.054347061372</f>
        <v>-1276.381594570249</v>
      </c>
      <c r="K1467" t="s">
        <v>15151</v>
      </c>
      <c r="L1467" t="s">
        <v>15152</v>
      </c>
      <c r="M1467" t="s">
        <v>15153</v>
      </c>
      <c r="N1467">
        <f>-661.026347576043 -96.7068033462413 -555.999397541049</f>
        <v>-1313.7325484633334</v>
      </c>
      <c r="O1467">
        <f>-629.991666005175 -226.240643610832 -521.983830988566</f>
        <v>-1378.216140604573</v>
      </c>
      <c r="P1467">
        <f>-632.387351852592 -269.971792425619 -230.997455226339</f>
        <v>-1133.3565995045501</v>
      </c>
      <c r="Q1467">
        <f>-481.186699226982 -86.525301200377 -270.197198647376</f>
        <v>-837.90919907473506</v>
      </c>
      <c r="R1467" t="s">
        <v>15154</v>
      </c>
      <c r="S1467" t="s">
        <v>15155</v>
      </c>
      <c r="T1467" t="s">
        <v>15156</v>
      </c>
      <c r="U1467" t="s">
        <v>15157</v>
      </c>
      <c r="V1467">
        <f>-625.623560564834 -134.618220146508 -93.6333897713528</f>
        <v>-853.87517048269478</v>
      </c>
      <c r="W1467" t="s">
        <v>15158</v>
      </c>
      <c r="X1467" t="s">
        <v>15159</v>
      </c>
      <c r="Y1467" t="s">
        <v>15160</v>
      </c>
    </row>
    <row r="1468" spans="1:25" x14ac:dyDescent="0.3">
      <c r="A1468">
        <v>73350</v>
      </c>
      <c r="B1468" t="s">
        <v>15161</v>
      </c>
      <c r="C1468">
        <f>-656.503503207975 -45.4069688221678 -96.8662887214595</f>
        <v>-798.77676075160218</v>
      </c>
      <c r="D1468">
        <f>-671.51877533182 -56.2134744877128 -211.207830405302</f>
        <v>-938.9400802248349</v>
      </c>
      <c r="E1468">
        <f>-675.10728146646 -62.1018544198337 -309.590324291696</f>
        <v>-1046.7994601779897</v>
      </c>
      <c r="F1468">
        <f>-675.162049566826 -66.3542131278261 -398.585577802625</f>
        <v>-1140.1018404972772</v>
      </c>
      <c r="G1468">
        <f>-671.67101868255 -69.4923458159285 -487.558555973074</f>
        <v>-1228.7219204715525</v>
      </c>
      <c r="H1468">
        <f>-663.057487710182 -72.766601651361 -611.799832040953</f>
        <v>-1347.6239214024961</v>
      </c>
      <c r="I1468">
        <f>-623.281956508132 -65.3672014279639 -684.382135170242</f>
        <v>-1373.0312931063379</v>
      </c>
      <c r="J1468">
        <f>-673.749851409472 -44.5162859361237 -558.31241609559</f>
        <v>-1276.5785534411857</v>
      </c>
      <c r="K1468" t="s">
        <v>15162</v>
      </c>
      <c r="L1468" t="s">
        <v>15163</v>
      </c>
      <c r="M1468" t="s">
        <v>15164</v>
      </c>
      <c r="N1468">
        <f>-659.945762520247 -98.1353521735261 -555.942290884016</f>
        <v>-1314.0234055777892</v>
      </c>
      <c r="O1468">
        <f>-629.807316903216 -227.684004498645 -521.11944003305</f>
        <v>-1378.610761434911</v>
      </c>
      <c r="P1468">
        <f>-630.446599988406 -269.125647874439 -229.789095343096</f>
        <v>-1129.361343205941</v>
      </c>
      <c r="Q1468">
        <f>-478.507623405657 -87.0231434743466 -272.264224784829</f>
        <v>-837.79499166483265</v>
      </c>
      <c r="R1468" t="s">
        <v>15165</v>
      </c>
      <c r="S1468" t="s">
        <v>15166</v>
      </c>
      <c r="T1468" t="s">
        <v>15167</v>
      </c>
      <c r="U1468" t="s">
        <v>15168</v>
      </c>
      <c r="V1468">
        <f>-624.247599960697 -134.735883590848 -93.7668116189676</f>
        <v>-852.75029517051269</v>
      </c>
      <c r="W1468" t="s">
        <v>15169</v>
      </c>
      <c r="X1468" t="s">
        <v>15170</v>
      </c>
      <c r="Y1468" t="s">
        <v>15171</v>
      </c>
    </row>
    <row r="1469" spans="1:25" x14ac:dyDescent="0.3">
      <c r="A1469">
        <v>73400</v>
      </c>
      <c r="B1469" t="s">
        <v>15172</v>
      </c>
      <c r="C1469">
        <f>-655.867700246514 -44.9677730284243 -96.985181437169</f>
        <v>-797.82065471210728</v>
      </c>
      <c r="D1469">
        <f>-670.987731097251 -55.7805347993035 -211.312341195762</f>
        <v>-938.08060709231643</v>
      </c>
      <c r="E1469">
        <f>-674.637983464848 -61.7919199693656 -309.685031802355</f>
        <v>-1046.1149352365687</v>
      </c>
      <c r="F1469">
        <f>-674.739668191081 -66.2007440631851 -398.672627003861</f>
        <v>-1139.6130392581272</v>
      </c>
      <c r="G1469">
        <f>-671.287087386467 -69.5407968587583 -487.639821042443</f>
        <v>-1228.4677052876682</v>
      </c>
      <c r="H1469">
        <f>-662.719636654298 -73.1443364618981 -611.875236025031</f>
        <v>-1347.7392091412271</v>
      </c>
      <c r="I1469">
        <f>-622.686053711587 -65.9425901996904 -684.335395634285</f>
        <v>-1372.9640395455622</v>
      </c>
      <c r="J1469">
        <f>-673.345581310387 -44.7401025305717 -558.456088618917</f>
        <v>-1276.5417724598756</v>
      </c>
      <c r="K1469" t="s">
        <v>15173</v>
      </c>
      <c r="L1469" t="s">
        <v>15174</v>
      </c>
      <c r="M1469" t="s">
        <v>15175</v>
      </c>
      <c r="N1469">
        <f>-659.634056669338 -98.3770106472946 -555.954736293418</f>
        <v>-1313.9658036100504</v>
      </c>
      <c r="O1469">
        <f>-629.763038688201 -227.911424128774 -520.95122393105</f>
        <v>-1378.6256867480251</v>
      </c>
      <c r="P1469">
        <f>-629.87520496744 -268.545793543834 -229.50652326163</f>
        <v>-1127.9275217729041</v>
      </c>
      <c r="Q1469">
        <f>-477.507603087392 -86.9913529688113 -272.784514527039</f>
        <v>-837.28347058324221</v>
      </c>
      <c r="R1469" t="s">
        <v>15176</v>
      </c>
      <c r="S1469" t="s">
        <v>15177</v>
      </c>
      <c r="T1469" t="s">
        <v>15178</v>
      </c>
      <c r="U1469" t="s">
        <v>15179</v>
      </c>
      <c r="V1469">
        <f>-623.662085709578 -134.37520784968 -93.8282705647661</f>
        <v>-851.8655641240241</v>
      </c>
      <c r="W1469" t="s">
        <v>15180</v>
      </c>
      <c r="X1469" t="s">
        <v>15181</v>
      </c>
      <c r="Y1469" t="s">
        <v>15182</v>
      </c>
    </row>
    <row r="1470" spans="1:25" x14ac:dyDescent="0.3">
      <c r="A1470">
        <v>73450</v>
      </c>
      <c r="B1470" t="s">
        <v>15183</v>
      </c>
      <c r="C1470">
        <f>-655.223631419769 -44.6566377150227 -97.1113166894145</f>
        <v>-796.99158582420625</v>
      </c>
      <c r="D1470">
        <f>-670.404513966095 -55.482908865866 -211.429178200208</f>
        <v>-937.31660103216905</v>
      </c>
      <c r="E1470">
        <f>-674.10520477503 -61.6319164743381 -309.791370724205</f>
        <v>-1045.5284919735732</v>
      </c>
      <c r="F1470">
        <f>-674.252976380036 -66.2160348439124 -398.770143868003</f>
        <v>-1139.2391550919515</v>
      </c>
      <c r="G1470">
        <f>-670.847670432628 -69.7837176575797 -487.730251235983</f>
        <v>-1228.3616393261907</v>
      </c>
      <c r="H1470">
        <f>-662.34774470968 -73.7612461192191 -611.958941899237</f>
        <v>-1348.0679327281359</v>
      </c>
      <c r="I1470">
        <f>-622.015496437985 -66.8330473124975 -684.279907762653</f>
        <v>-1373.1284515131356</v>
      </c>
      <c r="J1470">
        <f>-672.879115122941 -45.1796265455737 -558.615728794462</f>
        <v>-1276.6744704629768</v>
      </c>
      <c r="K1470" t="s">
        <v>15184</v>
      </c>
      <c r="L1470" t="s">
        <v>15185</v>
      </c>
      <c r="M1470" t="s">
        <v>15186</v>
      </c>
      <c r="N1470">
        <f>-659.2971795984 -98.8422711351861 -555.968345143563</f>
        <v>-1314.1077958771493</v>
      </c>
      <c r="O1470">
        <f>-629.769681657744 -228.424060597914 -520.855882758375</f>
        <v>-1379.0496250140329</v>
      </c>
      <c r="P1470">
        <f>-629.432740939085 -268.370271429628 -229.316117340593</f>
        <v>-1127.119129709306</v>
      </c>
      <c r="Q1470">
        <f>-476.755904448376 -87.1578853269798 -272.93634952861</f>
        <v>-836.85013930396576</v>
      </c>
      <c r="R1470" t="s">
        <v>15187</v>
      </c>
      <c r="S1470" t="s">
        <v>15188</v>
      </c>
      <c r="T1470" t="s">
        <v>15189</v>
      </c>
      <c r="U1470" t="s">
        <v>15190</v>
      </c>
      <c r="V1470">
        <f>-622.938445302809 -134.239788421938 -93.9041463503889</f>
        <v>-851.08238007513592</v>
      </c>
      <c r="W1470" t="s">
        <v>15191</v>
      </c>
      <c r="X1470" t="s">
        <v>15192</v>
      </c>
      <c r="Y1470" t="s">
        <v>15193</v>
      </c>
    </row>
    <row r="1471" spans="1:25" x14ac:dyDescent="0.3">
      <c r="A1471">
        <v>73500</v>
      </c>
      <c r="B1471" t="s">
        <v>15194</v>
      </c>
      <c r="C1471">
        <f>-653.763401824177 -43.8805617805574 -97.3150137366134</f>
        <v>-794.9589773413478</v>
      </c>
      <c r="D1471">
        <f>-668.840416288348 -54.7696431982056 -211.640530561257</f>
        <v>-935.25059004781065</v>
      </c>
      <c r="E1471">
        <f>-672.50756020286 -61.1935442031422 -309.986554781705</f>
        <v>-1043.6876591877071</v>
      </c>
      <c r="F1471">
        <f>-672.649133995575 -66.1171311913245 -398.947116278183</f>
        <v>-1137.7133814650824</v>
      </c>
      <c r="G1471">
        <f>-669.262397932188 -70.1195023695309 -487.889487464781</f>
        <v>-1227.2713877664999</v>
      </c>
      <c r="H1471">
        <f>-660.815091872401 -74.8069284876408 -612.097054399729</f>
        <v>-1347.7190747597708</v>
      </c>
      <c r="I1471">
        <f>-619.969931511212 -68.5093802879223 -684.187547640281</f>
        <v>-1372.6668594394155</v>
      </c>
      <c r="J1471">
        <f>-671.13287186083 -45.8726575967969 -558.902480228262</f>
        <v>-1275.9080096858888</v>
      </c>
      <c r="K1471" t="s">
        <v>15195</v>
      </c>
      <c r="L1471" t="s">
        <v>15196</v>
      </c>
      <c r="M1471" t="s">
        <v>15197</v>
      </c>
      <c r="N1471">
        <f>-657.931842625407 -99.6159111176005 -555.976396346606</f>
        <v>-1313.5241500896134</v>
      </c>
      <c r="O1471">
        <f>-629.485076603758 -229.344170987212 -520.44676559777</f>
        <v>-1379.2760131887399</v>
      </c>
      <c r="P1471">
        <f>-628.644319155377 -268.341716565043 -228.779642523204</f>
        <v>-1125.7656782436241</v>
      </c>
      <c r="Q1471">
        <f>-475.441011893399 -87.6398615425321 -272.671307373516</f>
        <v>-835.75218080944705</v>
      </c>
      <c r="R1471" t="s">
        <v>15198</v>
      </c>
      <c r="S1471" t="s">
        <v>15199</v>
      </c>
      <c r="T1471" t="s">
        <v>15200</v>
      </c>
      <c r="U1471" t="s">
        <v>15201</v>
      </c>
      <c r="V1471">
        <f>-621.566022528723 -133.620430778112 -94.0014328162785</f>
        <v>-849.18788612311346</v>
      </c>
      <c r="W1471" t="s">
        <v>15202</v>
      </c>
      <c r="X1471" t="s">
        <v>15203</v>
      </c>
      <c r="Y1471" t="s">
        <v>15204</v>
      </c>
    </row>
    <row r="1472" spans="1:25" x14ac:dyDescent="0.3">
      <c r="A1472">
        <v>73550</v>
      </c>
      <c r="B1472" t="s">
        <v>15205</v>
      </c>
      <c r="C1472">
        <f>-653.284228656624 -43.3683761845857 -97.3438331817227</f>
        <v>-793.99643802293247</v>
      </c>
      <c r="D1472">
        <f>-668.288540063993 -54.222778251574 -211.682206070729</f>
        <v>-934.19352438629596</v>
      </c>
      <c r="E1472">
        <f>-671.897489681191 -60.7646691110749 -310.022618286309</f>
        <v>-1042.6847770785748</v>
      </c>
      <c r="F1472">
        <f>-671.990628271087 -65.8540128099701 -398.973983596898</f>
        <v>-1136.8186246779551</v>
      </c>
      <c r="G1472">
        <f>-668.559502280902 -70.0836272300071 -487.904050049823</f>
        <v>-1226.5471795607323</v>
      </c>
      <c r="H1472">
        <f>-660.055494125453 -75.1538672192376 -612.092645755169</f>
        <v>-1347.3020070998596</v>
      </c>
      <c r="I1472">
        <f>-618.997992547074 -69.2101832405274 -684.092605690681</f>
        <v>-1372.3007814782823</v>
      </c>
      <c r="J1472">
        <f>-670.285005166489 -46.0280326814725 -558.985616707703</f>
        <v>-1275.2986545556646</v>
      </c>
      <c r="K1472" t="s">
        <v>15206</v>
      </c>
      <c r="L1472" t="s">
        <v>15207</v>
      </c>
      <c r="M1472" t="s">
        <v>15208</v>
      </c>
      <c r="N1472">
        <f>-657.310377053298 -99.8175093175171 -555.901065843852</f>
        <v>-1313.0289522146672</v>
      </c>
      <c r="O1472">
        <f>-629.47586315005 -229.576500163064 -520.004740408778</f>
        <v>-1379.057103721892</v>
      </c>
      <c r="P1472">
        <f>-629.19510920553 -267.646986572372 -228.214101302568</f>
        <v>-1125.0561970804699</v>
      </c>
      <c r="Q1472">
        <f>-475.559058647155 -87.3944796434005 -272.439684646124</f>
        <v>-835.39322293667942</v>
      </c>
      <c r="R1472" t="s">
        <v>15209</v>
      </c>
      <c r="S1472" t="s">
        <v>15210</v>
      </c>
      <c r="T1472" t="s">
        <v>15211</v>
      </c>
      <c r="U1472" t="s">
        <v>15212</v>
      </c>
      <c r="V1472">
        <f>-621.377286379012 -133.084481124759 -93.9868396239037</f>
        <v>-848.44860712767479</v>
      </c>
      <c r="W1472" t="s">
        <v>15213</v>
      </c>
      <c r="X1472" t="s">
        <v>15214</v>
      </c>
      <c r="Y1472" t="s">
        <v>15215</v>
      </c>
    </row>
    <row r="1473" spans="1:25" x14ac:dyDescent="0.3">
      <c r="A1473">
        <v>73600</v>
      </c>
      <c r="B1473" t="s">
        <v>15216</v>
      </c>
      <c r="C1473">
        <f>-652.737213499808 -41.6058068283371 -97.2740198032468</f>
        <v>-791.61704013139195</v>
      </c>
      <c r="D1473">
        <f>-667.599510748385 -52.3294103910134 -211.643273794757</f>
        <v>-931.57219493415539</v>
      </c>
      <c r="E1473">
        <f>-671.031433667758 -59.1303126646731 -309.972552417631</f>
        <v>-1040.134298750062</v>
      </c>
      <c r="F1473">
        <f>-670.948568167493 -64.5990116530031 -398.901257862392</f>
        <v>-1134.4488376828881</v>
      </c>
      <c r="G1473">
        <f>-667.327952153435 -69.3559269875582 -487.797215683476</f>
        <v>-1224.4810948244692</v>
      </c>
      <c r="H1473">
        <f>-658.547419297914 -75.3186698209786 -611.926890499769</f>
        <v>-1345.7929796186615</v>
      </c>
      <c r="I1473">
        <f>-617.074879256952 -70.2012203841171 -683.752206157076</f>
        <v>-1371.0283057981451</v>
      </c>
      <c r="J1473">
        <f>-668.6706245705 -45.7577713789512 -559.040316524495</f>
        <v>-1273.4687124739462</v>
      </c>
      <c r="K1473" t="s">
        <v>15217</v>
      </c>
      <c r="L1473" t="s">
        <v>15218</v>
      </c>
      <c r="M1473" t="s">
        <v>15219</v>
      </c>
      <c r="N1473">
        <f>-656.152039529675 -99.6317157905573 -555.566948522762</f>
        <v>-1311.3507038429943</v>
      </c>
      <c r="O1473">
        <f>-629.558646754288 -229.387463015548 -518.75874856315</f>
        <v>-1377.7048583329861</v>
      </c>
      <c r="P1473">
        <f>-630.858285192725 -265.625540716446 -226.737571501263</f>
        <v>-1123.2213974104338</v>
      </c>
      <c r="Q1473">
        <f>-476.737450860474 -85.91240755586 -271.468114202002</f>
        <v>-834.1179726183359</v>
      </c>
      <c r="R1473" t="s">
        <v>15220</v>
      </c>
      <c r="S1473" t="s">
        <v>15221</v>
      </c>
      <c r="T1473" t="s">
        <v>15222</v>
      </c>
      <c r="U1473" t="s">
        <v>15223</v>
      </c>
      <c r="V1473">
        <f>-621.389133573389 -131.209883607692 -93.8980948935175</f>
        <v>-846.49711207459859</v>
      </c>
      <c r="W1473" t="s">
        <v>15224</v>
      </c>
      <c r="X1473" t="s">
        <v>15225</v>
      </c>
      <c r="Y1473" t="s">
        <v>15226</v>
      </c>
    </row>
    <row r="1474" spans="1:25" x14ac:dyDescent="0.3">
      <c r="A1474">
        <v>73650</v>
      </c>
      <c r="B1474" t="s">
        <v>15227</v>
      </c>
      <c r="C1474">
        <f>-652.460965548078 -40.613346451918 -97.2409454642928</f>
        <v>-790.31525746428883</v>
      </c>
      <c r="D1474">
        <f>-667.258907235947 -51.2677352970131 -211.625012005794</f>
        <v>-930.1516545387542</v>
      </c>
      <c r="E1474">
        <f>-670.611288568315 -58.2028551546107 -309.947562222444</f>
        <v>-1038.7617059453696</v>
      </c>
      <c r="F1474">
        <f>-670.450239396689 -63.8669684960282 -398.863965885623</f>
        <v>-1133.1811737783401</v>
      </c>
      <c r="G1474">
        <f>-666.746471450518 -68.8944981367761 -487.741683391119</f>
        <v>-1223.382652978413</v>
      </c>
      <c r="H1474">
        <f>-657.84630075929 -75.3134143718976 -611.840088400067</f>
        <v>-1344.9998035312547</v>
      </c>
      <c r="I1474">
        <f>-616.136626676143 -70.6624806542604 -683.559791438297</f>
        <v>-1370.3588987687003</v>
      </c>
      <c r="J1474">
        <f>-667.905563929644 -45.5315721130141 -559.065362975074</f>
        <v>-1272.5024990177321</v>
      </c>
      <c r="K1474" t="s">
        <v>15228</v>
      </c>
      <c r="L1474" t="s">
        <v>15229</v>
      </c>
      <c r="M1474" t="s">
        <v>15230</v>
      </c>
      <c r="N1474">
        <f>-655.620023991041 -99.4458425851722 -555.395685816016</f>
        <v>-1310.4615523922291</v>
      </c>
      <c r="O1474">
        <f>-629.667399933602 -229.193682933156 -518.130812631737</f>
        <v>-1376.9918954984951</v>
      </c>
      <c r="P1474">
        <f>-631.672806366455 -264.386586571702 -225.985864509222</f>
        <v>-1122.0452574473791</v>
      </c>
      <c r="Q1474">
        <f>-477.309422208244 -84.905711320675 -270.812436798476</f>
        <v>-833.02757032739498</v>
      </c>
      <c r="R1474" t="s">
        <v>15231</v>
      </c>
      <c r="S1474" t="s">
        <v>15232</v>
      </c>
      <c r="T1474" t="s">
        <v>15233</v>
      </c>
      <c r="U1474" t="s">
        <v>15234</v>
      </c>
      <c r="V1474">
        <f>-621.476310130038 -130.301858701113 -93.8450676457479</f>
        <v>-845.62323647689891</v>
      </c>
      <c r="W1474" t="s">
        <v>15235</v>
      </c>
      <c r="X1474" t="s">
        <v>15236</v>
      </c>
      <c r="Y1474" t="s">
        <v>15237</v>
      </c>
    </row>
    <row r="1475" spans="1:25" x14ac:dyDescent="0.3">
      <c r="A1475">
        <v>73700</v>
      </c>
      <c r="B1475" t="s">
        <v>15238</v>
      </c>
      <c r="C1475">
        <f>-651.635889472108 -38.493959823875 -97.2111238952932</f>
        <v>-787.34097319127625</v>
      </c>
      <c r="D1475">
        <f>-666.225633774637 -49.0147355236315 -211.634378643142</f>
        <v>-926.87474794141053</v>
      </c>
      <c r="E1475">
        <f>-669.365427736229 -56.2131530578638 -309.944978309501</f>
        <v>-1035.5235591035937</v>
      </c>
      <c r="F1475">
        <f>-669.005107301672 -62.2605917613839 -398.835650585398</f>
        <v>-1130.1013496484538</v>
      </c>
      <c r="G1475">
        <f>-665.097264694164 -67.8201440549744 -487.672811669495</f>
        <v>-1220.5902204186334</v>
      </c>
      <c r="H1475">
        <f>-655.909654580936 -75.1378546738949 -611.700549832896</f>
        <v>-1342.7480590877269</v>
      </c>
      <c r="I1475">
        <f>-613.693875685439 -71.4650603180298 -683.18032633089</f>
        <v>-1368.3392623343589</v>
      </c>
      <c r="J1475">
        <f>-665.823593836479 -44.9138110944009 -559.150260734135</f>
        <v>-1269.887665665015</v>
      </c>
      <c r="K1475" t="s">
        <v>15239</v>
      </c>
      <c r="L1475" t="s">
        <v>15240</v>
      </c>
      <c r="M1475" t="s">
        <v>15241</v>
      </c>
      <c r="N1475">
        <f>-654.081617093703 -98.9214884996652 -555.093866013509</f>
        <v>-1308.0969716068771</v>
      </c>
      <c r="O1475">
        <f>-629.619835320181 -228.70048259473 -516.893746241717</f>
        <v>-1375.214064156628</v>
      </c>
      <c r="P1475">
        <f>-632.56451953662 -261.74814317729 -224.506268955306</f>
        <v>-1118.818931669216</v>
      </c>
      <c r="Q1475">
        <f>-477.936068984914 -82.5374017635295 -269.499964598466</f>
        <v>-829.97343534690958</v>
      </c>
      <c r="R1475" t="s">
        <v>15242</v>
      </c>
      <c r="S1475" t="s">
        <v>15243</v>
      </c>
      <c r="T1475" t="s">
        <v>15244</v>
      </c>
      <c r="U1475" t="s">
        <v>15245</v>
      </c>
      <c r="V1475">
        <f>-621.251866080349 -128.387382683227 -93.7416055323564</f>
        <v>-843.38085429593241</v>
      </c>
      <c r="W1475" t="s">
        <v>15246</v>
      </c>
      <c r="X1475" t="s">
        <v>15247</v>
      </c>
      <c r="Y1475" t="s">
        <v>15248</v>
      </c>
    </row>
    <row r="1476" spans="1:25" x14ac:dyDescent="0.3">
      <c r="A1476">
        <v>73750</v>
      </c>
      <c r="B1476" t="s">
        <v>15249</v>
      </c>
      <c r="C1476">
        <f>-651.451647861411 -37.3173700053833 -97.217877788286</f>
        <v>-785.98689565508027</v>
      </c>
      <c r="D1476">
        <f>-665.736727277949 -47.8469732672527 -211.678625909097</f>
        <v>-925.26232645429866</v>
      </c>
      <c r="E1476">
        <f>-668.623829294065 -55.1985682988095 -309.985763176736</f>
        <v>-1033.8081607696104</v>
      </c>
      <c r="F1476">
        <f>-668.041665744995 -61.4394644292299 -398.861748210385</f>
        <v>-1128.34287838461</v>
      </c>
      <c r="G1476">
        <f>-663.919104417233 -67.2480372151285 -487.673453104282</f>
        <v>-1218.8405947366437</v>
      </c>
      <c r="H1476">
        <f>-654.440357078332 -74.9723231789635 -611.654521357858</f>
        <v>-1341.0672016151534</v>
      </c>
      <c r="I1476">
        <f>-611.969085302214 -71.7476987967584 -683.004483100339</f>
        <v>-1366.7212671993116</v>
      </c>
      <c r="J1476">
        <f>-664.343710960963 -44.5467121347092 -559.218508438646</f>
        <v>-1268.1089315343183</v>
      </c>
      <c r="K1476" t="s">
        <v>15250</v>
      </c>
      <c r="L1476" t="s">
        <v>15251</v>
      </c>
      <c r="M1476" t="s">
        <v>15252</v>
      </c>
      <c r="N1476">
        <f>-652.879147916198 -98.5997062223628 -554.974517778366</f>
        <v>-1306.4533719169267</v>
      </c>
      <c r="O1476">
        <f>-629.207109245464 -228.370122355366 -516.280279804227</f>
        <v>-1373.857511405057</v>
      </c>
      <c r="P1476">
        <f>-632.575351045397 -260.432166138403 -223.787701881827</f>
        <v>-1116.795219065627</v>
      </c>
      <c r="Q1476">
        <f>-477.939271953146 -81.3419358602514 -269.232625147844</f>
        <v>-828.51383296124141</v>
      </c>
      <c r="R1476" t="s">
        <v>15253</v>
      </c>
      <c r="S1476" t="s">
        <v>15254</v>
      </c>
      <c r="T1476" t="s">
        <v>15255</v>
      </c>
      <c r="U1476" t="s">
        <v>15256</v>
      </c>
      <c r="V1476">
        <f>-621.684856430246 -127.354983317648 -93.6345071911328</f>
        <v>-842.6743469390268</v>
      </c>
      <c r="W1476" t="s">
        <v>15257</v>
      </c>
      <c r="X1476" t="s">
        <v>15258</v>
      </c>
      <c r="Y1476" t="s">
        <v>15259</v>
      </c>
    </row>
    <row r="1477" spans="1:25" x14ac:dyDescent="0.3">
      <c r="A1477">
        <v>73800</v>
      </c>
      <c r="B1477" t="s">
        <v>15260</v>
      </c>
      <c r="C1477">
        <f>-652.210614032858 -34.270058813067 -97.3160267657607</f>
        <v>-783.79669961168565</v>
      </c>
      <c r="D1477">
        <f>-665.521427922671 -45.3135712633061 -211.845862043866</f>
        <v>-922.68086122984312</v>
      </c>
      <c r="E1477">
        <f>-667.560969072219 -53.1459293047483 -310.137034522734</f>
        <v>-1030.8439328997013</v>
      </c>
      <c r="F1477">
        <f>-666.211068213081 -59.8259992984147 -398.972799484223</f>
        <v>-1125.0098669957188</v>
      </c>
      <c r="G1477">
        <f>-661.31949539176 -66.0789542404018 -487.715244748499</f>
        <v>-1215.1136943806609</v>
      </c>
      <c r="H1477">
        <f>-650.765466290762 -74.4262559778308 -611.568882722326</f>
        <v>-1336.7606049909186</v>
      </c>
      <c r="I1477">
        <f>-607.698399870717 -71.8247549722309 -682.58649810467</f>
        <v>-1362.1096529476181</v>
      </c>
      <c r="J1477">
        <f>-660.876904032504 -43.6854336088147 -559.357251905469</f>
        <v>-1263.9195895467876</v>
      </c>
      <c r="K1477" t="s">
        <v>15261</v>
      </c>
      <c r="L1477" t="s">
        <v>15262</v>
      </c>
      <c r="M1477" t="s">
        <v>15263</v>
      </c>
      <c r="N1477">
        <f>-649.942527362335 -97.8205929329399 -554.776891088076</f>
        <v>-1302.5400113833509</v>
      </c>
      <c r="O1477">
        <f>-627.761470367179 -227.519208623382 -514.955158227324</f>
        <v>-1370.2358372178851</v>
      </c>
      <c r="P1477">
        <f>-631.765114296721 -256.745663175771 -222.17360258212</f>
        <v>-1110.6843800546121</v>
      </c>
      <c r="Q1477">
        <f>-477.245469041506 -77.9636885725324 -269.200541016059</f>
        <v>-824.40969863009741</v>
      </c>
      <c r="R1477" t="s">
        <v>15264</v>
      </c>
      <c r="S1477" t="s">
        <v>15265</v>
      </c>
      <c r="T1477" t="s">
        <v>15266</v>
      </c>
      <c r="U1477" t="s">
        <v>15267</v>
      </c>
      <c r="V1477">
        <f>-624.352019488251 -123.722610536878 -92.9812632721195</f>
        <v>-841.05589329724842</v>
      </c>
      <c r="W1477" t="s">
        <v>15268</v>
      </c>
      <c r="X1477" t="s">
        <v>15269</v>
      </c>
      <c r="Y1477" t="s">
        <v>15270</v>
      </c>
    </row>
    <row r="1478" spans="1:25" x14ac:dyDescent="0.3">
      <c r="A1478">
        <v>73850</v>
      </c>
      <c r="B1478" t="s">
        <v>15271</v>
      </c>
      <c r="C1478">
        <f>-653.641350994205 -32.5728108664196 -97.1811315180495</f>
        <v>-783.39529337867407</v>
      </c>
      <c r="D1478">
        <f>-666.392208876136 -43.9510647329782 -211.741910256283</f>
        <v>-922.08518386539731</v>
      </c>
      <c r="E1478">
        <f>-667.862685800167 -52.0118202990486 -310.024788048206</f>
        <v>-1029.8992941474216</v>
      </c>
      <c r="F1478">
        <f>-665.963253094211 -58.8708867237772 -398.83677607089</f>
        <v>-1123.6709158888782</v>
      </c>
      <c r="G1478">
        <f>-660.486681064492 -65.275859536921 -487.534127899894</f>
        <v>-1213.2966685013071</v>
      </c>
      <c r="H1478">
        <f>-649.078180000738 -73.8069450200483 -611.299752560471</f>
        <v>-1334.1848775812573</v>
      </c>
      <c r="I1478">
        <f>-605.595599019472 -71.3650823777189 -682.069332413651</f>
        <v>-1359.0300138108419</v>
      </c>
      <c r="J1478">
        <f>-659.46958323264 -42.972218810394 -559.198291911243</f>
        <v>-1261.6400939542771</v>
      </c>
      <c r="K1478" t="s">
        <v>15272</v>
      </c>
      <c r="L1478" t="s">
        <v>15273</v>
      </c>
      <c r="M1478" t="s">
        <v>15274</v>
      </c>
      <c r="N1478">
        <f>-648.727296708159 -97.133544855358 -554.474836932893</f>
        <v>-1300.3356784964099</v>
      </c>
      <c r="O1478">
        <f>-627.186681801153 -226.752146103737 -514.052318261727</f>
        <v>-1367.991146166617</v>
      </c>
      <c r="P1478">
        <f>-631.328457830323 -254.46210150097 -221.125305624065</f>
        <v>-1106.9158649553581</v>
      </c>
      <c r="Q1478">
        <f>-477.074181765732 -75.6757448881929 -268.998468668798</f>
        <v>-821.7483953227229</v>
      </c>
      <c r="R1478" t="s">
        <v>15275</v>
      </c>
      <c r="S1478" t="s">
        <v>15276</v>
      </c>
      <c r="T1478" t="s">
        <v>15277</v>
      </c>
      <c r="U1478" t="s">
        <v>15278</v>
      </c>
      <c r="V1478">
        <f>-626.837708588748 -120.657218456799 -92.4471600243772</f>
        <v>-839.94208706992424</v>
      </c>
      <c r="W1478" t="s">
        <v>15279</v>
      </c>
      <c r="X1478" t="s">
        <v>15280</v>
      </c>
      <c r="Y1478" t="s">
        <v>15281</v>
      </c>
    </row>
    <row r="1479" spans="1:25" x14ac:dyDescent="0.3">
      <c r="A1479">
        <v>73900</v>
      </c>
      <c r="B1479" t="s">
        <v>15282</v>
      </c>
      <c r="C1479">
        <f>-658.951030583122 -23.3170283361551 -96.9348541340088</f>
        <v>-779.2029130532859</v>
      </c>
      <c r="D1479">
        <f>-670.412307863396 -34.9018289132343 -211.611098620625</f>
        <v>-916.92523539725539</v>
      </c>
      <c r="E1479">
        <f>-670.389320416508 -43.2230365250955 -309.883355856092</f>
        <v>-1023.4957127976954</v>
      </c>
      <c r="F1479">
        <f>-666.988085044356 -50.3432152233349 -398.630017043891</f>
        <v>-1115.961317311582</v>
      </c>
      <c r="G1479">
        <f>-659.860587503171 -57.0342652845945 -487.188813911605</f>
        <v>-1204.0836666993705</v>
      </c>
      <c r="H1479">
        <f>-645.991638992105 -65.9888989036615 -610.672693072097</f>
        <v>-1322.6532309678635</v>
      </c>
      <c r="I1479">
        <f>-601.432673636029 -63.7719744320241 -680.776983171852</f>
        <v>-1345.981631239905</v>
      </c>
      <c r="J1479">
        <f>-657.350207461405 -34.9625091624098 -558.888011062114</f>
        <v>-1251.2007276859288</v>
      </c>
      <c r="K1479" t="s">
        <v>15283</v>
      </c>
      <c r="L1479" t="s">
        <v>15284</v>
      </c>
      <c r="M1479" t="s">
        <v>15285</v>
      </c>
      <c r="N1479">
        <f>-646.839284036986 -89.1342586944008 -553.779166166569</f>
        <v>-1289.7527088979559</v>
      </c>
      <c r="O1479">
        <f>-626.296958644261 -218.588384324534 -512.350407805462</f>
        <v>-1357.2357507742572</v>
      </c>
      <c r="P1479">
        <f>-630.815403902526 -243.290268345929 -219.16013136204</f>
        <v>-1093.2658036104949</v>
      </c>
      <c r="Q1479">
        <f>-477.366022526415 -64.3315537269525 -268.938861891943</f>
        <v>-810.63643814531054</v>
      </c>
      <c r="R1479" t="s">
        <v>15286</v>
      </c>
      <c r="S1479" t="s">
        <v>15287</v>
      </c>
      <c r="T1479" t="s">
        <v>15288</v>
      </c>
      <c r="U1479" t="s">
        <v>15289</v>
      </c>
      <c r="V1479">
        <f>-633.577127546369 -111.576317134271 -91.6042926010591</f>
        <v>-836.75773728169906</v>
      </c>
      <c r="W1479" t="s">
        <v>15290</v>
      </c>
      <c r="X1479" t="s">
        <v>15291</v>
      </c>
      <c r="Y1479" t="s">
        <v>15292</v>
      </c>
    </row>
    <row r="1480" spans="1:25" x14ac:dyDescent="0.3">
      <c r="A1480">
        <v>73950</v>
      </c>
      <c r="B1480" t="s">
        <v>15293</v>
      </c>
      <c r="C1480">
        <f>-663.501606415741 -13.763189517821 -97.3483120063509</f>
        <v>-774.61310793991288</v>
      </c>
      <c r="D1480">
        <f>-674.119206387353 -25.3579169449151 -212.104804967556</f>
        <v>-911.58192829982409</v>
      </c>
      <c r="E1480">
        <f>-673.171899532544 -33.7983295319998 -310.362220578942</f>
        <v>-1017.3324496434858</v>
      </c>
      <c r="F1480">
        <f>-668.857843557994 -41.0635227010132 -399.057575743052</f>
        <v>-1108.9789420020593</v>
      </c>
      <c r="G1480">
        <f>-660.742595062008 -47.9362192799533 -487.517307200908</f>
        <v>-1196.1961215428694</v>
      </c>
      <c r="H1480">
        <f>-645.416551344051 -57.1799732760292 -610.807522641397</f>
        <v>-1313.404047261477</v>
      </c>
      <c r="I1480">
        <f>-600.259671883135 -55.1415531854404 -680.533702513268</f>
        <v>-1335.9349275818436</v>
      </c>
      <c r="J1480">
        <f>-657.336389884766 -26.022538553128 -559.228186364114</f>
        <v>-1242.587114802008</v>
      </c>
      <c r="K1480" t="s">
        <v>15294</v>
      </c>
      <c r="L1480" t="s">
        <v>15295</v>
      </c>
      <c r="M1480" t="s">
        <v>15296</v>
      </c>
      <c r="N1480">
        <f>-646.985153822959 -80.2019743450514 -553.879108313598</f>
        <v>-1281.0662364816085</v>
      </c>
      <c r="O1480">
        <f>-627.156441689054 -209.641885394009 -512.003503459822</f>
        <v>-1348.801830542885</v>
      </c>
      <c r="P1480">
        <f>-632.089563850913 -232.631459788082 -218.680725477714</f>
        <v>-1083.401749116709</v>
      </c>
      <c r="Q1480">
        <f>-478.47833030531 -54.2923243201803 -270.154902121387</f>
        <v>-802.92555674687742</v>
      </c>
      <c r="R1480" t="s">
        <v>15297</v>
      </c>
      <c r="S1480" t="s">
        <v>15298</v>
      </c>
      <c r="T1480" t="s">
        <v>15299</v>
      </c>
      <c r="U1480" t="s">
        <v>15300</v>
      </c>
      <c r="V1480">
        <f>-638.203174009397 -104.607893075958 -91.5442791357505</f>
        <v>-834.35534622110549</v>
      </c>
      <c r="W1480" t="s">
        <v>15301</v>
      </c>
      <c r="X1480" t="s">
        <v>15302</v>
      </c>
      <c r="Y1480" t="s">
        <v>15303</v>
      </c>
    </row>
    <row r="1481" spans="1:25" x14ac:dyDescent="0.3">
      <c r="A1481">
        <v>74000</v>
      </c>
      <c r="B1481" t="s">
        <v>15304</v>
      </c>
      <c r="C1481" t="s">
        <v>15305</v>
      </c>
      <c r="D1481">
        <f>-681.215775151196 -9.34545808481494 -212.805856247288</f>
        <v>-903.36708948329897</v>
      </c>
      <c r="E1481">
        <f>-678.288810408437 -18.1048889876208 -310.996367855868</f>
        <v>-1007.3900672519259</v>
      </c>
      <c r="F1481">
        <f>-672.032417386513 -25.7377342262378 -399.544864822446</f>
        <v>-1097.3150164351969</v>
      </c>
      <c r="G1481">
        <f>-661.826004423383 -33.0575822703267 -487.751889951225</f>
        <v>-1182.6354766449347</v>
      </c>
      <c r="H1481">
        <f>-643.426334894729 -43.0063974631569 -610.565983727208</f>
        <v>-1296.998716085094</v>
      </c>
      <c r="I1481">
        <f>-597.145087080384 -41.5722112670692 -679.566020093965</f>
        <v>-1318.283318441418</v>
      </c>
      <c r="J1481">
        <f>-656.378670661509 -11.5052348751915 -559.446219054323</f>
        <v>-1227.3301245910234</v>
      </c>
      <c r="K1481" t="s">
        <v>15306</v>
      </c>
      <c r="L1481" t="s">
        <v>15307</v>
      </c>
      <c r="M1481" t="s">
        <v>15308</v>
      </c>
      <c r="N1481">
        <f>-646.667612289637 -65.7514579451552 -553.597001206779</f>
        <v>-1266.0160714415711</v>
      </c>
      <c r="O1481">
        <f>-629.000886532281 -195.171838423558 -510.801200896318</f>
        <v>-1334.973925852157</v>
      </c>
      <c r="P1481">
        <f>-636.693263766804 -214.104480668026 -217.247802533884</f>
        <v>-1068.045546968714</v>
      </c>
      <c r="Q1481">
        <f>-477.837353590043 -41.2826109610189 -271.545897576833</f>
        <v>-790.66586212789491</v>
      </c>
      <c r="R1481" t="s">
        <v>15309</v>
      </c>
      <c r="S1481" t="s">
        <v>15310</v>
      </c>
      <c r="T1481" t="s">
        <v>15311</v>
      </c>
      <c r="U1481" t="s">
        <v>15312</v>
      </c>
      <c r="V1481">
        <f>-648.098570323382 -90.7538285897176 -91.2313259310092</f>
        <v>-830.08372484410881</v>
      </c>
      <c r="W1481" t="s">
        <v>15313</v>
      </c>
      <c r="X1481" t="s">
        <v>15314</v>
      </c>
      <c r="Y1481" t="s">
        <v>15315</v>
      </c>
    </row>
    <row r="1482" spans="1:25" x14ac:dyDescent="0.3">
      <c r="A1482">
        <v>74050</v>
      </c>
      <c r="B1482" t="s">
        <v>15316</v>
      </c>
      <c r="C1482" t="s">
        <v>15317</v>
      </c>
      <c r="D1482">
        <f>-684.189185193582 -2.229094390309 -212.665776837677</f>
        <v>-899.08405642156799</v>
      </c>
      <c r="E1482">
        <f>-680.4455263587 -11.1925091119783 -310.810080625921</f>
        <v>-1002.4481160965993</v>
      </c>
      <c r="F1482">
        <f>-673.336352936883 -19.0823922845223 -399.271649223286</f>
        <v>-1091.6903944446913</v>
      </c>
      <c r="G1482">
        <f>-662.165379227808 -26.735401183498 -487.333436044306</f>
        <v>-1176.2342164556119</v>
      </c>
      <c r="H1482">
        <f>-642.304171365752 -37.2299100028763 -609.874204777277</f>
        <v>-1289.4082861459053</v>
      </c>
      <c r="I1482">
        <f>-595.461843822643 -36.3218724195212 -678.503584612321</f>
        <v>-1310.2873008544852</v>
      </c>
      <c r="J1482">
        <f>-655.628817973141 -5.45742939624006 -559.018685379076</f>
        <v>-1220.104932748457</v>
      </c>
      <c r="K1482" t="s">
        <v>15318</v>
      </c>
      <c r="L1482" t="s">
        <v>15319</v>
      </c>
      <c r="M1482" t="s">
        <v>15320</v>
      </c>
      <c r="N1482">
        <f>-646.459427534051 -59.7661313841802 -552.881438324565</f>
        <v>-1259.1069972427963</v>
      </c>
      <c r="O1482">
        <f>-630.225750574711 -189.237819432627 -509.655427431003</f>
        <v>-1329.118997438341</v>
      </c>
      <c r="P1482">
        <f>-640.850534602388 -205.26404078333 -216.020421376576</f>
        <v>-1062.1349967622941</v>
      </c>
      <c r="Q1482">
        <f>-476.288435290918 -38.5027640685269 -272.24201208528</f>
        <v>-787.03321144472488</v>
      </c>
      <c r="R1482" t="s">
        <v>15321</v>
      </c>
      <c r="S1482" t="s">
        <v>15322</v>
      </c>
      <c r="T1482" t="s">
        <v>15323</v>
      </c>
      <c r="U1482" t="s">
        <v>15324</v>
      </c>
      <c r="V1482">
        <f>-652.412271733749 -83.9753231248349 -90.8756806005994</f>
        <v>-827.26327545918321</v>
      </c>
      <c r="W1482" t="s">
        <v>15325</v>
      </c>
      <c r="X1482" t="s">
        <v>15326</v>
      </c>
      <c r="Y1482" t="s">
        <v>15327</v>
      </c>
    </row>
    <row r="1483" spans="1:25" x14ac:dyDescent="0.3">
      <c r="A1483">
        <v>74100</v>
      </c>
      <c r="B1483" t="s">
        <v>15328</v>
      </c>
      <c r="C1483" t="s">
        <v>15329</v>
      </c>
      <c r="D1483" t="s">
        <v>15330</v>
      </c>
      <c r="E1483" t="s">
        <v>15331</v>
      </c>
      <c r="F1483">
        <f>-674.265400918466 -3.57703785471335 -397.771182044069</f>
        <v>-1075.6136208172484</v>
      </c>
      <c r="G1483">
        <f>-661.72791466624 -11.9387050848354 -485.584234339798</f>
        <v>-1159.2508540908734</v>
      </c>
      <c r="H1483">
        <f>-639.802476873163 -23.6693685286357 -607.660025494215</f>
        <v>-1271.1318708960137</v>
      </c>
      <c r="I1483">
        <f>-592.049798752272 -24.2424154417024 -675.662667871241</f>
        <v>-1291.9548820652153</v>
      </c>
      <c r="J1483" t="s">
        <v>15332</v>
      </c>
      <c r="K1483" t="s">
        <v>15333</v>
      </c>
      <c r="L1483" t="s">
        <v>15334</v>
      </c>
      <c r="M1483" t="s">
        <v>15335</v>
      </c>
      <c r="N1483">
        <f>-645.604913381353 -45.748119489688 -550.631988824163</f>
        <v>-1241.9850216952041</v>
      </c>
      <c r="O1483">
        <f>-633.330227794002 -175.436523639162 -506.604038353211</f>
        <v>-1315.3707897863751</v>
      </c>
      <c r="P1483">
        <f>-648.087262151717 -188.960036383122 -213.021725495935</f>
        <v>-1050.069024030774</v>
      </c>
      <c r="Q1483">
        <f>-474.157877019955 -32.90558211441 -271.728197820231</f>
        <v>-778.79165695459596</v>
      </c>
      <c r="R1483" t="s">
        <v>15336</v>
      </c>
      <c r="S1483" t="s">
        <v>15337</v>
      </c>
      <c r="T1483" t="s">
        <v>15338</v>
      </c>
      <c r="U1483" t="s">
        <v>15339</v>
      </c>
      <c r="V1483">
        <f>-658.404879704702 -68.336813044868 -89.6611151329856</f>
        <v>-816.40280788255563</v>
      </c>
      <c r="W1483" t="s">
        <v>15340</v>
      </c>
      <c r="X1483" t="s">
        <v>15341</v>
      </c>
      <c r="Y1483" t="s">
        <v>15342</v>
      </c>
    </row>
    <row r="1484" spans="1:25" x14ac:dyDescent="0.3">
      <c r="A1484">
        <v>74150</v>
      </c>
      <c r="B1484" t="s">
        <v>15343</v>
      </c>
      <c r="C1484" t="s">
        <v>15344</v>
      </c>
      <c r="D1484" t="s">
        <v>15345</v>
      </c>
      <c r="E1484" t="s">
        <v>15346</v>
      </c>
      <c r="F1484" t="s">
        <v>15347</v>
      </c>
      <c r="G1484">
        <f>-662.945872141252 -2.61961309199819 -484.620306047339</f>
        <v>-1150.1857912805892</v>
      </c>
      <c r="H1484">
        <f>-640.527114917109 -14.9556938424992 -606.546684252906</f>
        <v>-1262.0294930125142</v>
      </c>
      <c r="I1484">
        <f>-592.481347071725 -16.3648046841136 -674.330350145614</f>
        <v>-1283.1765019014526</v>
      </c>
      <c r="J1484" t="s">
        <v>15348</v>
      </c>
      <c r="K1484" t="s">
        <v>15349</v>
      </c>
      <c r="L1484" t="s">
        <v>15350</v>
      </c>
      <c r="M1484" t="s">
        <v>15351</v>
      </c>
      <c r="N1484">
        <f>-646.955953342306 -36.8121890893181 -549.500474762917</f>
        <v>-1233.2686171945411</v>
      </c>
      <c r="O1484">
        <f>-636.893348337176 -166.527398136587 -505.073360078051</f>
        <v>-1308.4941065518142</v>
      </c>
      <c r="P1484">
        <f>-654.104623743692 -179.423993099569 -211.596535268574</f>
        <v>-1045.125152111835</v>
      </c>
      <c r="Q1484">
        <f>-475.896663885721 -28.8357840187946 -271.72977215668</f>
        <v>-776.46222006119558</v>
      </c>
      <c r="R1484" t="s">
        <v>15352</v>
      </c>
      <c r="S1484" t="s">
        <v>15353</v>
      </c>
      <c r="T1484" t="s">
        <v>15354</v>
      </c>
      <c r="U1484" t="s">
        <v>15355</v>
      </c>
      <c r="V1484">
        <f>-661.388044447649 -59.334350073661 -88.7798920515843</f>
        <v>-809.50228657289426</v>
      </c>
      <c r="W1484" t="s">
        <v>15356</v>
      </c>
      <c r="X1484" t="s">
        <v>15357</v>
      </c>
      <c r="Y1484" t="s">
        <v>15358</v>
      </c>
    </row>
    <row r="1485" spans="1:25" x14ac:dyDescent="0.3">
      <c r="A1485">
        <v>74200</v>
      </c>
      <c r="B1485" t="s">
        <v>15359</v>
      </c>
      <c r="C1485" t="s">
        <v>15360</v>
      </c>
      <c r="D1485" t="s">
        <v>15361</v>
      </c>
      <c r="E1485" t="s">
        <v>15362</v>
      </c>
      <c r="F1485" t="s">
        <v>15363</v>
      </c>
      <c r="G1485" t="s">
        <v>15364</v>
      </c>
      <c r="H1485">
        <f>-641.538056780191 -0.339693151630627 -604.379582420937</f>
        <v>-1246.2573323527586</v>
      </c>
      <c r="I1485">
        <f>-593.104174883169 -3.32567871094398 -671.835305715338</f>
        <v>-1268.2651593094511</v>
      </c>
      <c r="J1485" t="s">
        <v>15365</v>
      </c>
      <c r="K1485" t="s">
        <v>15366</v>
      </c>
      <c r="L1485" t="s">
        <v>15367</v>
      </c>
      <c r="M1485" t="s">
        <v>15368</v>
      </c>
      <c r="N1485">
        <f>-649.072496011129 -21.7949895365196 -547.316386219412</f>
        <v>-1218.1838717670607</v>
      </c>
      <c r="O1485">
        <f>-643.252910742467 -151.648463839414 -502.660049508567</f>
        <v>-1297.5614240904479</v>
      </c>
      <c r="P1485">
        <f>-666.996360615248 -165.974858810205 -209.705938967987</f>
        <v>-1042.6771583934401</v>
      </c>
      <c r="Q1485">
        <f>-481.546892272039 -25.6020792572806 -272.593739735082</f>
        <v>-779.74271126440158</v>
      </c>
      <c r="R1485" t="s">
        <v>15369</v>
      </c>
      <c r="S1485" t="s">
        <v>15370</v>
      </c>
      <c r="T1485" t="s">
        <v>15371</v>
      </c>
      <c r="U1485" t="s">
        <v>15372</v>
      </c>
      <c r="V1485">
        <f>-666.267139079493 -43.1400507789983 -86.3830407498218</f>
        <v>-795.7902306083131</v>
      </c>
      <c r="W1485" t="s">
        <v>15373</v>
      </c>
      <c r="X1485" t="s">
        <v>15374</v>
      </c>
      <c r="Y1485" t="s">
        <v>15375</v>
      </c>
    </row>
    <row r="1486" spans="1:25" x14ac:dyDescent="0.3">
      <c r="A1486">
        <v>74250</v>
      </c>
      <c r="B1486" t="s">
        <v>15376</v>
      </c>
      <c r="C1486" t="s">
        <v>15377</v>
      </c>
      <c r="D1486" t="s">
        <v>15378</v>
      </c>
      <c r="E1486" t="s">
        <v>15379</v>
      </c>
      <c r="F1486" t="s">
        <v>15380</v>
      </c>
      <c r="G1486" t="s">
        <v>15381</v>
      </c>
      <c r="H1486" t="s">
        <v>15382</v>
      </c>
      <c r="I1486" t="s">
        <v>15383</v>
      </c>
      <c r="J1486" t="s">
        <v>15384</v>
      </c>
      <c r="K1486" t="s">
        <v>15385</v>
      </c>
      <c r="L1486" t="s">
        <v>15386</v>
      </c>
      <c r="M1486" t="s">
        <v>15387</v>
      </c>
      <c r="N1486">
        <f>-651.314276710483 -13.6481949883032 -546.08768753685</f>
        <v>-1211.0501592356363</v>
      </c>
      <c r="O1486">
        <f>-647.2892897712 -143.794437227365 -501.824562591763</f>
        <v>-1292.908289590328</v>
      </c>
      <c r="P1486">
        <f>-675.651567432804 -157.739429619978 -209.26305324108</f>
        <v>-1042.6540502938619</v>
      </c>
      <c r="Q1486">
        <f>-486.297939623932 -23.3146377282451 -273.496938387998</f>
        <v>-783.10951574017508</v>
      </c>
      <c r="R1486" t="s">
        <v>15388</v>
      </c>
      <c r="S1486" t="s">
        <v>15389</v>
      </c>
      <c r="T1486" t="s">
        <v>15390</v>
      </c>
      <c r="U1486" t="s">
        <v>15391</v>
      </c>
      <c r="V1486">
        <f>-668.690168686232 -36.475798103841 -85.1361307131476</f>
        <v>-790.30209750322069</v>
      </c>
      <c r="W1486" t="s">
        <v>15392</v>
      </c>
      <c r="X1486" t="s">
        <v>15393</v>
      </c>
      <c r="Y1486" t="s">
        <v>15394</v>
      </c>
    </row>
    <row r="1487" spans="1:25" x14ac:dyDescent="0.3">
      <c r="A1487">
        <v>74300</v>
      </c>
      <c r="B1487" t="s">
        <v>15395</v>
      </c>
      <c r="C1487" t="s">
        <v>15396</v>
      </c>
      <c r="D1487" t="s">
        <v>15397</v>
      </c>
      <c r="E1487" t="s">
        <v>15398</v>
      </c>
      <c r="F1487" t="s">
        <v>15399</v>
      </c>
      <c r="G1487" t="s">
        <v>15400</v>
      </c>
      <c r="H1487" t="s">
        <v>15401</v>
      </c>
      <c r="I1487" t="s">
        <v>15402</v>
      </c>
      <c r="J1487" t="s">
        <v>15403</v>
      </c>
      <c r="K1487" t="s">
        <v>15404</v>
      </c>
      <c r="L1487" t="s">
        <v>15405</v>
      </c>
      <c r="M1487" t="s">
        <v>15406</v>
      </c>
      <c r="N1487" t="s">
        <v>15407</v>
      </c>
      <c r="O1487">
        <f>-654.637776195961 -127.552557167245 -499.729839352707</f>
        <v>-1281.9201727159129</v>
      </c>
      <c r="P1487">
        <f>-689.103322003393 -140.986458254298 -207.800330326008</f>
        <v>-1037.890110583699</v>
      </c>
      <c r="Q1487">
        <f>-492.838964529509 -19.2277992657891 -276.40043950709</f>
        <v>-788.46720330238816</v>
      </c>
      <c r="R1487" t="s">
        <v>15408</v>
      </c>
      <c r="S1487" t="s">
        <v>15409</v>
      </c>
      <c r="T1487" t="s">
        <v>15410</v>
      </c>
      <c r="U1487" t="s">
        <v>15411</v>
      </c>
      <c r="V1487">
        <f>-672.535710714219 -22.680135307955 -82.5046096191519</f>
        <v>-777.72045564132588</v>
      </c>
      <c r="W1487" t="s">
        <v>15412</v>
      </c>
      <c r="X1487" t="s">
        <v>15413</v>
      </c>
      <c r="Y1487" t="s">
        <v>15414</v>
      </c>
    </row>
    <row r="1488" spans="1:25" x14ac:dyDescent="0.3">
      <c r="A1488">
        <v>74350</v>
      </c>
      <c r="B1488" t="s">
        <v>15415</v>
      </c>
      <c r="C1488" t="s">
        <v>15416</v>
      </c>
      <c r="D1488" t="s">
        <v>15417</v>
      </c>
      <c r="E1488" t="s">
        <v>15418</v>
      </c>
      <c r="F1488" t="s">
        <v>15419</v>
      </c>
      <c r="G1488" t="s">
        <v>15420</v>
      </c>
      <c r="H1488" t="s">
        <v>15421</v>
      </c>
      <c r="I1488" t="s">
        <v>15422</v>
      </c>
      <c r="J1488" t="s">
        <v>15423</v>
      </c>
      <c r="K1488" t="s">
        <v>15424</v>
      </c>
      <c r="L1488" t="s">
        <v>15425</v>
      </c>
      <c r="M1488" t="s">
        <v>15426</v>
      </c>
      <c r="N1488" t="s">
        <v>15427</v>
      </c>
      <c r="O1488">
        <f>-657.707302348067 -120.582320080814 -498.940527782388</f>
        <v>-1277.2301502112691</v>
      </c>
      <c r="P1488">
        <f>-693.395683192876 -134.902842674731 -207.200171384888</f>
        <v>-1035.498697252495</v>
      </c>
      <c r="Q1488">
        <f>-494.852114824723 -18.6691449559978 -278.761331620679</f>
        <v>-792.28259140139983</v>
      </c>
      <c r="R1488" t="s">
        <v>15428</v>
      </c>
      <c r="S1488" t="s">
        <v>15429</v>
      </c>
      <c r="T1488" t="s">
        <v>15430</v>
      </c>
      <c r="U1488" t="s">
        <v>15431</v>
      </c>
      <c r="V1488">
        <f>-674.388227055551 -17.3307531195242 -81.6766520598898</f>
        <v>-773.39563223496498</v>
      </c>
      <c r="W1488" t="s">
        <v>15432</v>
      </c>
      <c r="X1488" t="s">
        <v>15433</v>
      </c>
      <c r="Y1488" t="s">
        <v>15434</v>
      </c>
    </row>
    <row r="1489" spans="1:25" x14ac:dyDescent="0.3">
      <c r="A1489">
        <v>74400</v>
      </c>
      <c r="B1489" t="s">
        <v>15435</v>
      </c>
      <c r="C1489" t="s">
        <v>15436</v>
      </c>
      <c r="D1489" t="s">
        <v>15437</v>
      </c>
      <c r="E1489" t="s">
        <v>15438</v>
      </c>
      <c r="F1489" t="s">
        <v>15439</v>
      </c>
      <c r="G1489" t="s">
        <v>15440</v>
      </c>
      <c r="H1489" t="s">
        <v>15441</v>
      </c>
      <c r="I1489" t="s">
        <v>15442</v>
      </c>
      <c r="J1489" t="s">
        <v>15443</v>
      </c>
      <c r="K1489" t="s">
        <v>15444</v>
      </c>
      <c r="L1489" t="s">
        <v>15445</v>
      </c>
      <c r="M1489" t="s">
        <v>15446</v>
      </c>
      <c r="N1489" t="s">
        <v>15447</v>
      </c>
      <c r="O1489">
        <f>-664.417828539994 -107.272912660961 -498.212954503335</f>
        <v>-1269.9036957042899</v>
      </c>
      <c r="P1489">
        <f>-703.525611822007 -122.23742149254 -206.943657491942</f>
        <v>-1032.706690806489</v>
      </c>
      <c r="Q1489">
        <f>-502.146545939955 -14.9314818913622 -284.292187989032</f>
        <v>-801.37021582034913</v>
      </c>
      <c r="R1489" t="s">
        <v>15448</v>
      </c>
      <c r="S1489" t="s">
        <v>15449</v>
      </c>
      <c r="T1489" t="s">
        <v>15450</v>
      </c>
      <c r="U1489" t="s">
        <v>15451</v>
      </c>
      <c r="V1489">
        <f>-679.398579800451 -6.91486362694468 -81.2968792346981</f>
        <v>-767.61032266209372</v>
      </c>
      <c r="W1489" t="s">
        <v>15452</v>
      </c>
      <c r="X1489" t="s">
        <v>15453</v>
      </c>
      <c r="Y1489" t="s">
        <v>15454</v>
      </c>
    </row>
    <row r="1490" spans="1:25" x14ac:dyDescent="0.3">
      <c r="A1490">
        <v>74450</v>
      </c>
      <c r="B1490" t="s">
        <v>15455</v>
      </c>
      <c r="C1490" t="s">
        <v>15456</v>
      </c>
      <c r="D1490" t="s">
        <v>15457</v>
      </c>
      <c r="E1490" t="s">
        <v>15458</v>
      </c>
      <c r="F1490" t="s">
        <v>15459</v>
      </c>
      <c r="G1490" t="s">
        <v>15460</v>
      </c>
      <c r="H1490" t="s">
        <v>15461</v>
      </c>
      <c r="I1490" t="s">
        <v>15462</v>
      </c>
      <c r="J1490" t="s">
        <v>15463</v>
      </c>
      <c r="K1490" t="s">
        <v>15464</v>
      </c>
      <c r="L1490" t="s">
        <v>15465</v>
      </c>
      <c r="M1490" t="s">
        <v>15466</v>
      </c>
      <c r="N1490" t="s">
        <v>15467</v>
      </c>
      <c r="O1490">
        <f>-673.352779942602 -96.8958672284768 -498.739197294629</f>
        <v>-1268.9878444657079</v>
      </c>
      <c r="P1490">
        <f>-713.91378235075 -112.287198286929 -207.690817827358</f>
        <v>-1033.891798465037</v>
      </c>
      <c r="Q1490">
        <f>-512.099826100786 -7.41639214992438 -287.215251330122</f>
        <v>-806.73146958083237</v>
      </c>
      <c r="R1490" t="s">
        <v>15468</v>
      </c>
      <c r="S1490" t="s">
        <v>15469</v>
      </c>
      <c r="T1490" t="s">
        <v>15470</v>
      </c>
      <c r="U1490" t="s">
        <v>15471</v>
      </c>
      <c r="V1490" t="s">
        <v>15472</v>
      </c>
      <c r="W1490" t="s">
        <v>15473</v>
      </c>
      <c r="X1490" t="s">
        <v>15474</v>
      </c>
      <c r="Y1490" t="s">
        <v>15475</v>
      </c>
    </row>
    <row r="1491" spans="1:25" x14ac:dyDescent="0.3">
      <c r="A1491">
        <v>74500</v>
      </c>
      <c r="B1491" t="s">
        <v>15476</v>
      </c>
      <c r="C1491" t="s">
        <v>15477</v>
      </c>
      <c r="D1491" t="s">
        <v>15478</v>
      </c>
      <c r="E1491" t="s">
        <v>15479</v>
      </c>
      <c r="F1491" t="s">
        <v>15480</v>
      </c>
      <c r="G1491" t="s">
        <v>15481</v>
      </c>
      <c r="H1491" t="s">
        <v>15482</v>
      </c>
      <c r="I1491" t="s">
        <v>15483</v>
      </c>
      <c r="J1491" t="s">
        <v>15484</v>
      </c>
      <c r="K1491" t="s">
        <v>15485</v>
      </c>
      <c r="L1491" t="s">
        <v>15486</v>
      </c>
      <c r="M1491" t="s">
        <v>15487</v>
      </c>
      <c r="N1491" t="s">
        <v>15488</v>
      </c>
      <c r="O1491">
        <f>-685.638272722462 -82.5419643974103 -500.847731445486</f>
        <v>-1269.0279685653584</v>
      </c>
      <c r="P1491">
        <f>-727.180156455686 -99.6329091892835 -210.032704563152</f>
        <v>-1036.8457702081214</v>
      </c>
      <c r="Q1491" t="s">
        <v>15489</v>
      </c>
      <c r="R1491" t="s">
        <v>15490</v>
      </c>
      <c r="S1491" t="s">
        <v>15491</v>
      </c>
      <c r="T1491" t="s">
        <v>15492</v>
      </c>
      <c r="U1491" t="s">
        <v>15493</v>
      </c>
      <c r="V1491" t="s">
        <v>15494</v>
      </c>
      <c r="W1491" t="s">
        <v>15495</v>
      </c>
      <c r="X1491" t="s">
        <v>15496</v>
      </c>
      <c r="Y1491" t="s">
        <v>15497</v>
      </c>
    </row>
    <row r="1492" spans="1:25" x14ac:dyDescent="0.3">
      <c r="A1492">
        <v>74550</v>
      </c>
      <c r="B1492" t="s">
        <v>15498</v>
      </c>
      <c r="C1492" t="s">
        <v>15499</v>
      </c>
      <c r="D1492" t="s">
        <v>15500</v>
      </c>
      <c r="E1492" t="s">
        <v>15501</v>
      </c>
      <c r="F1492" t="s">
        <v>15502</v>
      </c>
      <c r="G1492" t="s">
        <v>15503</v>
      </c>
      <c r="H1492" t="s">
        <v>15504</v>
      </c>
      <c r="I1492" t="s">
        <v>15505</v>
      </c>
      <c r="J1492" t="s">
        <v>15506</v>
      </c>
      <c r="K1492" t="s">
        <v>15507</v>
      </c>
      <c r="L1492" t="s">
        <v>15508</v>
      </c>
      <c r="M1492" t="s">
        <v>15509</v>
      </c>
      <c r="N1492" t="s">
        <v>15510</v>
      </c>
      <c r="O1492">
        <f>-691.791967997043 -74.2237427483913 -503.634209484646</f>
        <v>-1269.6499202300802</v>
      </c>
      <c r="P1492">
        <f>-733.171968347601 -91.8534316035887 -212.82830391532</f>
        <v>-1037.8537038665097</v>
      </c>
      <c r="Q1492" t="s">
        <v>15511</v>
      </c>
      <c r="R1492" t="s">
        <v>15512</v>
      </c>
      <c r="S1492" t="s">
        <v>15513</v>
      </c>
      <c r="T1492" t="s">
        <v>15514</v>
      </c>
      <c r="U1492" t="s">
        <v>15515</v>
      </c>
      <c r="V1492" t="s">
        <v>15516</v>
      </c>
      <c r="W1492" t="s">
        <v>15517</v>
      </c>
      <c r="X1492" t="s">
        <v>15518</v>
      </c>
      <c r="Y1492" t="s">
        <v>15519</v>
      </c>
    </row>
    <row r="1493" spans="1:25" x14ac:dyDescent="0.3">
      <c r="A1493">
        <v>74600</v>
      </c>
      <c r="B1493" t="s">
        <v>15520</v>
      </c>
      <c r="C1493" t="s">
        <v>15521</v>
      </c>
      <c r="D1493" t="s">
        <v>15522</v>
      </c>
      <c r="E1493" t="s">
        <v>15523</v>
      </c>
      <c r="F1493" t="s">
        <v>15524</v>
      </c>
      <c r="G1493" t="s">
        <v>15525</v>
      </c>
      <c r="H1493" t="s">
        <v>15526</v>
      </c>
      <c r="I1493" t="s">
        <v>15527</v>
      </c>
      <c r="J1493" t="s">
        <v>15528</v>
      </c>
      <c r="K1493" t="s">
        <v>15529</v>
      </c>
      <c r="L1493" t="s">
        <v>15530</v>
      </c>
      <c r="M1493" t="s">
        <v>15531</v>
      </c>
      <c r="N1493" t="s">
        <v>15532</v>
      </c>
      <c r="O1493">
        <f>-694.88040659659 -70.7360605492711 -506.509448709705</f>
        <v>-1272.1259158555661</v>
      </c>
      <c r="P1493">
        <f>-733.600028263532 -88.9042932166428 -215.370384007889</f>
        <v>-1037.8747054880637</v>
      </c>
      <c r="Q1493" t="s">
        <v>15533</v>
      </c>
      <c r="R1493" t="s">
        <v>15534</v>
      </c>
      <c r="S1493" t="s">
        <v>15535</v>
      </c>
      <c r="T1493" t="s">
        <v>15536</v>
      </c>
      <c r="U1493" t="s">
        <v>15537</v>
      </c>
      <c r="V1493" t="s">
        <v>15538</v>
      </c>
      <c r="W1493" t="s">
        <v>15539</v>
      </c>
      <c r="X1493" t="s">
        <v>15540</v>
      </c>
      <c r="Y1493" t="s">
        <v>15541</v>
      </c>
    </row>
    <row r="1494" spans="1:25" x14ac:dyDescent="0.3">
      <c r="A1494">
        <v>74650</v>
      </c>
      <c r="B1494" t="s">
        <v>15542</v>
      </c>
      <c r="C1494" t="s">
        <v>15543</v>
      </c>
      <c r="D1494" t="s">
        <v>15544</v>
      </c>
      <c r="E1494" t="s">
        <v>15545</v>
      </c>
      <c r="F1494" t="s">
        <v>15546</v>
      </c>
      <c r="G1494" t="s">
        <v>15547</v>
      </c>
      <c r="H1494" t="s">
        <v>15548</v>
      </c>
      <c r="I1494" t="s">
        <v>15549</v>
      </c>
      <c r="J1494" t="s">
        <v>15550</v>
      </c>
      <c r="K1494" t="s">
        <v>15551</v>
      </c>
      <c r="L1494" t="s">
        <v>15552</v>
      </c>
      <c r="M1494" t="s">
        <v>15553</v>
      </c>
      <c r="N1494" t="s">
        <v>15554</v>
      </c>
      <c r="O1494">
        <f>-695.57442142371 -70.9089557256425 -507.37021183288</f>
        <v>-1273.8535889822324</v>
      </c>
      <c r="P1494">
        <f>-732.825605872556 -88.802593181402 -216.022806516962</f>
        <v>-1037.65100557092</v>
      </c>
      <c r="Q1494" t="s">
        <v>15555</v>
      </c>
      <c r="R1494" t="s">
        <v>15556</v>
      </c>
      <c r="S1494" t="s">
        <v>15557</v>
      </c>
      <c r="T1494" t="s">
        <v>15558</v>
      </c>
      <c r="U1494" t="s">
        <v>15559</v>
      </c>
      <c r="V1494" t="s">
        <v>15560</v>
      </c>
      <c r="W1494" t="s">
        <v>15561</v>
      </c>
      <c r="X1494" t="s">
        <v>15562</v>
      </c>
      <c r="Y1494" t="s">
        <v>15563</v>
      </c>
    </row>
    <row r="1495" spans="1:25" x14ac:dyDescent="0.3">
      <c r="A1495">
        <v>74700</v>
      </c>
      <c r="B1495" t="s">
        <v>15564</v>
      </c>
      <c r="C1495" t="s">
        <v>15565</v>
      </c>
      <c r="D1495" t="s">
        <v>15566</v>
      </c>
      <c r="E1495" t="s">
        <v>15567</v>
      </c>
      <c r="F1495" t="s">
        <v>15568</v>
      </c>
      <c r="G1495" t="s">
        <v>15569</v>
      </c>
      <c r="H1495" t="s">
        <v>15570</v>
      </c>
      <c r="I1495" t="s">
        <v>15571</v>
      </c>
      <c r="J1495" t="s">
        <v>15572</v>
      </c>
      <c r="K1495" t="s">
        <v>15573</v>
      </c>
      <c r="L1495" t="s">
        <v>15574</v>
      </c>
      <c r="M1495" t="s">
        <v>15575</v>
      </c>
      <c r="N1495" t="s">
        <v>15576</v>
      </c>
      <c r="O1495">
        <f>-698.859512179899 -69.7998604005327 -509.662098332378</f>
        <v>-1278.3214709128097</v>
      </c>
      <c r="P1495">
        <f>-733.146392974033 -87.7137564146346 -217.95214618323</f>
        <v>-1038.8122955718977</v>
      </c>
      <c r="Q1495" t="s">
        <v>15577</v>
      </c>
      <c r="R1495" t="s">
        <v>15578</v>
      </c>
      <c r="S1495" t="s">
        <v>15579</v>
      </c>
      <c r="T1495" t="s">
        <v>15580</v>
      </c>
      <c r="U1495" t="s">
        <v>15581</v>
      </c>
      <c r="V1495" t="s">
        <v>15582</v>
      </c>
      <c r="W1495" t="s">
        <v>15583</v>
      </c>
      <c r="X1495" t="s">
        <v>15584</v>
      </c>
      <c r="Y1495" t="s">
        <v>15585</v>
      </c>
    </row>
    <row r="1496" spans="1:25" x14ac:dyDescent="0.3">
      <c r="A1496">
        <v>74750</v>
      </c>
      <c r="B1496" t="s">
        <v>15586</v>
      </c>
      <c r="C1496" t="s">
        <v>15587</v>
      </c>
      <c r="D1496" t="s">
        <v>15588</v>
      </c>
      <c r="E1496" t="s">
        <v>15589</v>
      </c>
      <c r="F1496" t="s">
        <v>15590</v>
      </c>
      <c r="G1496" t="s">
        <v>15591</v>
      </c>
      <c r="H1496" t="s">
        <v>15592</v>
      </c>
      <c r="I1496" t="s">
        <v>15593</v>
      </c>
      <c r="J1496" t="s">
        <v>15594</v>
      </c>
      <c r="K1496" t="s">
        <v>15595</v>
      </c>
      <c r="L1496" t="s">
        <v>15596</v>
      </c>
      <c r="M1496" t="s">
        <v>15597</v>
      </c>
      <c r="N1496" t="s">
        <v>15598</v>
      </c>
      <c r="O1496">
        <f>-700.244017852327 -69.4160702651859 -510.630350909749</f>
        <v>-1280.290439027262</v>
      </c>
      <c r="P1496">
        <f>-733.546664542782 -86.6986433400111 -218.768359052027</f>
        <v>-1039.0136669348201</v>
      </c>
      <c r="Q1496" t="s">
        <v>15599</v>
      </c>
      <c r="R1496" t="s">
        <v>15600</v>
      </c>
      <c r="S1496" t="s">
        <v>15601</v>
      </c>
      <c r="T1496" t="s">
        <v>15602</v>
      </c>
      <c r="U1496" t="s">
        <v>15603</v>
      </c>
      <c r="V1496" t="s">
        <v>15604</v>
      </c>
      <c r="W1496" t="s">
        <v>15605</v>
      </c>
      <c r="X1496" t="s">
        <v>15606</v>
      </c>
      <c r="Y1496" t="s">
        <v>15607</v>
      </c>
    </row>
    <row r="1497" spans="1:25" x14ac:dyDescent="0.3">
      <c r="A1497">
        <v>74800</v>
      </c>
      <c r="B1497" t="s">
        <v>15608</v>
      </c>
      <c r="C1497" t="s">
        <v>15609</v>
      </c>
      <c r="D1497" t="s">
        <v>15610</v>
      </c>
      <c r="E1497" t="s">
        <v>15611</v>
      </c>
      <c r="F1497" t="s">
        <v>15612</v>
      </c>
      <c r="G1497" t="s">
        <v>15613</v>
      </c>
      <c r="H1497" t="s">
        <v>15614</v>
      </c>
      <c r="I1497" t="s">
        <v>15615</v>
      </c>
      <c r="J1497" t="s">
        <v>15616</v>
      </c>
      <c r="K1497" t="s">
        <v>15617</v>
      </c>
      <c r="L1497" t="s">
        <v>15618</v>
      </c>
      <c r="M1497" t="s">
        <v>15619</v>
      </c>
      <c r="N1497" t="s">
        <v>15620</v>
      </c>
      <c r="O1497">
        <f>-702.338304946454 -68.3650737337828 -513.034759968109</f>
        <v>-1283.7381386483457</v>
      </c>
      <c r="P1497">
        <f>-733.64024517327 -84.3499483147643 -220.877513034433</f>
        <v>-1038.8677065224674</v>
      </c>
      <c r="Q1497" t="s">
        <v>15621</v>
      </c>
      <c r="R1497" t="s">
        <v>15622</v>
      </c>
      <c r="S1497" t="s">
        <v>15623</v>
      </c>
      <c r="T1497" t="s">
        <v>15624</v>
      </c>
      <c r="U1497" t="s">
        <v>15625</v>
      </c>
      <c r="V1497" t="s">
        <v>15626</v>
      </c>
      <c r="W1497" t="s">
        <v>15627</v>
      </c>
      <c r="X1497" t="s">
        <v>15628</v>
      </c>
      <c r="Y1497" t="s">
        <v>15629</v>
      </c>
    </row>
    <row r="1498" spans="1:25" x14ac:dyDescent="0.3">
      <c r="A1498">
        <v>74850</v>
      </c>
      <c r="B1498" t="s">
        <v>15630</v>
      </c>
      <c r="C1498" t="s">
        <v>15631</v>
      </c>
      <c r="D1498" t="s">
        <v>15632</v>
      </c>
      <c r="E1498" t="s">
        <v>15633</v>
      </c>
      <c r="F1498" t="s">
        <v>15634</v>
      </c>
      <c r="G1498" t="s">
        <v>15635</v>
      </c>
      <c r="H1498" t="s">
        <v>15636</v>
      </c>
      <c r="I1498" t="s">
        <v>15637</v>
      </c>
      <c r="J1498" t="s">
        <v>15638</v>
      </c>
      <c r="K1498" t="s">
        <v>15639</v>
      </c>
      <c r="L1498" t="s">
        <v>15640</v>
      </c>
      <c r="M1498" t="s">
        <v>15641</v>
      </c>
      <c r="N1498" t="s">
        <v>15642</v>
      </c>
      <c r="O1498">
        <f>-702.053253204659 -67.5855468708824 -513.967524386294</f>
        <v>-1283.6063244618354</v>
      </c>
      <c r="P1498">
        <f>-732.302012081451 -82.7991105614251 -221.658077469782</f>
        <v>-1036.7592001126582</v>
      </c>
      <c r="Q1498" t="s">
        <v>15643</v>
      </c>
      <c r="R1498" t="s">
        <v>15644</v>
      </c>
      <c r="S1498" t="s">
        <v>15645</v>
      </c>
      <c r="T1498" t="s">
        <v>15646</v>
      </c>
      <c r="U1498" t="s">
        <v>15647</v>
      </c>
      <c r="V1498" t="s">
        <v>15648</v>
      </c>
      <c r="W1498" t="s">
        <v>15649</v>
      </c>
      <c r="X1498" t="s">
        <v>15650</v>
      </c>
      <c r="Y1498" t="s">
        <v>15651</v>
      </c>
    </row>
    <row r="1499" spans="1:25" x14ac:dyDescent="0.3">
      <c r="A1499">
        <v>74900</v>
      </c>
      <c r="B1499" t="s">
        <v>15652</v>
      </c>
      <c r="C1499" t="s">
        <v>15653</v>
      </c>
      <c r="D1499" t="s">
        <v>15654</v>
      </c>
      <c r="E1499" t="s">
        <v>15655</v>
      </c>
      <c r="F1499" t="s">
        <v>15656</v>
      </c>
      <c r="G1499" t="s">
        <v>15657</v>
      </c>
      <c r="H1499" t="s">
        <v>15658</v>
      </c>
      <c r="I1499" t="s">
        <v>15659</v>
      </c>
      <c r="J1499" t="s">
        <v>15660</v>
      </c>
      <c r="K1499" t="s">
        <v>15661</v>
      </c>
      <c r="L1499" t="s">
        <v>15662</v>
      </c>
      <c r="M1499" t="s">
        <v>15663</v>
      </c>
      <c r="N1499" t="s">
        <v>15664</v>
      </c>
      <c r="O1499">
        <f>-700.807353212551 -69.8783038983379 -515.57667630444</f>
        <v>-1286.2623334153288</v>
      </c>
      <c r="P1499">
        <f>-728.347509952507 -84.5658694154758 -222.972861606824</f>
        <v>-1035.8862409748069</v>
      </c>
      <c r="Q1499" t="s">
        <v>15665</v>
      </c>
      <c r="R1499" t="s">
        <v>15666</v>
      </c>
      <c r="S1499" t="s">
        <v>15667</v>
      </c>
      <c r="T1499" t="s">
        <v>15668</v>
      </c>
      <c r="U1499" t="s">
        <v>15669</v>
      </c>
      <c r="V1499" t="s">
        <v>15670</v>
      </c>
      <c r="W1499" t="s">
        <v>15671</v>
      </c>
      <c r="X1499" t="s">
        <v>15672</v>
      </c>
      <c r="Y1499" t="s">
        <v>15673</v>
      </c>
    </row>
    <row r="1500" spans="1:25" x14ac:dyDescent="0.3">
      <c r="A1500">
        <v>74950</v>
      </c>
      <c r="B1500" t="s">
        <v>15674</v>
      </c>
      <c r="C1500" t="s">
        <v>15675</v>
      </c>
      <c r="D1500" t="s">
        <v>15676</v>
      </c>
      <c r="E1500" t="s">
        <v>15677</v>
      </c>
      <c r="F1500" t="s">
        <v>15678</v>
      </c>
      <c r="G1500" t="s">
        <v>15679</v>
      </c>
      <c r="H1500" t="s">
        <v>15680</v>
      </c>
      <c r="I1500" t="s">
        <v>15681</v>
      </c>
      <c r="J1500" t="s">
        <v>15682</v>
      </c>
      <c r="K1500" t="s">
        <v>15683</v>
      </c>
      <c r="L1500" t="s">
        <v>15684</v>
      </c>
      <c r="M1500" t="s">
        <v>15685</v>
      </c>
      <c r="N1500" t="s">
        <v>15686</v>
      </c>
      <c r="O1500">
        <f>-700.500360101581 -72.3445044027249 -516.274946701397</f>
        <v>-1289.1198112057027</v>
      </c>
      <c r="P1500">
        <f>-727.014489990016 -87.5242323660373 -223.601500568069</f>
        <v>-1038.1402229241223</v>
      </c>
      <c r="Q1500" t="s">
        <v>15687</v>
      </c>
      <c r="R1500" t="s">
        <v>15688</v>
      </c>
      <c r="S1500" t="s">
        <v>15689</v>
      </c>
      <c r="T1500" t="s">
        <v>15690</v>
      </c>
      <c r="U1500" t="s">
        <v>15691</v>
      </c>
      <c r="V1500" t="s">
        <v>15692</v>
      </c>
      <c r="W1500" t="s">
        <v>15693</v>
      </c>
      <c r="X1500" t="s">
        <v>15694</v>
      </c>
      <c r="Y1500" t="s">
        <v>15695</v>
      </c>
    </row>
    <row r="1501" spans="1:25" x14ac:dyDescent="0.3">
      <c r="A1501">
        <v>75000</v>
      </c>
      <c r="B1501" t="s">
        <v>15696</v>
      </c>
      <c r="C1501" t="s">
        <v>15697</v>
      </c>
      <c r="D1501" t="s">
        <v>15698</v>
      </c>
      <c r="E1501" t="s">
        <v>15699</v>
      </c>
      <c r="F1501" t="s">
        <v>15700</v>
      </c>
      <c r="G1501" t="s">
        <v>15701</v>
      </c>
      <c r="H1501" t="s">
        <v>15702</v>
      </c>
      <c r="I1501" t="s">
        <v>15703</v>
      </c>
      <c r="J1501" t="s">
        <v>15704</v>
      </c>
      <c r="K1501" t="s">
        <v>15705</v>
      </c>
      <c r="L1501" t="s">
        <v>15706</v>
      </c>
      <c r="M1501" t="s">
        <v>15707</v>
      </c>
      <c r="N1501" t="s">
        <v>15708</v>
      </c>
      <c r="O1501">
        <f>-701.038024030694 -76.9437788906282 -517.29116203401</f>
        <v>-1295.2729649553321</v>
      </c>
      <c r="P1501">
        <f>-725.770093722986 -92.87798966931 -224.501753956239</f>
        <v>-1043.1498373485349</v>
      </c>
      <c r="Q1501" t="s">
        <v>15709</v>
      </c>
      <c r="R1501" t="s">
        <v>15710</v>
      </c>
      <c r="S1501" t="s">
        <v>15711</v>
      </c>
      <c r="T1501" t="s">
        <v>15712</v>
      </c>
      <c r="U1501" t="s">
        <v>15713</v>
      </c>
      <c r="V1501" t="s">
        <v>15714</v>
      </c>
      <c r="W1501" t="s">
        <v>15715</v>
      </c>
      <c r="X1501" t="s">
        <v>15716</v>
      </c>
      <c r="Y1501" t="s">
        <v>15717</v>
      </c>
    </row>
    <row r="1502" spans="1:25" x14ac:dyDescent="0.3">
      <c r="A1502">
        <v>75050</v>
      </c>
      <c r="B1502" t="s">
        <v>15718</v>
      </c>
      <c r="C1502" t="s">
        <v>15719</v>
      </c>
      <c r="D1502" t="s">
        <v>15720</v>
      </c>
      <c r="E1502" t="s">
        <v>15721</v>
      </c>
      <c r="F1502" t="s">
        <v>15722</v>
      </c>
      <c r="G1502" t="s">
        <v>15723</v>
      </c>
      <c r="H1502" t="s">
        <v>15724</v>
      </c>
      <c r="I1502" t="s">
        <v>15725</v>
      </c>
      <c r="J1502" t="s">
        <v>15726</v>
      </c>
      <c r="K1502" t="s">
        <v>15727</v>
      </c>
      <c r="L1502" t="s">
        <v>15728</v>
      </c>
      <c r="M1502" t="s">
        <v>15729</v>
      </c>
      <c r="N1502" t="s">
        <v>15730</v>
      </c>
      <c r="O1502">
        <f>-701.31339866192 -78.8314017229693 -517.561193692766</f>
        <v>-1297.7059940776553</v>
      </c>
      <c r="P1502">
        <f>-725.293981885138 -94.9916550583935 -224.721661145732</f>
        <v>-1045.0072980892635</v>
      </c>
      <c r="Q1502" t="s">
        <v>15731</v>
      </c>
      <c r="R1502" t="s">
        <v>15732</v>
      </c>
      <c r="S1502" t="s">
        <v>15733</v>
      </c>
      <c r="T1502" t="s">
        <v>15734</v>
      </c>
      <c r="U1502" t="s">
        <v>15735</v>
      </c>
      <c r="V1502" t="s">
        <v>15736</v>
      </c>
      <c r="W1502" t="s">
        <v>15737</v>
      </c>
      <c r="X1502" t="s">
        <v>15738</v>
      </c>
      <c r="Y1502" t="s">
        <v>15739</v>
      </c>
    </row>
    <row r="1503" spans="1:25" x14ac:dyDescent="0.3">
      <c r="A1503">
        <v>75100</v>
      </c>
      <c r="B1503" t="s">
        <v>15740</v>
      </c>
      <c r="C1503" t="s">
        <v>15741</v>
      </c>
      <c r="D1503" t="s">
        <v>15742</v>
      </c>
      <c r="E1503" t="s">
        <v>15743</v>
      </c>
      <c r="F1503" t="s">
        <v>15744</v>
      </c>
      <c r="G1503" t="s">
        <v>15745</v>
      </c>
      <c r="H1503" t="s">
        <v>15746</v>
      </c>
      <c r="I1503" t="s">
        <v>15747</v>
      </c>
      <c r="J1503" t="s">
        <v>15748</v>
      </c>
      <c r="K1503" t="s">
        <v>15749</v>
      </c>
      <c r="L1503" t="s">
        <v>15750</v>
      </c>
      <c r="M1503" t="s">
        <v>15751</v>
      </c>
      <c r="N1503" t="s">
        <v>15752</v>
      </c>
      <c r="O1503">
        <f>-701.856793954324 -80.7871363056167 -517.876767163539</f>
        <v>-1300.5206974234798</v>
      </c>
      <c r="P1503">
        <f>-725.906957788243 -96.1299106158672 -224.99892297467</f>
        <v>-1047.0357913787802</v>
      </c>
      <c r="Q1503" t="s">
        <v>15753</v>
      </c>
      <c r="R1503" t="s">
        <v>15754</v>
      </c>
      <c r="S1503" t="s">
        <v>15755</v>
      </c>
      <c r="T1503" t="s">
        <v>15756</v>
      </c>
      <c r="U1503" t="s">
        <v>15757</v>
      </c>
      <c r="V1503" t="s">
        <v>15758</v>
      </c>
      <c r="W1503" t="s">
        <v>15759</v>
      </c>
      <c r="X1503" t="s">
        <v>15760</v>
      </c>
      <c r="Y1503" t="s">
        <v>15761</v>
      </c>
    </row>
    <row r="1504" spans="1:25" x14ac:dyDescent="0.3">
      <c r="A1504">
        <v>75150</v>
      </c>
      <c r="B1504" t="s">
        <v>15762</v>
      </c>
      <c r="C1504" t="s">
        <v>15763</v>
      </c>
      <c r="D1504" t="s">
        <v>15764</v>
      </c>
      <c r="E1504" t="s">
        <v>15765</v>
      </c>
      <c r="F1504" t="s">
        <v>15766</v>
      </c>
      <c r="G1504" t="s">
        <v>15767</v>
      </c>
      <c r="H1504" t="s">
        <v>15768</v>
      </c>
      <c r="I1504" t="s">
        <v>15769</v>
      </c>
      <c r="J1504" t="s">
        <v>15770</v>
      </c>
      <c r="K1504" t="s">
        <v>15771</v>
      </c>
      <c r="L1504" t="s">
        <v>15772</v>
      </c>
      <c r="M1504" t="s">
        <v>15773</v>
      </c>
      <c r="N1504" t="s">
        <v>15774</v>
      </c>
      <c r="O1504">
        <f>-702.559502007533 -81.4979493637741 -517.889108721144</f>
        <v>-1301.9465600924509</v>
      </c>
      <c r="P1504">
        <f>-726.743080503188 -96.2365432604913 -224.991295505181</f>
        <v>-1047.9709192688604</v>
      </c>
      <c r="Q1504" t="s">
        <v>15775</v>
      </c>
      <c r="R1504" t="s">
        <v>15776</v>
      </c>
      <c r="S1504" t="s">
        <v>15777</v>
      </c>
      <c r="T1504" t="s">
        <v>15778</v>
      </c>
      <c r="U1504" t="s">
        <v>15779</v>
      </c>
      <c r="V1504" t="s">
        <v>15780</v>
      </c>
      <c r="W1504" t="s">
        <v>15781</v>
      </c>
      <c r="X1504" t="s">
        <v>15782</v>
      </c>
      <c r="Y1504" t="s">
        <v>15783</v>
      </c>
    </row>
    <row r="1505" spans="1:25" x14ac:dyDescent="0.3">
      <c r="A1505">
        <v>75200</v>
      </c>
      <c r="B1505" t="s">
        <v>15784</v>
      </c>
      <c r="C1505" t="s">
        <v>15785</v>
      </c>
      <c r="D1505" t="s">
        <v>15786</v>
      </c>
      <c r="E1505" t="s">
        <v>15787</v>
      </c>
      <c r="F1505" t="s">
        <v>15788</v>
      </c>
      <c r="G1505" t="s">
        <v>15789</v>
      </c>
      <c r="H1505" t="s">
        <v>15790</v>
      </c>
      <c r="I1505" t="s">
        <v>15791</v>
      </c>
      <c r="J1505" t="s">
        <v>15792</v>
      </c>
      <c r="K1505" t="s">
        <v>15793</v>
      </c>
      <c r="L1505" t="s">
        <v>15794</v>
      </c>
      <c r="M1505" t="s">
        <v>15795</v>
      </c>
      <c r="N1505" t="s">
        <v>15796</v>
      </c>
      <c r="O1505">
        <f>-704.077837254602 -82.9632197457302 -517.474426688724</f>
        <v>-1304.5154836890561</v>
      </c>
      <c r="P1505">
        <f>-728.3534243993 -96.8236258205009 -224.541443798525</f>
        <v>-1049.7184940183258</v>
      </c>
      <c r="Q1505" t="s">
        <v>15797</v>
      </c>
      <c r="R1505" t="s">
        <v>15798</v>
      </c>
      <c r="S1505" t="s">
        <v>15799</v>
      </c>
      <c r="T1505" t="s">
        <v>15800</v>
      </c>
      <c r="U1505" t="s">
        <v>15801</v>
      </c>
      <c r="V1505" t="s">
        <v>15802</v>
      </c>
      <c r="W1505" t="s">
        <v>15803</v>
      </c>
      <c r="X1505" t="s">
        <v>15804</v>
      </c>
      <c r="Y1505" t="s">
        <v>15805</v>
      </c>
    </row>
    <row r="1506" spans="1:25" x14ac:dyDescent="0.3">
      <c r="A1506">
        <v>75250</v>
      </c>
      <c r="B1506" t="s">
        <v>15806</v>
      </c>
      <c r="C1506" t="s">
        <v>15807</v>
      </c>
      <c r="D1506" t="s">
        <v>15808</v>
      </c>
      <c r="E1506" t="s">
        <v>15809</v>
      </c>
      <c r="F1506" t="s">
        <v>15810</v>
      </c>
      <c r="G1506" t="s">
        <v>15811</v>
      </c>
      <c r="H1506" t="s">
        <v>15812</v>
      </c>
      <c r="I1506" t="s">
        <v>15813</v>
      </c>
      <c r="J1506" t="s">
        <v>15814</v>
      </c>
      <c r="K1506" t="s">
        <v>15815</v>
      </c>
      <c r="L1506" t="s">
        <v>15816</v>
      </c>
      <c r="M1506" t="s">
        <v>15817</v>
      </c>
      <c r="N1506" t="s">
        <v>15818</v>
      </c>
      <c r="O1506">
        <f>-704.792807621769 -83.2160787787116 -517.063531962387</f>
        <v>-1305.0724183628677</v>
      </c>
      <c r="P1506">
        <f>-728.697001953566 -96.8125164364826 -224.087535937245</f>
        <v>-1049.5970543272936</v>
      </c>
      <c r="Q1506" t="s">
        <v>15819</v>
      </c>
      <c r="R1506" t="s">
        <v>15820</v>
      </c>
      <c r="S1506" t="s">
        <v>15821</v>
      </c>
      <c r="T1506" t="s">
        <v>15822</v>
      </c>
      <c r="U1506" t="s">
        <v>15823</v>
      </c>
      <c r="V1506" t="s">
        <v>15824</v>
      </c>
      <c r="W1506" t="s">
        <v>15825</v>
      </c>
      <c r="X1506" t="s">
        <v>15826</v>
      </c>
      <c r="Y1506" t="s">
        <v>15827</v>
      </c>
    </row>
    <row r="1507" spans="1:25" x14ac:dyDescent="0.3">
      <c r="A1507">
        <v>75300</v>
      </c>
      <c r="B1507" t="s">
        <v>15828</v>
      </c>
      <c r="C1507" t="s">
        <v>15829</v>
      </c>
      <c r="D1507" t="s">
        <v>15830</v>
      </c>
      <c r="E1507" t="s">
        <v>15831</v>
      </c>
      <c r="F1507" t="s">
        <v>15832</v>
      </c>
      <c r="G1507" t="s">
        <v>15833</v>
      </c>
      <c r="H1507" t="s">
        <v>15834</v>
      </c>
      <c r="I1507" t="s">
        <v>15835</v>
      </c>
      <c r="J1507" t="s">
        <v>15836</v>
      </c>
      <c r="K1507" t="s">
        <v>15837</v>
      </c>
      <c r="L1507" t="s">
        <v>15838</v>
      </c>
      <c r="M1507" t="s">
        <v>15839</v>
      </c>
      <c r="N1507" t="s">
        <v>15840</v>
      </c>
      <c r="O1507">
        <f>-705.86210678165 -83.8464151442281 -516.273172440302</f>
        <v>-1305.9816943661801</v>
      </c>
      <c r="P1507">
        <f>-728.750160489695 -97.4046749328268 -223.214243901793</f>
        <v>-1049.3690793243147</v>
      </c>
      <c r="Q1507" t="s">
        <v>15841</v>
      </c>
      <c r="R1507" t="s">
        <v>15842</v>
      </c>
      <c r="S1507" t="s">
        <v>15843</v>
      </c>
      <c r="T1507" t="s">
        <v>15844</v>
      </c>
      <c r="U1507" t="s">
        <v>15845</v>
      </c>
      <c r="V1507" t="s">
        <v>15846</v>
      </c>
      <c r="W1507" t="s">
        <v>15847</v>
      </c>
      <c r="X1507" t="s">
        <v>15848</v>
      </c>
      <c r="Y1507" t="s">
        <v>15849</v>
      </c>
    </row>
    <row r="1508" spans="1:25" x14ac:dyDescent="0.3">
      <c r="A1508">
        <v>75350</v>
      </c>
      <c r="B1508" t="s">
        <v>15850</v>
      </c>
      <c r="C1508" t="s">
        <v>15851</v>
      </c>
      <c r="D1508" t="s">
        <v>15852</v>
      </c>
      <c r="E1508" t="s">
        <v>15853</v>
      </c>
      <c r="F1508" t="s">
        <v>15854</v>
      </c>
      <c r="G1508" t="s">
        <v>15855</v>
      </c>
      <c r="H1508" t="s">
        <v>15856</v>
      </c>
      <c r="I1508" t="s">
        <v>15857</v>
      </c>
      <c r="J1508" t="s">
        <v>15858</v>
      </c>
      <c r="K1508" t="s">
        <v>15859</v>
      </c>
      <c r="L1508" t="s">
        <v>15860</v>
      </c>
      <c r="M1508" t="s">
        <v>15861</v>
      </c>
      <c r="N1508" t="s">
        <v>15862</v>
      </c>
      <c r="O1508">
        <f>-706.091569583183 -84.2615108565351 -515.960930989197</f>
        <v>-1306.3140114289149</v>
      </c>
      <c r="P1508">
        <f>-728.73531421338 -97.7552109130634 -222.879981616343</f>
        <v>-1049.3705067427863</v>
      </c>
      <c r="Q1508" t="s">
        <v>15863</v>
      </c>
      <c r="R1508" t="s">
        <v>15864</v>
      </c>
      <c r="S1508" t="s">
        <v>15865</v>
      </c>
      <c r="T1508" t="s">
        <v>15866</v>
      </c>
      <c r="U1508" t="s">
        <v>15867</v>
      </c>
      <c r="V1508" t="s">
        <v>15868</v>
      </c>
      <c r="W1508" t="s">
        <v>15869</v>
      </c>
      <c r="X1508" t="s">
        <v>15870</v>
      </c>
      <c r="Y1508" t="s">
        <v>15871</v>
      </c>
    </row>
    <row r="1509" spans="1:25" x14ac:dyDescent="0.3">
      <c r="A1509">
        <v>75400</v>
      </c>
      <c r="B1509" t="s">
        <v>15872</v>
      </c>
      <c r="C1509" t="s">
        <v>15873</v>
      </c>
      <c r="D1509" t="s">
        <v>15874</v>
      </c>
      <c r="E1509" t="s">
        <v>15875</v>
      </c>
      <c r="F1509" t="s">
        <v>15876</v>
      </c>
      <c r="G1509" t="s">
        <v>15877</v>
      </c>
      <c r="H1509" t="s">
        <v>15878</v>
      </c>
      <c r="I1509" t="s">
        <v>15879</v>
      </c>
      <c r="J1509" t="s">
        <v>15880</v>
      </c>
      <c r="K1509" t="s">
        <v>15881</v>
      </c>
      <c r="L1509" t="s">
        <v>15882</v>
      </c>
      <c r="M1509" t="s">
        <v>15883</v>
      </c>
      <c r="N1509" t="s">
        <v>15884</v>
      </c>
      <c r="O1509">
        <f>-706.462381282591 -84.7957326582684 -515.289693675616</f>
        <v>-1306.5478076164754</v>
      </c>
      <c r="P1509">
        <f>-728.33066422705 -98.065825903451 -222.139767049396</f>
        <v>-1048.5362571798969</v>
      </c>
      <c r="Q1509" t="s">
        <v>15885</v>
      </c>
      <c r="R1509" t="s">
        <v>15886</v>
      </c>
      <c r="S1509" t="s">
        <v>15887</v>
      </c>
      <c r="T1509" t="s">
        <v>15888</v>
      </c>
      <c r="U1509" t="s">
        <v>15889</v>
      </c>
      <c r="V1509" t="s">
        <v>15890</v>
      </c>
      <c r="W1509" t="s">
        <v>15891</v>
      </c>
      <c r="X1509" t="s">
        <v>15892</v>
      </c>
      <c r="Y1509" t="s">
        <v>15893</v>
      </c>
    </row>
    <row r="1510" spans="1:25" x14ac:dyDescent="0.3">
      <c r="A1510">
        <v>75450</v>
      </c>
      <c r="B1510" t="s">
        <v>15894</v>
      </c>
      <c r="C1510" t="s">
        <v>15895</v>
      </c>
      <c r="D1510" t="s">
        <v>15896</v>
      </c>
      <c r="E1510" t="s">
        <v>15897</v>
      </c>
      <c r="F1510" t="s">
        <v>15898</v>
      </c>
      <c r="G1510" t="s">
        <v>15899</v>
      </c>
      <c r="H1510" t="s">
        <v>15900</v>
      </c>
      <c r="I1510" t="s">
        <v>15901</v>
      </c>
      <c r="J1510" t="s">
        <v>15902</v>
      </c>
      <c r="K1510" t="s">
        <v>15903</v>
      </c>
      <c r="L1510" t="s">
        <v>15904</v>
      </c>
      <c r="M1510" t="s">
        <v>15905</v>
      </c>
      <c r="N1510" t="s">
        <v>15906</v>
      </c>
      <c r="O1510">
        <f>-706.814902692758 -85.3883283157586 -514.920190985009</f>
        <v>-1307.1234219935254</v>
      </c>
      <c r="P1510">
        <f>-728.248902657188 -98.4206601242124 -221.727464999256</f>
        <v>-1048.3970277806563</v>
      </c>
      <c r="Q1510" t="s">
        <v>15907</v>
      </c>
      <c r="R1510" t="s">
        <v>15908</v>
      </c>
      <c r="S1510" t="s">
        <v>15909</v>
      </c>
      <c r="T1510" t="s">
        <v>15910</v>
      </c>
      <c r="U1510" t="s">
        <v>15911</v>
      </c>
      <c r="V1510" t="s">
        <v>15912</v>
      </c>
      <c r="W1510" t="s">
        <v>15913</v>
      </c>
      <c r="X1510" t="s">
        <v>15914</v>
      </c>
      <c r="Y1510" t="s">
        <v>15915</v>
      </c>
    </row>
    <row r="1511" spans="1:25" x14ac:dyDescent="0.3">
      <c r="A1511">
        <v>75500</v>
      </c>
      <c r="B1511" t="s">
        <v>15916</v>
      </c>
      <c r="C1511" t="s">
        <v>15917</v>
      </c>
      <c r="D1511" t="s">
        <v>15918</v>
      </c>
      <c r="E1511" t="s">
        <v>15919</v>
      </c>
      <c r="F1511" t="s">
        <v>15920</v>
      </c>
      <c r="G1511" t="s">
        <v>15921</v>
      </c>
      <c r="H1511" t="s">
        <v>15922</v>
      </c>
      <c r="I1511" t="s">
        <v>15923</v>
      </c>
      <c r="J1511" t="s">
        <v>15924</v>
      </c>
      <c r="K1511" t="s">
        <v>15925</v>
      </c>
      <c r="L1511" t="s">
        <v>15926</v>
      </c>
      <c r="M1511" t="s">
        <v>15927</v>
      </c>
      <c r="N1511" t="s">
        <v>15928</v>
      </c>
      <c r="O1511">
        <f>-707.644112388535 -86.6123139685301 -514.281097827761</f>
        <v>-1308.537524184826</v>
      </c>
      <c r="P1511">
        <f>-728.245433261256 -98.3611989611668 -220.97444696911</f>
        <v>-1047.5810791915328</v>
      </c>
      <c r="Q1511" t="s">
        <v>15929</v>
      </c>
      <c r="R1511" t="s">
        <v>15930</v>
      </c>
      <c r="S1511" t="s">
        <v>15931</v>
      </c>
      <c r="T1511" t="s">
        <v>15932</v>
      </c>
      <c r="U1511" t="s">
        <v>15933</v>
      </c>
      <c r="V1511" t="s">
        <v>15934</v>
      </c>
      <c r="W1511" t="s">
        <v>15935</v>
      </c>
      <c r="X1511" t="s">
        <v>15936</v>
      </c>
      <c r="Y1511" t="s">
        <v>15937</v>
      </c>
    </row>
    <row r="1512" spans="1:25" x14ac:dyDescent="0.3">
      <c r="A1512">
        <v>75550</v>
      </c>
      <c r="B1512" t="s">
        <v>15938</v>
      </c>
      <c r="C1512" t="s">
        <v>15939</v>
      </c>
      <c r="D1512" t="s">
        <v>15940</v>
      </c>
      <c r="E1512" t="s">
        <v>15941</v>
      </c>
      <c r="F1512" t="s">
        <v>15942</v>
      </c>
      <c r="G1512" t="s">
        <v>15943</v>
      </c>
      <c r="H1512" t="s">
        <v>15944</v>
      </c>
      <c r="I1512" t="s">
        <v>15945</v>
      </c>
      <c r="J1512" t="s">
        <v>15946</v>
      </c>
      <c r="K1512" t="s">
        <v>15947</v>
      </c>
      <c r="L1512" t="s">
        <v>15948</v>
      </c>
      <c r="M1512" t="s">
        <v>15949</v>
      </c>
      <c r="N1512" t="s">
        <v>15950</v>
      </c>
      <c r="O1512">
        <f>-707.750148057753 -87.2481868275106 -514.00761062719</f>
        <v>-1309.0059455124538</v>
      </c>
      <c r="P1512">
        <f>-728.091861091427 -98.4218580810552 -220.660294781803</f>
        <v>-1047.1740139542851</v>
      </c>
      <c r="Q1512" t="s">
        <v>15951</v>
      </c>
      <c r="R1512" t="s">
        <v>15952</v>
      </c>
      <c r="S1512" t="s">
        <v>15953</v>
      </c>
      <c r="T1512" t="s">
        <v>15954</v>
      </c>
      <c r="U1512" t="s">
        <v>15955</v>
      </c>
      <c r="V1512" t="s">
        <v>15956</v>
      </c>
      <c r="W1512" t="s">
        <v>15957</v>
      </c>
      <c r="X1512" t="s">
        <v>15958</v>
      </c>
      <c r="Y1512" t="s">
        <v>15959</v>
      </c>
    </row>
    <row r="1513" spans="1:25" x14ac:dyDescent="0.3">
      <c r="A1513">
        <v>75600</v>
      </c>
      <c r="B1513" t="s">
        <v>15960</v>
      </c>
      <c r="C1513" t="s">
        <v>15961</v>
      </c>
      <c r="D1513" t="s">
        <v>15962</v>
      </c>
      <c r="E1513" t="s">
        <v>15963</v>
      </c>
      <c r="F1513" t="s">
        <v>15964</v>
      </c>
      <c r="G1513" t="s">
        <v>15965</v>
      </c>
      <c r="H1513" t="s">
        <v>15966</v>
      </c>
      <c r="I1513" t="s">
        <v>15967</v>
      </c>
      <c r="J1513" t="s">
        <v>15968</v>
      </c>
      <c r="K1513" t="s">
        <v>15969</v>
      </c>
      <c r="L1513" t="s">
        <v>15970</v>
      </c>
      <c r="M1513" t="s">
        <v>15971</v>
      </c>
      <c r="N1513" t="s">
        <v>15972</v>
      </c>
      <c r="O1513">
        <f>-707.156710798072 -88.2008808581272 -513.535547239121</f>
        <v>-1308.8931388953201</v>
      </c>
      <c r="P1513">
        <f>-727.251871105184 -98.6840811368079 -220.145769753048</f>
        <v>-1046.08172199504</v>
      </c>
      <c r="Q1513" t="s">
        <v>15973</v>
      </c>
      <c r="R1513" t="s">
        <v>15974</v>
      </c>
      <c r="S1513" t="s">
        <v>15975</v>
      </c>
      <c r="T1513" t="s">
        <v>15976</v>
      </c>
      <c r="U1513" t="s">
        <v>15977</v>
      </c>
      <c r="V1513" t="s">
        <v>15978</v>
      </c>
      <c r="W1513" t="s">
        <v>15979</v>
      </c>
      <c r="X1513" t="s">
        <v>15980</v>
      </c>
      <c r="Y1513" t="s">
        <v>15981</v>
      </c>
    </row>
    <row r="1514" spans="1:25" x14ac:dyDescent="0.3">
      <c r="A1514">
        <v>75650</v>
      </c>
      <c r="B1514" t="s">
        <v>15982</v>
      </c>
      <c r="C1514" t="s">
        <v>15983</v>
      </c>
      <c r="D1514" t="s">
        <v>15984</v>
      </c>
      <c r="E1514" t="s">
        <v>15985</v>
      </c>
      <c r="F1514" t="s">
        <v>15986</v>
      </c>
      <c r="G1514" t="s">
        <v>15987</v>
      </c>
      <c r="H1514" t="s">
        <v>15988</v>
      </c>
      <c r="I1514" t="s">
        <v>15989</v>
      </c>
      <c r="J1514" t="s">
        <v>15990</v>
      </c>
      <c r="K1514" t="s">
        <v>15991</v>
      </c>
      <c r="L1514" t="s">
        <v>15992</v>
      </c>
      <c r="M1514" t="s">
        <v>15993</v>
      </c>
      <c r="N1514" t="s">
        <v>15994</v>
      </c>
      <c r="O1514">
        <f>-706.634025815811 -88.5288796555265 -513.204185453568</f>
        <v>-1308.3670909249054</v>
      </c>
      <c r="P1514">
        <f>-726.650633745041 -98.9456292372197 -219.806801236914</f>
        <v>-1045.4030642191747</v>
      </c>
      <c r="Q1514" t="s">
        <v>15995</v>
      </c>
      <c r="R1514" t="s">
        <v>15996</v>
      </c>
      <c r="S1514" t="s">
        <v>15997</v>
      </c>
      <c r="T1514" t="s">
        <v>15998</v>
      </c>
      <c r="U1514" t="s">
        <v>15999</v>
      </c>
      <c r="V1514" t="s">
        <v>16000</v>
      </c>
      <c r="W1514" t="s">
        <v>16001</v>
      </c>
      <c r="X1514" t="s">
        <v>16002</v>
      </c>
      <c r="Y1514" t="s">
        <v>16003</v>
      </c>
    </row>
    <row r="1515" spans="1:25" x14ac:dyDescent="0.3">
      <c r="A1515">
        <v>75700</v>
      </c>
      <c r="B1515" t="s">
        <v>16004</v>
      </c>
      <c r="C1515" t="s">
        <v>16005</v>
      </c>
      <c r="D1515" t="s">
        <v>16006</v>
      </c>
      <c r="E1515" t="s">
        <v>16007</v>
      </c>
      <c r="F1515" t="s">
        <v>16008</v>
      </c>
      <c r="G1515" t="s">
        <v>16009</v>
      </c>
      <c r="H1515" t="s">
        <v>16010</v>
      </c>
      <c r="I1515" t="s">
        <v>16011</v>
      </c>
      <c r="J1515" t="s">
        <v>16012</v>
      </c>
      <c r="K1515" t="s">
        <v>16013</v>
      </c>
      <c r="L1515" t="s">
        <v>16014</v>
      </c>
      <c r="M1515" t="s">
        <v>16015</v>
      </c>
      <c r="N1515" t="s">
        <v>16016</v>
      </c>
      <c r="O1515">
        <f>-704.915341904533 -89.5382635916285 -512.520196577803</f>
        <v>-1306.9738020739644</v>
      </c>
      <c r="P1515">
        <f>-724.947377151922 -99.1349462868645 -219.09586409427</f>
        <v>-1043.1781875330564</v>
      </c>
      <c r="Q1515" t="s">
        <v>16017</v>
      </c>
      <c r="R1515" t="s">
        <v>16018</v>
      </c>
      <c r="S1515" t="s">
        <v>16019</v>
      </c>
      <c r="T1515" t="s">
        <v>16020</v>
      </c>
      <c r="U1515" t="s">
        <v>16021</v>
      </c>
      <c r="V1515" t="s">
        <v>16022</v>
      </c>
      <c r="W1515" t="s">
        <v>16023</v>
      </c>
      <c r="X1515" t="s">
        <v>16024</v>
      </c>
      <c r="Y1515" t="s">
        <v>16025</v>
      </c>
    </row>
    <row r="1516" spans="1:25" x14ac:dyDescent="0.3">
      <c r="A1516">
        <v>75750</v>
      </c>
      <c r="B1516" t="s">
        <v>16026</v>
      </c>
      <c r="C1516" t="s">
        <v>16027</v>
      </c>
      <c r="D1516" t="s">
        <v>16028</v>
      </c>
      <c r="E1516" t="s">
        <v>16029</v>
      </c>
      <c r="F1516" t="s">
        <v>16030</v>
      </c>
      <c r="G1516" t="s">
        <v>16031</v>
      </c>
      <c r="H1516" t="s">
        <v>16032</v>
      </c>
      <c r="I1516" t="s">
        <v>16033</v>
      </c>
      <c r="J1516" t="s">
        <v>16034</v>
      </c>
      <c r="K1516" t="s">
        <v>16035</v>
      </c>
      <c r="L1516" t="s">
        <v>16036</v>
      </c>
      <c r="M1516" t="s">
        <v>16037</v>
      </c>
      <c r="N1516" t="s">
        <v>16038</v>
      </c>
      <c r="O1516">
        <f>-703.928515335854 -90.0306041481297 -512.224377706488</f>
        <v>-1306.1834971904716</v>
      </c>
      <c r="P1516">
        <f>-723.878441305797 -99.0826010265814 -218.777113336533</f>
        <v>-1041.7381556689113</v>
      </c>
      <c r="Q1516" t="s">
        <v>16039</v>
      </c>
      <c r="R1516" t="s">
        <v>16040</v>
      </c>
      <c r="S1516" t="s">
        <v>16041</v>
      </c>
      <c r="T1516" t="s">
        <v>16042</v>
      </c>
      <c r="U1516" t="s">
        <v>16043</v>
      </c>
      <c r="V1516" t="s">
        <v>16044</v>
      </c>
      <c r="W1516" t="s">
        <v>16045</v>
      </c>
      <c r="X1516" t="s">
        <v>16046</v>
      </c>
      <c r="Y1516" t="s">
        <v>16047</v>
      </c>
    </row>
    <row r="1517" spans="1:25" x14ac:dyDescent="0.3">
      <c r="A1517">
        <v>75800</v>
      </c>
      <c r="B1517" t="s">
        <v>16048</v>
      </c>
      <c r="C1517" t="s">
        <v>16049</v>
      </c>
      <c r="D1517" t="s">
        <v>16050</v>
      </c>
      <c r="E1517" t="s">
        <v>16051</v>
      </c>
      <c r="F1517" t="s">
        <v>16052</v>
      </c>
      <c r="G1517" t="s">
        <v>16053</v>
      </c>
      <c r="H1517" t="s">
        <v>16054</v>
      </c>
      <c r="I1517" t="s">
        <v>16055</v>
      </c>
      <c r="J1517" t="s">
        <v>16056</v>
      </c>
      <c r="K1517" t="s">
        <v>16057</v>
      </c>
      <c r="L1517" t="s">
        <v>16058</v>
      </c>
      <c r="M1517" t="s">
        <v>16059</v>
      </c>
      <c r="N1517" t="s">
        <v>16060</v>
      </c>
      <c r="O1517">
        <f>-702.660772504956 -90.7189870373504 -511.91257376063</f>
        <v>-1305.2923333029364</v>
      </c>
      <c r="P1517">
        <f>-722.616117718194 -99.1076409807788 -218.446125519887</f>
        <v>-1040.1698842188598</v>
      </c>
      <c r="Q1517" t="s">
        <v>16061</v>
      </c>
      <c r="R1517" t="s">
        <v>16062</v>
      </c>
      <c r="S1517" t="s">
        <v>16063</v>
      </c>
      <c r="T1517" t="s">
        <v>16064</v>
      </c>
      <c r="U1517" t="s">
        <v>16065</v>
      </c>
      <c r="V1517" t="s">
        <v>16066</v>
      </c>
      <c r="W1517" t="s">
        <v>16067</v>
      </c>
      <c r="X1517" t="s">
        <v>16068</v>
      </c>
      <c r="Y1517" t="s">
        <v>16069</v>
      </c>
    </row>
    <row r="1518" spans="1:25" x14ac:dyDescent="0.3">
      <c r="A1518">
        <v>75850</v>
      </c>
      <c r="B1518" t="s">
        <v>16070</v>
      </c>
      <c r="C1518" t="s">
        <v>16071</v>
      </c>
      <c r="D1518" t="s">
        <v>16072</v>
      </c>
      <c r="E1518" t="s">
        <v>16073</v>
      </c>
      <c r="F1518" t="s">
        <v>16074</v>
      </c>
      <c r="G1518" t="s">
        <v>16075</v>
      </c>
      <c r="H1518" t="s">
        <v>16076</v>
      </c>
      <c r="I1518" t="s">
        <v>16077</v>
      </c>
      <c r="J1518" t="s">
        <v>16078</v>
      </c>
      <c r="K1518" t="s">
        <v>16079</v>
      </c>
      <c r="L1518" t="s">
        <v>16080</v>
      </c>
      <c r="M1518" t="s">
        <v>16081</v>
      </c>
      <c r="N1518" t="s">
        <v>16082</v>
      </c>
      <c r="O1518">
        <f>-700.077389451827 -91.7184084519013 -510.969229115001</f>
        <v>-1302.7650270187291</v>
      </c>
      <c r="P1518">
        <f>-720.434554052925 -98.2054930704362 -217.48201300765</f>
        <v>-1036.1220601310113</v>
      </c>
      <c r="Q1518" t="s">
        <v>16083</v>
      </c>
      <c r="R1518" t="s">
        <v>16084</v>
      </c>
      <c r="S1518" t="s">
        <v>16085</v>
      </c>
      <c r="T1518" t="s">
        <v>16086</v>
      </c>
      <c r="U1518" t="s">
        <v>16087</v>
      </c>
      <c r="V1518" t="s">
        <v>16088</v>
      </c>
      <c r="W1518" t="s">
        <v>16089</v>
      </c>
      <c r="X1518" t="s">
        <v>16090</v>
      </c>
      <c r="Y1518" t="s">
        <v>16091</v>
      </c>
    </row>
    <row r="1519" spans="1:25" x14ac:dyDescent="0.3">
      <c r="A1519">
        <v>75900</v>
      </c>
      <c r="B1519" t="s">
        <v>16092</v>
      </c>
      <c r="C1519" t="s">
        <v>16093</v>
      </c>
      <c r="D1519" t="s">
        <v>16094</v>
      </c>
      <c r="E1519" t="s">
        <v>16095</v>
      </c>
      <c r="F1519" t="s">
        <v>16096</v>
      </c>
      <c r="G1519" t="s">
        <v>16097</v>
      </c>
      <c r="H1519" t="s">
        <v>16098</v>
      </c>
      <c r="I1519" t="s">
        <v>16099</v>
      </c>
      <c r="J1519" t="s">
        <v>16100</v>
      </c>
      <c r="K1519" t="s">
        <v>16101</v>
      </c>
      <c r="L1519" t="s">
        <v>16102</v>
      </c>
      <c r="M1519" t="s">
        <v>16103</v>
      </c>
      <c r="N1519" t="s">
        <v>16104</v>
      </c>
      <c r="O1519">
        <f>-697.19703668856 -92.1005730021955 -509.593394945755</f>
        <v>-1298.8910046365104</v>
      </c>
      <c r="P1519">
        <f>-718.216250298058 -95.6268910448025 -216.102419608074</f>
        <v>-1029.9455609509346</v>
      </c>
      <c r="Q1519" t="s">
        <v>16105</v>
      </c>
      <c r="R1519" t="s">
        <v>16106</v>
      </c>
      <c r="S1519" t="s">
        <v>16107</v>
      </c>
      <c r="T1519" t="s">
        <v>16108</v>
      </c>
      <c r="U1519" t="s">
        <v>16109</v>
      </c>
      <c r="V1519" t="s">
        <v>16110</v>
      </c>
      <c r="W1519" t="s">
        <v>16111</v>
      </c>
      <c r="X1519" t="s">
        <v>16112</v>
      </c>
      <c r="Y1519" t="s">
        <v>16113</v>
      </c>
    </row>
    <row r="1520" spans="1:25" x14ac:dyDescent="0.3">
      <c r="A1520">
        <v>75950</v>
      </c>
      <c r="B1520" t="s">
        <v>16114</v>
      </c>
      <c r="C1520" t="s">
        <v>16115</v>
      </c>
      <c r="D1520" t="s">
        <v>16116</v>
      </c>
      <c r="E1520" t="s">
        <v>16117</v>
      </c>
      <c r="F1520" t="s">
        <v>16118</v>
      </c>
      <c r="G1520" t="s">
        <v>16119</v>
      </c>
      <c r="H1520" t="s">
        <v>16120</v>
      </c>
      <c r="I1520" t="s">
        <v>16121</v>
      </c>
      <c r="J1520" t="s">
        <v>16122</v>
      </c>
      <c r="K1520" t="s">
        <v>16123</v>
      </c>
      <c r="L1520" t="s">
        <v>16124</v>
      </c>
      <c r="M1520" t="s">
        <v>16125</v>
      </c>
      <c r="N1520" t="s">
        <v>16126</v>
      </c>
      <c r="O1520">
        <f>-695.815590117262 -92.496447988306 -509.003013326023</f>
        <v>-1297.315051431591</v>
      </c>
      <c r="P1520">
        <f>-716.935120026409 -94.1235759098752 -215.502602573703</f>
        <v>-1026.5612985099872</v>
      </c>
      <c r="Q1520" t="s">
        <v>16127</v>
      </c>
      <c r="R1520" t="s">
        <v>16128</v>
      </c>
      <c r="S1520" t="s">
        <v>16129</v>
      </c>
      <c r="T1520" t="s">
        <v>16130</v>
      </c>
      <c r="U1520" t="s">
        <v>16131</v>
      </c>
      <c r="V1520" t="s">
        <v>16132</v>
      </c>
      <c r="W1520" t="s">
        <v>16133</v>
      </c>
      <c r="X1520" t="s">
        <v>16134</v>
      </c>
      <c r="Y1520" t="s">
        <v>16135</v>
      </c>
    </row>
    <row r="1521" spans="1:25" x14ac:dyDescent="0.3">
      <c r="A1521">
        <v>76000</v>
      </c>
      <c r="B1521" t="s">
        <v>16136</v>
      </c>
      <c r="C1521" t="s">
        <v>16137</v>
      </c>
      <c r="D1521" t="s">
        <v>16138</v>
      </c>
      <c r="E1521" t="s">
        <v>16139</v>
      </c>
      <c r="F1521" t="s">
        <v>16140</v>
      </c>
      <c r="G1521" t="s">
        <v>16141</v>
      </c>
      <c r="H1521" t="s">
        <v>16142</v>
      </c>
      <c r="I1521" t="s">
        <v>16143</v>
      </c>
      <c r="J1521" t="s">
        <v>16144</v>
      </c>
      <c r="K1521" t="s">
        <v>16145</v>
      </c>
      <c r="L1521" t="s">
        <v>16146</v>
      </c>
      <c r="M1521" t="s">
        <v>16147</v>
      </c>
      <c r="N1521" t="s">
        <v>16148</v>
      </c>
      <c r="O1521">
        <f>-692.776785561072 -93.891878255678 -508.392871568317</f>
        <v>-1295.0615353850669</v>
      </c>
      <c r="P1521">
        <f>-713.608446933007 -92.52896021026 -214.870437479685</f>
        <v>-1021.007844622952</v>
      </c>
      <c r="Q1521" t="s">
        <v>16149</v>
      </c>
      <c r="R1521" t="s">
        <v>16150</v>
      </c>
      <c r="S1521" t="s">
        <v>16151</v>
      </c>
      <c r="T1521" t="s">
        <v>16152</v>
      </c>
      <c r="U1521" t="s">
        <v>16153</v>
      </c>
      <c r="V1521" t="s">
        <v>16154</v>
      </c>
      <c r="W1521" t="s">
        <v>16155</v>
      </c>
      <c r="X1521" t="s">
        <v>16156</v>
      </c>
      <c r="Y1521" t="s">
        <v>16157</v>
      </c>
    </row>
    <row r="1522" spans="1:25" x14ac:dyDescent="0.3">
      <c r="A1522">
        <v>76050</v>
      </c>
      <c r="B1522" t="s">
        <v>16158</v>
      </c>
      <c r="C1522" t="s">
        <v>16159</v>
      </c>
      <c r="D1522" t="s">
        <v>16160</v>
      </c>
      <c r="E1522" t="s">
        <v>16161</v>
      </c>
      <c r="F1522" t="s">
        <v>16162</v>
      </c>
      <c r="G1522" t="s">
        <v>16163</v>
      </c>
      <c r="H1522" t="s">
        <v>16164</v>
      </c>
      <c r="I1522" t="s">
        <v>16165</v>
      </c>
      <c r="J1522" t="s">
        <v>16166</v>
      </c>
      <c r="K1522" t="s">
        <v>16167</v>
      </c>
      <c r="L1522" t="s">
        <v>16168</v>
      </c>
      <c r="M1522" t="s">
        <v>16169</v>
      </c>
      <c r="N1522" t="s">
        <v>16170</v>
      </c>
      <c r="O1522">
        <f>-691.349294176914 -94.843057906827 -508.276457125419</f>
        <v>-1294.4688092091599</v>
      </c>
      <c r="P1522">
        <f>-711.887035091477 -92.6978377305088 -214.737939676462</f>
        <v>-1019.3228124984478</v>
      </c>
      <c r="Q1522" t="s">
        <v>16171</v>
      </c>
      <c r="R1522" t="s">
        <v>16172</v>
      </c>
      <c r="S1522" t="s">
        <v>16173</v>
      </c>
      <c r="T1522" t="s">
        <v>16174</v>
      </c>
      <c r="U1522" t="s">
        <v>16175</v>
      </c>
      <c r="V1522" t="s">
        <v>16176</v>
      </c>
      <c r="W1522" t="s">
        <v>16177</v>
      </c>
      <c r="X1522" t="s">
        <v>16178</v>
      </c>
      <c r="Y1522" t="s">
        <v>16179</v>
      </c>
    </row>
    <row r="1523" spans="1:25" x14ac:dyDescent="0.3">
      <c r="A1523">
        <v>76100</v>
      </c>
      <c r="B1523" t="s">
        <v>16180</v>
      </c>
      <c r="C1523" t="s">
        <v>16181</v>
      </c>
      <c r="D1523" t="s">
        <v>16182</v>
      </c>
      <c r="E1523" t="s">
        <v>16183</v>
      </c>
      <c r="F1523" t="s">
        <v>16184</v>
      </c>
      <c r="G1523" t="s">
        <v>16185</v>
      </c>
      <c r="H1523" t="s">
        <v>16186</v>
      </c>
      <c r="I1523" t="s">
        <v>16187</v>
      </c>
      <c r="J1523" t="s">
        <v>16188</v>
      </c>
      <c r="K1523" t="s">
        <v>16189</v>
      </c>
      <c r="L1523" t="s">
        <v>16190</v>
      </c>
      <c r="M1523" t="s">
        <v>16191</v>
      </c>
      <c r="N1523" t="s">
        <v>16192</v>
      </c>
      <c r="O1523">
        <f>-688.40816433943 -96.0245501276579 -508.518261574588</f>
        <v>-1292.9509760416759</v>
      </c>
      <c r="P1523">
        <f>-708.758013096956 -92.9428522723106 -214.975082486715</f>
        <v>-1016.6759478559816</v>
      </c>
      <c r="Q1523" t="s">
        <v>16193</v>
      </c>
      <c r="R1523" t="s">
        <v>16194</v>
      </c>
      <c r="S1523" t="s">
        <v>16195</v>
      </c>
      <c r="T1523" t="s">
        <v>16196</v>
      </c>
      <c r="U1523" t="s">
        <v>16197</v>
      </c>
      <c r="V1523" t="s">
        <v>16198</v>
      </c>
      <c r="W1523" t="s">
        <v>16199</v>
      </c>
      <c r="X1523" t="s">
        <v>16200</v>
      </c>
      <c r="Y1523" t="s">
        <v>16201</v>
      </c>
    </row>
    <row r="1524" spans="1:25" x14ac:dyDescent="0.3">
      <c r="A1524">
        <v>76150</v>
      </c>
      <c r="B1524" t="s">
        <v>16202</v>
      </c>
      <c r="C1524" t="s">
        <v>16203</v>
      </c>
      <c r="D1524" t="s">
        <v>16204</v>
      </c>
      <c r="E1524" t="s">
        <v>16205</v>
      </c>
      <c r="F1524" t="s">
        <v>16206</v>
      </c>
      <c r="G1524" t="s">
        <v>16207</v>
      </c>
      <c r="H1524" t="s">
        <v>16208</v>
      </c>
      <c r="I1524" t="s">
        <v>16209</v>
      </c>
      <c r="J1524" t="s">
        <v>16210</v>
      </c>
      <c r="K1524" t="s">
        <v>16211</v>
      </c>
      <c r="L1524" t="s">
        <v>16212</v>
      </c>
      <c r="M1524" t="s">
        <v>16213</v>
      </c>
      <c r="N1524" t="s">
        <v>16214</v>
      </c>
      <c r="O1524">
        <f>-687.473506506713 -96.4270625546576 -508.880880423217</f>
        <v>-1292.7814494845875</v>
      </c>
      <c r="P1524">
        <f>-707.737214027155 -93.1009741193468 -215.334337140032</f>
        <v>-1016.1725252865338</v>
      </c>
      <c r="Q1524" t="s">
        <v>16215</v>
      </c>
      <c r="R1524" t="s">
        <v>16216</v>
      </c>
      <c r="S1524" t="s">
        <v>16217</v>
      </c>
      <c r="T1524" t="s">
        <v>16218</v>
      </c>
      <c r="U1524" t="s">
        <v>16219</v>
      </c>
      <c r="V1524" t="s">
        <v>16220</v>
      </c>
      <c r="W1524" t="s">
        <v>16221</v>
      </c>
      <c r="X1524" t="s">
        <v>16222</v>
      </c>
      <c r="Y1524" t="s">
        <v>16223</v>
      </c>
    </row>
    <row r="1525" spans="1:25" x14ac:dyDescent="0.3">
      <c r="A1525">
        <v>76200</v>
      </c>
      <c r="B1525" t="s">
        <v>16224</v>
      </c>
      <c r="C1525" t="s">
        <v>16225</v>
      </c>
      <c r="D1525" t="s">
        <v>16226</v>
      </c>
      <c r="E1525" t="s">
        <v>16227</v>
      </c>
      <c r="F1525" t="s">
        <v>16228</v>
      </c>
      <c r="G1525" t="s">
        <v>16229</v>
      </c>
      <c r="H1525" t="s">
        <v>16230</v>
      </c>
      <c r="I1525" t="s">
        <v>16231</v>
      </c>
      <c r="J1525" t="s">
        <v>16232</v>
      </c>
      <c r="K1525" t="s">
        <v>16233</v>
      </c>
      <c r="L1525" t="s">
        <v>16234</v>
      </c>
      <c r="M1525" t="s">
        <v>16235</v>
      </c>
      <c r="N1525" t="s">
        <v>16236</v>
      </c>
      <c r="O1525">
        <f>-686.655789212749 -96.3391759255949 -509.582129199812</f>
        <v>-1292.5770943381558</v>
      </c>
      <c r="P1525">
        <f>-705.804612025244 -92.9947623389785 -215.961117269898</f>
        <v>-1014.7604916341204</v>
      </c>
      <c r="Q1525" t="s">
        <v>16237</v>
      </c>
      <c r="R1525" t="s">
        <v>16238</v>
      </c>
      <c r="S1525" t="s">
        <v>16239</v>
      </c>
      <c r="T1525" t="s">
        <v>16240</v>
      </c>
      <c r="U1525" t="s">
        <v>16241</v>
      </c>
      <c r="V1525" t="s">
        <v>16242</v>
      </c>
      <c r="W1525" t="s">
        <v>16243</v>
      </c>
      <c r="X1525" t="s">
        <v>16244</v>
      </c>
      <c r="Y1525" t="s">
        <v>16245</v>
      </c>
    </row>
    <row r="1526" spans="1:25" x14ac:dyDescent="0.3">
      <c r="A1526">
        <v>76250</v>
      </c>
      <c r="B1526" t="s">
        <v>16246</v>
      </c>
      <c r="C1526" t="s">
        <v>16247</v>
      </c>
      <c r="D1526" t="s">
        <v>16248</v>
      </c>
      <c r="E1526" t="s">
        <v>16249</v>
      </c>
      <c r="F1526" t="s">
        <v>16250</v>
      </c>
      <c r="G1526" t="s">
        <v>16251</v>
      </c>
      <c r="H1526" t="s">
        <v>16252</v>
      </c>
      <c r="I1526" t="s">
        <v>16253</v>
      </c>
      <c r="J1526" t="s">
        <v>16254</v>
      </c>
      <c r="K1526" t="s">
        <v>16255</v>
      </c>
      <c r="L1526" t="s">
        <v>16256</v>
      </c>
      <c r="M1526" t="s">
        <v>16257</v>
      </c>
      <c r="N1526" t="s">
        <v>16258</v>
      </c>
      <c r="O1526">
        <f>-686.449430773531 -96.5012561991155 -509.892790934118</f>
        <v>-1292.8434779067645</v>
      </c>
      <c r="P1526">
        <f>-705.136453937042 -93.3198077294801 -216.240074054793</f>
        <v>-1014.6963357213151</v>
      </c>
      <c r="Q1526" t="s">
        <v>16259</v>
      </c>
      <c r="R1526" t="s">
        <v>16260</v>
      </c>
      <c r="S1526" t="s">
        <v>16261</v>
      </c>
      <c r="T1526" t="s">
        <v>16262</v>
      </c>
      <c r="U1526" t="s">
        <v>16263</v>
      </c>
      <c r="V1526" t="s">
        <v>16264</v>
      </c>
      <c r="W1526" t="s">
        <v>16265</v>
      </c>
      <c r="X1526" t="s">
        <v>16266</v>
      </c>
      <c r="Y1526" t="s">
        <v>16267</v>
      </c>
    </row>
    <row r="1527" spans="1:25" x14ac:dyDescent="0.3">
      <c r="A1527">
        <v>76300</v>
      </c>
      <c r="B1527" t="s">
        <v>16268</v>
      </c>
      <c r="C1527" t="s">
        <v>16269</v>
      </c>
      <c r="D1527" t="s">
        <v>16270</v>
      </c>
      <c r="E1527" t="s">
        <v>16271</v>
      </c>
      <c r="F1527" t="s">
        <v>16272</v>
      </c>
      <c r="G1527" t="s">
        <v>16273</v>
      </c>
      <c r="H1527" t="s">
        <v>16274</v>
      </c>
      <c r="I1527" t="s">
        <v>16275</v>
      </c>
      <c r="J1527" t="s">
        <v>16276</v>
      </c>
      <c r="K1527" t="s">
        <v>16277</v>
      </c>
      <c r="L1527" t="s">
        <v>16278</v>
      </c>
      <c r="M1527" t="s">
        <v>16279</v>
      </c>
      <c r="N1527" t="s">
        <v>16280</v>
      </c>
      <c r="O1527">
        <f>-686.062471292747 -97.4285270098555 -510.721227375779</f>
        <v>-1294.2122256783814</v>
      </c>
      <c r="P1527">
        <f>-703.714307222375 -94.9046039256257 -216.998216801949</f>
        <v>-1015.6171279499497</v>
      </c>
      <c r="Q1527" t="s">
        <v>16281</v>
      </c>
      <c r="R1527" t="s">
        <v>16282</v>
      </c>
      <c r="S1527" t="s">
        <v>16283</v>
      </c>
      <c r="T1527" t="s">
        <v>16284</v>
      </c>
      <c r="U1527" t="s">
        <v>16285</v>
      </c>
      <c r="V1527" t="s">
        <v>16286</v>
      </c>
      <c r="W1527" t="s">
        <v>16287</v>
      </c>
      <c r="X1527" t="s">
        <v>16288</v>
      </c>
      <c r="Y1527" t="s">
        <v>16289</v>
      </c>
    </row>
    <row r="1528" spans="1:25" x14ac:dyDescent="0.3">
      <c r="A1528">
        <v>76350</v>
      </c>
      <c r="B1528" t="s">
        <v>16290</v>
      </c>
      <c r="C1528" t="s">
        <v>16291</v>
      </c>
      <c r="D1528" t="s">
        <v>16292</v>
      </c>
      <c r="E1528" t="s">
        <v>16293</v>
      </c>
      <c r="F1528" t="s">
        <v>16294</v>
      </c>
      <c r="G1528" t="s">
        <v>16295</v>
      </c>
      <c r="H1528" t="s">
        <v>16296</v>
      </c>
      <c r="I1528" t="s">
        <v>16297</v>
      </c>
      <c r="J1528" t="s">
        <v>16298</v>
      </c>
      <c r="K1528" t="s">
        <v>16299</v>
      </c>
      <c r="L1528" t="s">
        <v>16300</v>
      </c>
      <c r="M1528" t="s">
        <v>16301</v>
      </c>
      <c r="N1528" t="s">
        <v>16302</v>
      </c>
      <c r="O1528">
        <f>-686.060383359921 -97.6402397936763 -511.258738483979</f>
        <v>-1294.9593616375764</v>
      </c>
      <c r="P1528">
        <f>-703.05546841814 -95.7990249447341 -217.491671362013</f>
        <v>-1016.3461647248871</v>
      </c>
      <c r="Q1528" t="s">
        <v>16303</v>
      </c>
      <c r="R1528" t="s">
        <v>16304</v>
      </c>
      <c r="S1528" t="s">
        <v>16305</v>
      </c>
      <c r="T1528" t="s">
        <v>16306</v>
      </c>
      <c r="U1528" t="s">
        <v>16307</v>
      </c>
      <c r="V1528" t="s">
        <v>16308</v>
      </c>
      <c r="W1528" t="s">
        <v>16309</v>
      </c>
      <c r="X1528" t="s">
        <v>16310</v>
      </c>
      <c r="Y1528" t="s">
        <v>16311</v>
      </c>
    </row>
    <row r="1529" spans="1:25" x14ac:dyDescent="0.3">
      <c r="A1529">
        <v>76400</v>
      </c>
      <c r="B1529" t="s">
        <v>16312</v>
      </c>
      <c r="C1529" t="s">
        <v>16313</v>
      </c>
      <c r="D1529" t="s">
        <v>16314</v>
      </c>
      <c r="E1529" t="s">
        <v>16315</v>
      </c>
      <c r="F1529" t="s">
        <v>16316</v>
      </c>
      <c r="G1529" t="s">
        <v>16317</v>
      </c>
      <c r="H1529" t="s">
        <v>16318</v>
      </c>
      <c r="I1529" t="s">
        <v>16319</v>
      </c>
      <c r="J1529" t="s">
        <v>16320</v>
      </c>
      <c r="K1529" t="s">
        <v>16321</v>
      </c>
      <c r="L1529" t="s">
        <v>16322</v>
      </c>
      <c r="M1529" t="s">
        <v>16323</v>
      </c>
      <c r="N1529" t="s">
        <v>16324</v>
      </c>
      <c r="O1529">
        <f>-685.857678213627 -98.0182891180659 -512.130554316105</f>
        <v>-1296.0065216477979</v>
      </c>
      <c r="P1529">
        <f>-701.91396733545 -97.1539594274523 -218.306343122569</f>
        <v>-1017.3742698854712</v>
      </c>
      <c r="Q1529" t="s">
        <v>16325</v>
      </c>
      <c r="R1529" t="s">
        <v>16326</v>
      </c>
      <c r="S1529" t="s">
        <v>16327</v>
      </c>
      <c r="T1529" t="s">
        <v>16328</v>
      </c>
      <c r="U1529" t="s">
        <v>16329</v>
      </c>
      <c r="V1529" t="s">
        <v>16330</v>
      </c>
      <c r="W1529" t="s">
        <v>16331</v>
      </c>
      <c r="X1529" t="s">
        <v>16332</v>
      </c>
      <c r="Y1529" t="s">
        <v>16333</v>
      </c>
    </row>
    <row r="1530" spans="1:25" x14ac:dyDescent="0.3">
      <c r="A1530">
        <v>76450</v>
      </c>
      <c r="B1530" t="s">
        <v>16334</v>
      </c>
      <c r="C1530" t="s">
        <v>16335</v>
      </c>
      <c r="D1530" t="s">
        <v>16336</v>
      </c>
      <c r="E1530" t="s">
        <v>16337</v>
      </c>
      <c r="F1530" t="s">
        <v>16338</v>
      </c>
      <c r="G1530" t="s">
        <v>16339</v>
      </c>
      <c r="H1530" t="s">
        <v>16340</v>
      </c>
      <c r="I1530" t="s">
        <v>16341</v>
      </c>
      <c r="J1530" t="s">
        <v>16342</v>
      </c>
      <c r="K1530" t="s">
        <v>16343</v>
      </c>
      <c r="L1530" t="s">
        <v>16344</v>
      </c>
      <c r="M1530" t="s">
        <v>16345</v>
      </c>
      <c r="N1530" t="s">
        <v>16346</v>
      </c>
      <c r="O1530">
        <f>-685.72855595182 -98.4756305453157 -512.208084273186</f>
        <v>-1296.4122707703218</v>
      </c>
      <c r="P1530">
        <f>-701.577422880366 -97.2188723596057 -218.374065478235</f>
        <v>-1017.1703607182068</v>
      </c>
      <c r="Q1530" t="s">
        <v>16347</v>
      </c>
      <c r="R1530" t="s">
        <v>16348</v>
      </c>
      <c r="S1530" t="s">
        <v>16349</v>
      </c>
      <c r="T1530" t="s">
        <v>16350</v>
      </c>
      <c r="U1530" t="s">
        <v>16351</v>
      </c>
      <c r="V1530" t="s">
        <v>16352</v>
      </c>
      <c r="W1530" t="s">
        <v>16353</v>
      </c>
      <c r="X1530" t="s">
        <v>16354</v>
      </c>
      <c r="Y1530" t="s">
        <v>16355</v>
      </c>
    </row>
    <row r="1531" spans="1:25" x14ac:dyDescent="0.3">
      <c r="A1531">
        <v>76500</v>
      </c>
      <c r="B1531" t="s">
        <v>16356</v>
      </c>
      <c r="C1531" t="s">
        <v>16357</v>
      </c>
      <c r="D1531" t="s">
        <v>16358</v>
      </c>
      <c r="E1531" t="s">
        <v>16359</v>
      </c>
      <c r="F1531" t="s">
        <v>16360</v>
      </c>
      <c r="G1531" t="s">
        <v>16361</v>
      </c>
      <c r="H1531" t="s">
        <v>16362</v>
      </c>
      <c r="I1531" t="s">
        <v>16363</v>
      </c>
      <c r="J1531" t="s">
        <v>16364</v>
      </c>
      <c r="K1531" t="s">
        <v>16365</v>
      </c>
      <c r="L1531" t="s">
        <v>16366</v>
      </c>
      <c r="M1531" t="s">
        <v>16367</v>
      </c>
      <c r="N1531" t="s">
        <v>16368</v>
      </c>
      <c r="O1531">
        <f>-685.044559950596 -99.9293000838913 -511.813948299645</f>
        <v>-1296.7878083341323</v>
      </c>
      <c r="P1531">
        <f>-700.067000642123 -97.1293130713407 -217.94714722527</f>
        <v>-1015.1434609387337</v>
      </c>
      <c r="Q1531" t="s">
        <v>16369</v>
      </c>
      <c r="R1531" t="s">
        <v>16370</v>
      </c>
      <c r="S1531" t="s">
        <v>16371</v>
      </c>
      <c r="T1531" t="s">
        <v>16372</v>
      </c>
      <c r="U1531" t="s">
        <v>16373</v>
      </c>
      <c r="V1531" t="s">
        <v>16374</v>
      </c>
      <c r="W1531" t="s">
        <v>16375</v>
      </c>
      <c r="X1531" t="s">
        <v>16376</v>
      </c>
      <c r="Y1531" t="s">
        <v>16377</v>
      </c>
    </row>
    <row r="1532" spans="1:25" x14ac:dyDescent="0.3">
      <c r="A1532">
        <v>76550</v>
      </c>
      <c r="B1532" t="s">
        <v>16378</v>
      </c>
      <c r="C1532" t="s">
        <v>16379</v>
      </c>
      <c r="D1532" t="s">
        <v>16380</v>
      </c>
      <c r="E1532" t="s">
        <v>16381</v>
      </c>
      <c r="F1532" t="s">
        <v>16382</v>
      </c>
      <c r="G1532" t="s">
        <v>16383</v>
      </c>
      <c r="H1532" t="s">
        <v>16384</v>
      </c>
      <c r="I1532" t="s">
        <v>16385</v>
      </c>
      <c r="J1532" t="s">
        <v>16386</v>
      </c>
      <c r="K1532" t="s">
        <v>16387</v>
      </c>
      <c r="L1532" t="s">
        <v>16388</v>
      </c>
      <c r="M1532" t="s">
        <v>16389</v>
      </c>
      <c r="N1532" t="s">
        <v>16390</v>
      </c>
      <c r="O1532">
        <f>-684.188649690938 -100.086412906076 -511.504022268554</f>
        <v>-1295.7790848655679</v>
      </c>
      <c r="P1532">
        <f>-699.018225737259 -97.0112932774855 -217.630150522652</f>
        <v>-1013.6596695373964</v>
      </c>
      <c r="Q1532" t="s">
        <v>16391</v>
      </c>
      <c r="R1532" t="s">
        <v>16392</v>
      </c>
      <c r="S1532" t="s">
        <v>16393</v>
      </c>
      <c r="T1532" t="s">
        <v>16394</v>
      </c>
      <c r="U1532" t="s">
        <v>16395</v>
      </c>
      <c r="V1532" t="s">
        <v>16396</v>
      </c>
      <c r="W1532" t="s">
        <v>16397</v>
      </c>
      <c r="X1532" t="s">
        <v>16398</v>
      </c>
      <c r="Y1532" t="s">
        <v>16399</v>
      </c>
    </row>
    <row r="1533" spans="1:25" x14ac:dyDescent="0.3">
      <c r="A1533">
        <v>76600</v>
      </c>
      <c r="B1533" t="s">
        <v>16400</v>
      </c>
      <c r="C1533" t="s">
        <v>16401</v>
      </c>
      <c r="D1533" t="s">
        <v>16402</v>
      </c>
      <c r="E1533" t="s">
        <v>16403</v>
      </c>
      <c r="F1533" t="s">
        <v>16404</v>
      </c>
      <c r="G1533" t="s">
        <v>16405</v>
      </c>
      <c r="H1533" t="s">
        <v>16406</v>
      </c>
      <c r="I1533" t="s">
        <v>16407</v>
      </c>
      <c r="J1533" t="s">
        <v>16408</v>
      </c>
      <c r="K1533" t="s">
        <v>16409</v>
      </c>
      <c r="L1533" t="s">
        <v>16410</v>
      </c>
      <c r="M1533" t="s">
        <v>16411</v>
      </c>
      <c r="N1533" t="s">
        <v>16412</v>
      </c>
      <c r="O1533">
        <f>-682.444701675886 -100.39967597965 -510.971454036266</f>
        <v>-1293.815831691802</v>
      </c>
      <c r="P1533">
        <f>-697.052793137554 -96.880623780622 -217.091478290441</f>
        <v>-1011.024895208617</v>
      </c>
      <c r="Q1533" t="s">
        <v>16413</v>
      </c>
      <c r="R1533" t="s">
        <v>16414</v>
      </c>
      <c r="S1533" t="s">
        <v>16415</v>
      </c>
      <c r="T1533" t="s">
        <v>16416</v>
      </c>
      <c r="U1533" t="s">
        <v>16417</v>
      </c>
      <c r="V1533" t="s">
        <v>16418</v>
      </c>
      <c r="W1533" t="s">
        <v>16419</v>
      </c>
      <c r="X1533" t="s">
        <v>16420</v>
      </c>
      <c r="Y1533" t="s">
        <v>16421</v>
      </c>
    </row>
    <row r="1534" spans="1:25" x14ac:dyDescent="0.3">
      <c r="A1534">
        <v>76650</v>
      </c>
      <c r="B1534" t="s">
        <v>16422</v>
      </c>
      <c r="C1534" t="s">
        <v>16423</v>
      </c>
      <c r="D1534" t="s">
        <v>16424</v>
      </c>
      <c r="E1534" t="s">
        <v>16425</v>
      </c>
      <c r="F1534" t="s">
        <v>16426</v>
      </c>
      <c r="G1534" t="s">
        <v>16427</v>
      </c>
      <c r="H1534" t="s">
        <v>16428</v>
      </c>
      <c r="I1534" t="s">
        <v>16429</v>
      </c>
      <c r="J1534" t="s">
        <v>16430</v>
      </c>
      <c r="K1534" t="s">
        <v>16431</v>
      </c>
      <c r="L1534" t="s">
        <v>16432</v>
      </c>
      <c r="M1534" t="s">
        <v>16433</v>
      </c>
      <c r="N1534" t="s">
        <v>16434</v>
      </c>
      <c r="O1534">
        <f>-681.413534953683 -100.703258377104 -510.863475906383</f>
        <v>-1292.98026923717</v>
      </c>
      <c r="P1534">
        <f>-695.802652071042 -96.9958539107818 -216.975101145695</f>
        <v>-1009.7736071275187</v>
      </c>
      <c r="Q1534" t="s">
        <v>16435</v>
      </c>
      <c r="R1534" t="s">
        <v>16436</v>
      </c>
      <c r="S1534" t="s">
        <v>16437</v>
      </c>
      <c r="T1534" t="s">
        <v>16438</v>
      </c>
      <c r="U1534" t="s">
        <v>16439</v>
      </c>
      <c r="V1534" t="s">
        <v>16440</v>
      </c>
      <c r="W1534" t="s">
        <v>16441</v>
      </c>
      <c r="X1534" t="s">
        <v>16442</v>
      </c>
      <c r="Y1534" t="s">
        <v>16443</v>
      </c>
    </row>
    <row r="1535" spans="1:25" x14ac:dyDescent="0.3">
      <c r="A1535">
        <v>76700</v>
      </c>
      <c r="B1535" t="s">
        <v>16444</v>
      </c>
      <c r="C1535" t="s">
        <v>16445</v>
      </c>
      <c r="D1535" t="s">
        <v>16446</v>
      </c>
      <c r="E1535" t="s">
        <v>16447</v>
      </c>
      <c r="F1535" t="s">
        <v>16448</v>
      </c>
      <c r="G1535" t="s">
        <v>16449</v>
      </c>
      <c r="H1535" t="s">
        <v>16450</v>
      </c>
      <c r="I1535" t="s">
        <v>16451</v>
      </c>
      <c r="J1535" t="s">
        <v>16452</v>
      </c>
      <c r="K1535" t="s">
        <v>16453</v>
      </c>
      <c r="L1535" t="s">
        <v>16454</v>
      </c>
      <c r="M1535" t="s">
        <v>16455</v>
      </c>
      <c r="N1535" t="s">
        <v>16456</v>
      </c>
      <c r="O1535">
        <f>-678.712051697035 -100.948441370582 -510.917554066078</f>
        <v>-1290.578047133695</v>
      </c>
      <c r="P1535">
        <f>-693.538286083141 -96.6024759105185 -217.05967277337</f>
        <v>-1007.2004347670295</v>
      </c>
      <c r="Q1535" t="s">
        <v>16457</v>
      </c>
      <c r="R1535" t="s">
        <v>16458</v>
      </c>
      <c r="S1535" t="s">
        <v>16459</v>
      </c>
      <c r="T1535" t="s">
        <v>16460</v>
      </c>
      <c r="U1535" t="s">
        <v>16461</v>
      </c>
      <c r="V1535" t="s">
        <v>16462</v>
      </c>
      <c r="W1535" t="s">
        <v>16463</v>
      </c>
      <c r="X1535" t="s">
        <v>16464</v>
      </c>
      <c r="Y1535" t="s">
        <v>16465</v>
      </c>
    </row>
    <row r="1536" spans="1:25" x14ac:dyDescent="0.3">
      <c r="A1536">
        <v>76750</v>
      </c>
      <c r="B1536" t="s">
        <v>16466</v>
      </c>
      <c r="C1536" t="s">
        <v>16467</v>
      </c>
      <c r="D1536" t="s">
        <v>16468</v>
      </c>
      <c r="E1536" t="s">
        <v>16469</v>
      </c>
      <c r="F1536" t="s">
        <v>16470</v>
      </c>
      <c r="G1536" t="s">
        <v>16471</v>
      </c>
      <c r="H1536" t="s">
        <v>16472</v>
      </c>
      <c r="I1536" t="s">
        <v>16473</v>
      </c>
      <c r="J1536" t="s">
        <v>16474</v>
      </c>
      <c r="K1536" t="s">
        <v>16475</v>
      </c>
      <c r="L1536" t="s">
        <v>16476</v>
      </c>
      <c r="M1536" t="s">
        <v>16477</v>
      </c>
      <c r="N1536" t="s">
        <v>16478</v>
      </c>
      <c r="O1536">
        <f>-677.708505878079 -100.802113557761 -510.909885970821</f>
        <v>-1289.4205054066611</v>
      </c>
      <c r="P1536">
        <f>-692.803480739107 -96.5492780878596 -217.064288218175</f>
        <v>-1006.4170470451417</v>
      </c>
      <c r="Q1536" t="s">
        <v>16479</v>
      </c>
      <c r="R1536" t="s">
        <v>16480</v>
      </c>
      <c r="S1536" t="s">
        <v>16481</v>
      </c>
      <c r="T1536" t="s">
        <v>16482</v>
      </c>
      <c r="U1536" t="s">
        <v>16483</v>
      </c>
      <c r="V1536" t="s">
        <v>16484</v>
      </c>
      <c r="W1536" t="s">
        <v>16485</v>
      </c>
      <c r="X1536" t="s">
        <v>16486</v>
      </c>
      <c r="Y1536" t="s">
        <v>16487</v>
      </c>
    </row>
    <row r="1537" spans="1:25" x14ac:dyDescent="0.3">
      <c r="A1537">
        <v>76800</v>
      </c>
      <c r="B1537" t="s">
        <v>16488</v>
      </c>
      <c r="C1537" t="s">
        <v>16489</v>
      </c>
      <c r="D1537" t="s">
        <v>16490</v>
      </c>
      <c r="E1537" t="s">
        <v>16491</v>
      </c>
      <c r="F1537" t="s">
        <v>16492</v>
      </c>
      <c r="G1537" t="s">
        <v>16493</v>
      </c>
      <c r="H1537" t="s">
        <v>16494</v>
      </c>
      <c r="I1537" t="s">
        <v>16495</v>
      </c>
      <c r="J1537" t="s">
        <v>16496</v>
      </c>
      <c r="K1537" t="s">
        <v>16497</v>
      </c>
      <c r="L1537" t="s">
        <v>16498</v>
      </c>
      <c r="M1537" t="s">
        <v>16499</v>
      </c>
      <c r="N1537" t="s">
        <v>16500</v>
      </c>
      <c r="O1537">
        <f>-676.020551491527 -100.295407918872 -510.847082172559</f>
        <v>-1287.1630415829582</v>
      </c>
      <c r="P1537">
        <f>-691.478291622328 -96.2263918913004 -217.017676520104</f>
        <v>-1004.7223600337325</v>
      </c>
      <c r="Q1537" t="s">
        <v>16501</v>
      </c>
      <c r="R1537" t="s">
        <v>16502</v>
      </c>
      <c r="S1537" t="s">
        <v>16503</v>
      </c>
      <c r="T1537" t="s">
        <v>16504</v>
      </c>
      <c r="U1537" t="s">
        <v>16505</v>
      </c>
      <c r="V1537" t="s">
        <v>16506</v>
      </c>
      <c r="W1537" t="s">
        <v>16507</v>
      </c>
      <c r="X1537" t="s">
        <v>16508</v>
      </c>
      <c r="Y1537" t="s">
        <v>16509</v>
      </c>
    </row>
    <row r="1538" spans="1:25" x14ac:dyDescent="0.3">
      <c r="A1538">
        <v>76850</v>
      </c>
      <c r="B1538" t="s">
        <v>16510</v>
      </c>
      <c r="C1538" t="s">
        <v>16511</v>
      </c>
      <c r="D1538" t="s">
        <v>16512</v>
      </c>
      <c r="E1538" t="s">
        <v>16513</v>
      </c>
      <c r="F1538" t="s">
        <v>16514</v>
      </c>
      <c r="G1538" t="s">
        <v>16515</v>
      </c>
      <c r="H1538" t="s">
        <v>16516</v>
      </c>
      <c r="I1538" t="s">
        <v>16517</v>
      </c>
      <c r="J1538" t="s">
        <v>16518</v>
      </c>
      <c r="K1538" t="s">
        <v>16519</v>
      </c>
      <c r="L1538" t="s">
        <v>16520</v>
      </c>
      <c r="M1538" t="s">
        <v>16521</v>
      </c>
      <c r="N1538" t="s">
        <v>16522</v>
      </c>
      <c r="O1538">
        <f>-675.210978955045 -99.8866936525899 -510.781860819788</f>
        <v>-1285.8795334274228</v>
      </c>
      <c r="P1538">
        <f>-690.722467026264 -95.8664602032939 -216.954517799324</f>
        <v>-1003.5434450288818</v>
      </c>
      <c r="Q1538" t="s">
        <v>16523</v>
      </c>
      <c r="R1538" t="s">
        <v>16524</v>
      </c>
      <c r="S1538" t="s">
        <v>16525</v>
      </c>
      <c r="T1538" t="s">
        <v>16526</v>
      </c>
      <c r="U1538" t="s">
        <v>16527</v>
      </c>
      <c r="V1538" t="s">
        <v>16528</v>
      </c>
      <c r="W1538" t="s">
        <v>16529</v>
      </c>
      <c r="X1538" t="s">
        <v>16530</v>
      </c>
      <c r="Y1538" t="s">
        <v>16531</v>
      </c>
    </row>
    <row r="1539" spans="1:25" x14ac:dyDescent="0.3">
      <c r="A1539">
        <v>76900</v>
      </c>
      <c r="B1539" t="s">
        <v>16532</v>
      </c>
      <c r="C1539" t="s">
        <v>16533</v>
      </c>
      <c r="D1539" t="s">
        <v>16534</v>
      </c>
      <c r="E1539" t="s">
        <v>16535</v>
      </c>
      <c r="F1539" t="s">
        <v>16536</v>
      </c>
      <c r="G1539" t="s">
        <v>16537</v>
      </c>
      <c r="H1539" t="s">
        <v>16538</v>
      </c>
      <c r="I1539" t="s">
        <v>16539</v>
      </c>
      <c r="J1539" t="s">
        <v>16540</v>
      </c>
      <c r="K1539" t="s">
        <v>16541</v>
      </c>
      <c r="L1539" t="s">
        <v>16542</v>
      </c>
      <c r="M1539" t="s">
        <v>16543</v>
      </c>
      <c r="N1539" t="s">
        <v>16544</v>
      </c>
      <c r="O1539">
        <f>-673.830287861766 -99.0079841422139 -510.817957009388</f>
        <v>-1283.6562290133679</v>
      </c>
      <c r="P1539">
        <f>-689.276870280054 -95.6433219667133 -216.978955091688</f>
        <v>-1001.8991473384554</v>
      </c>
      <c r="Q1539" t="s">
        <v>16545</v>
      </c>
      <c r="R1539" t="s">
        <v>16546</v>
      </c>
      <c r="S1539" t="s">
        <v>16547</v>
      </c>
      <c r="T1539" t="s">
        <v>16548</v>
      </c>
      <c r="U1539" t="s">
        <v>16549</v>
      </c>
      <c r="V1539" t="s">
        <v>16550</v>
      </c>
      <c r="W1539" t="s">
        <v>16551</v>
      </c>
      <c r="X1539" t="s">
        <v>16552</v>
      </c>
      <c r="Y1539" t="s">
        <v>16553</v>
      </c>
    </row>
    <row r="1540" spans="1:25" x14ac:dyDescent="0.3">
      <c r="A1540">
        <v>76950</v>
      </c>
      <c r="B1540" t="s">
        <v>16554</v>
      </c>
      <c r="C1540" t="s">
        <v>16555</v>
      </c>
      <c r="D1540" t="s">
        <v>16556</v>
      </c>
      <c r="E1540" t="s">
        <v>16557</v>
      </c>
      <c r="F1540" t="s">
        <v>16558</v>
      </c>
      <c r="G1540" t="s">
        <v>16559</v>
      </c>
      <c r="H1540" t="s">
        <v>16560</v>
      </c>
      <c r="I1540" t="s">
        <v>16561</v>
      </c>
      <c r="J1540" t="s">
        <v>16562</v>
      </c>
      <c r="K1540" t="s">
        <v>16563</v>
      </c>
      <c r="L1540" t="s">
        <v>16564</v>
      </c>
      <c r="M1540" t="s">
        <v>16565</v>
      </c>
      <c r="N1540" t="s">
        <v>16566</v>
      </c>
      <c r="O1540">
        <f>-673.276671973253 -98.7829185587184 -510.901565206189</f>
        <v>-1282.9611557381604</v>
      </c>
      <c r="P1540">
        <f>-688.760874512095 -95.5761242748886 -217.062892996761</f>
        <v>-1001.3998917837446</v>
      </c>
      <c r="Q1540" t="s">
        <v>16567</v>
      </c>
      <c r="R1540" t="s">
        <v>16568</v>
      </c>
      <c r="S1540" t="s">
        <v>16569</v>
      </c>
      <c r="T1540" t="s">
        <v>16570</v>
      </c>
      <c r="U1540" t="s">
        <v>16571</v>
      </c>
      <c r="V1540" t="s">
        <v>16572</v>
      </c>
      <c r="W1540" t="s">
        <v>16573</v>
      </c>
      <c r="X1540" t="s">
        <v>16574</v>
      </c>
      <c r="Y1540" t="s">
        <v>16575</v>
      </c>
    </row>
    <row r="1541" spans="1:25" x14ac:dyDescent="0.3">
      <c r="A1541">
        <v>77000</v>
      </c>
      <c r="B1541" t="s">
        <v>16576</v>
      </c>
      <c r="C1541" t="s">
        <v>16577</v>
      </c>
      <c r="D1541" t="s">
        <v>16578</v>
      </c>
      <c r="E1541" t="s">
        <v>16579</v>
      </c>
      <c r="F1541" t="s">
        <v>16580</v>
      </c>
      <c r="G1541" t="s">
        <v>16581</v>
      </c>
      <c r="H1541" t="s">
        <v>16582</v>
      </c>
      <c r="I1541" t="s">
        <v>16583</v>
      </c>
      <c r="J1541" t="s">
        <v>16584</v>
      </c>
      <c r="K1541" t="s">
        <v>16585</v>
      </c>
      <c r="L1541" t="s">
        <v>16586</v>
      </c>
      <c r="M1541" t="s">
        <v>16587</v>
      </c>
      <c r="N1541" t="s">
        <v>16588</v>
      </c>
      <c r="O1541">
        <f>-672.438927236418 -98.2626379446674 -511.288701056326</f>
        <v>-1281.9902662374113</v>
      </c>
      <c r="P1541">
        <f>-688.019425376568 -95.7883990337464 -217.448085369821</f>
        <v>-1001.2559097801354</v>
      </c>
      <c r="Q1541" t="s">
        <v>16589</v>
      </c>
      <c r="R1541" t="s">
        <v>16590</v>
      </c>
      <c r="S1541" t="s">
        <v>16591</v>
      </c>
      <c r="T1541" t="s">
        <v>16592</v>
      </c>
      <c r="U1541" t="s">
        <v>16593</v>
      </c>
      <c r="V1541" t="s">
        <v>16594</v>
      </c>
      <c r="W1541" t="s">
        <v>16595</v>
      </c>
      <c r="X1541" t="s">
        <v>16596</v>
      </c>
      <c r="Y1541" t="s">
        <v>16597</v>
      </c>
    </row>
    <row r="1542" spans="1:25" x14ac:dyDescent="0.3">
      <c r="A1542">
        <v>77050</v>
      </c>
      <c r="B1542" t="s">
        <v>16598</v>
      </c>
      <c r="C1542" t="s">
        <v>16599</v>
      </c>
      <c r="D1542" t="s">
        <v>16600</v>
      </c>
      <c r="E1542" t="s">
        <v>16601</v>
      </c>
      <c r="F1542" t="s">
        <v>16602</v>
      </c>
      <c r="G1542" t="s">
        <v>16603</v>
      </c>
      <c r="H1542" t="s">
        <v>16604</v>
      </c>
      <c r="I1542" t="s">
        <v>16605</v>
      </c>
      <c r="J1542" t="s">
        <v>16606</v>
      </c>
      <c r="K1542" t="s">
        <v>16607</v>
      </c>
      <c r="L1542" t="s">
        <v>16608</v>
      </c>
      <c r="M1542" t="s">
        <v>16609</v>
      </c>
      <c r="N1542" t="s">
        <v>16610</v>
      </c>
      <c r="O1542">
        <f>-671.837370258717 -98.0697017182715 -511.572477555385</f>
        <v>-1281.4795495323735</v>
      </c>
      <c r="P1542">
        <f>-687.87893197611 -95.9879012550448 -217.753577165498</f>
        <v>-1001.6204103966528</v>
      </c>
      <c r="Q1542" t="s">
        <v>16611</v>
      </c>
      <c r="R1542" t="s">
        <v>16612</v>
      </c>
      <c r="S1542" t="s">
        <v>16613</v>
      </c>
      <c r="T1542" t="s">
        <v>16614</v>
      </c>
      <c r="U1542" t="s">
        <v>16615</v>
      </c>
      <c r="V1542" t="s">
        <v>16616</v>
      </c>
      <c r="W1542" t="s">
        <v>16617</v>
      </c>
      <c r="X1542" t="s">
        <v>16618</v>
      </c>
      <c r="Y1542" t="s">
        <v>16619</v>
      </c>
    </row>
    <row r="1543" spans="1:25" x14ac:dyDescent="0.3">
      <c r="A1543">
        <v>77100</v>
      </c>
      <c r="B1543" t="s">
        <v>16620</v>
      </c>
      <c r="C1543" t="s">
        <v>16621</v>
      </c>
      <c r="D1543" t="s">
        <v>16622</v>
      </c>
      <c r="E1543" t="s">
        <v>16623</v>
      </c>
      <c r="F1543" t="s">
        <v>16624</v>
      </c>
      <c r="G1543" t="s">
        <v>16625</v>
      </c>
      <c r="H1543" t="s">
        <v>16626</v>
      </c>
      <c r="I1543" t="s">
        <v>16627</v>
      </c>
      <c r="J1543" t="s">
        <v>16628</v>
      </c>
      <c r="K1543" t="s">
        <v>16629</v>
      </c>
      <c r="L1543" t="s">
        <v>16630</v>
      </c>
      <c r="M1543" t="s">
        <v>16631</v>
      </c>
      <c r="N1543" t="s">
        <v>16632</v>
      </c>
      <c r="O1543">
        <f>-670.88384631447 -97.6503681774316 -512.494637617244</f>
        <v>-1281.0288521091456</v>
      </c>
      <c r="P1543">
        <f>-688.82026428367 -96.2704544788278 -218.78103935636</f>
        <v>-1003.8717581188578</v>
      </c>
      <c r="Q1543" t="s">
        <v>16633</v>
      </c>
      <c r="R1543" t="s">
        <v>16634</v>
      </c>
      <c r="S1543" t="s">
        <v>16635</v>
      </c>
      <c r="T1543" t="s">
        <v>16636</v>
      </c>
      <c r="U1543" t="s">
        <v>16637</v>
      </c>
      <c r="V1543" t="s">
        <v>16638</v>
      </c>
      <c r="W1543" t="s">
        <v>16639</v>
      </c>
      <c r="X1543" t="s">
        <v>16640</v>
      </c>
      <c r="Y1543" t="s">
        <v>16641</v>
      </c>
    </row>
    <row r="1544" spans="1:25" x14ac:dyDescent="0.3">
      <c r="A1544">
        <v>77150</v>
      </c>
      <c r="B1544" t="s">
        <v>16642</v>
      </c>
      <c r="C1544" t="s">
        <v>16643</v>
      </c>
      <c r="D1544" t="s">
        <v>16644</v>
      </c>
      <c r="E1544" t="s">
        <v>16645</v>
      </c>
      <c r="F1544" t="s">
        <v>16646</v>
      </c>
      <c r="G1544" t="s">
        <v>16647</v>
      </c>
      <c r="H1544" t="s">
        <v>16648</v>
      </c>
      <c r="I1544" t="s">
        <v>16649</v>
      </c>
      <c r="J1544" t="s">
        <v>16650</v>
      </c>
      <c r="K1544" t="s">
        <v>16651</v>
      </c>
      <c r="L1544" t="s">
        <v>16652</v>
      </c>
      <c r="M1544" t="s">
        <v>16653</v>
      </c>
      <c r="N1544" t="s">
        <v>16654</v>
      </c>
      <c r="O1544">
        <f>-670.757585583387 -97.1670551719656 -513.249311141855</f>
        <v>-1281.1739518972076</v>
      </c>
      <c r="P1544">
        <f>-689.5612506673 -96.6904288519374 -219.587334044609</f>
        <v>-1005.8390135638465</v>
      </c>
      <c r="Q1544" t="s">
        <v>16655</v>
      </c>
      <c r="R1544" t="s">
        <v>16656</v>
      </c>
      <c r="S1544" t="s">
        <v>16657</v>
      </c>
      <c r="T1544" t="s">
        <v>16658</v>
      </c>
      <c r="U1544" t="s">
        <v>16659</v>
      </c>
      <c r="V1544" t="s">
        <v>16660</v>
      </c>
      <c r="W1544" t="s">
        <v>16661</v>
      </c>
      <c r="X1544" t="s">
        <v>16662</v>
      </c>
      <c r="Y1544" t="s">
        <v>16663</v>
      </c>
    </row>
    <row r="1545" spans="1:25" x14ac:dyDescent="0.3">
      <c r="A1545">
        <v>77200</v>
      </c>
      <c r="B1545" t="s">
        <v>16664</v>
      </c>
      <c r="C1545" t="s">
        <v>16665</v>
      </c>
      <c r="D1545" t="s">
        <v>16666</v>
      </c>
      <c r="E1545" t="s">
        <v>16667</v>
      </c>
      <c r="F1545" t="s">
        <v>16668</v>
      </c>
      <c r="G1545" t="s">
        <v>16669</v>
      </c>
      <c r="H1545" t="s">
        <v>16670</v>
      </c>
      <c r="I1545" t="s">
        <v>16671</v>
      </c>
      <c r="J1545" t="s">
        <v>16672</v>
      </c>
      <c r="K1545" t="s">
        <v>16673</v>
      </c>
      <c r="L1545" t="s">
        <v>16674</v>
      </c>
      <c r="M1545" t="s">
        <v>16675</v>
      </c>
      <c r="N1545" t="s">
        <v>16676</v>
      </c>
      <c r="O1545">
        <f>-670.518399216438 -95.1552556081713 -515.615883096073</f>
        <v>-1281.2895379206823</v>
      </c>
      <c r="P1545">
        <f>-692.001782796074 -97.1099052071886 -222.143757512216</f>
        <v>-1011.2554455154786</v>
      </c>
      <c r="Q1545" t="s">
        <v>16677</v>
      </c>
      <c r="R1545" t="s">
        <v>16678</v>
      </c>
      <c r="S1545" t="s">
        <v>16679</v>
      </c>
      <c r="T1545" t="s">
        <v>16680</v>
      </c>
      <c r="U1545" t="s">
        <v>16681</v>
      </c>
      <c r="V1545" t="s">
        <v>16682</v>
      </c>
      <c r="W1545" t="s">
        <v>16683</v>
      </c>
      <c r="X1545" t="s">
        <v>16684</v>
      </c>
      <c r="Y1545" t="s">
        <v>16685</v>
      </c>
    </row>
    <row r="1546" spans="1:25" x14ac:dyDescent="0.3">
      <c r="A1546">
        <v>77250</v>
      </c>
      <c r="B1546" t="s">
        <v>16686</v>
      </c>
      <c r="C1546" t="s">
        <v>16687</v>
      </c>
      <c r="D1546" t="s">
        <v>16688</v>
      </c>
      <c r="E1546" t="s">
        <v>16689</v>
      </c>
      <c r="F1546" t="s">
        <v>16690</v>
      </c>
      <c r="G1546" t="s">
        <v>16691</v>
      </c>
      <c r="H1546" t="s">
        <v>16692</v>
      </c>
      <c r="I1546" t="s">
        <v>16693</v>
      </c>
      <c r="J1546" t="s">
        <v>16694</v>
      </c>
      <c r="K1546" t="s">
        <v>16695</v>
      </c>
      <c r="L1546" t="s">
        <v>16696</v>
      </c>
      <c r="M1546" t="s">
        <v>16697</v>
      </c>
      <c r="N1546" t="s">
        <v>16698</v>
      </c>
      <c r="O1546">
        <f>-670.206838564442 -94.1288755697542 -517.330961666692</f>
        <v>-1281.6666758008882</v>
      </c>
      <c r="P1546">
        <f>-693.33933906462 -98.5880990825888 -224.011678389157</f>
        <v>-1015.9391165363659</v>
      </c>
      <c r="Q1546" t="s">
        <v>16699</v>
      </c>
      <c r="R1546" t="s">
        <v>16700</v>
      </c>
      <c r="S1546" t="s">
        <v>16701</v>
      </c>
      <c r="T1546" t="s">
        <v>16702</v>
      </c>
      <c r="U1546" t="s">
        <v>16703</v>
      </c>
      <c r="V1546" t="s">
        <v>16704</v>
      </c>
      <c r="W1546" t="s">
        <v>16705</v>
      </c>
      <c r="X1546" t="s">
        <v>16706</v>
      </c>
      <c r="Y1546" t="s">
        <v>16707</v>
      </c>
    </row>
    <row r="1547" spans="1:25" x14ac:dyDescent="0.3">
      <c r="A1547">
        <v>77300</v>
      </c>
      <c r="B1547" t="s">
        <v>16708</v>
      </c>
      <c r="C1547" t="s">
        <v>16709</v>
      </c>
      <c r="D1547" t="s">
        <v>16710</v>
      </c>
      <c r="E1547" t="s">
        <v>16711</v>
      </c>
      <c r="F1547" t="s">
        <v>16712</v>
      </c>
      <c r="G1547" t="s">
        <v>16713</v>
      </c>
      <c r="H1547" t="s">
        <v>16714</v>
      </c>
      <c r="I1547" t="s">
        <v>16715</v>
      </c>
      <c r="J1547" t="s">
        <v>16716</v>
      </c>
      <c r="K1547" t="s">
        <v>16717</v>
      </c>
      <c r="L1547" t="s">
        <v>16718</v>
      </c>
      <c r="M1547" t="s">
        <v>16719</v>
      </c>
      <c r="N1547" t="s">
        <v>16720</v>
      </c>
      <c r="O1547">
        <f>-669.292685169374 -91.4489562038004 -521.555728928497</f>
        <v>-1282.2973703016714</v>
      </c>
      <c r="P1547">
        <f>-697.155023285501 -101.891671590235 -228.800042436456</f>
        <v>-1027.8467373121921</v>
      </c>
      <c r="Q1547" t="s">
        <v>16721</v>
      </c>
      <c r="R1547" t="s">
        <v>16722</v>
      </c>
      <c r="S1547" t="s">
        <v>16723</v>
      </c>
      <c r="T1547" t="s">
        <v>16724</v>
      </c>
      <c r="U1547" t="s">
        <v>16725</v>
      </c>
      <c r="V1547">
        <f>-674.653371024984 -0.581889805740275 -91.9982904488751</f>
        <v>-767.2335512795994</v>
      </c>
      <c r="W1547" t="s">
        <v>16726</v>
      </c>
      <c r="X1547" t="s">
        <v>16727</v>
      </c>
      <c r="Y1547" t="s">
        <v>16728</v>
      </c>
    </row>
    <row r="1548" spans="1:25" x14ac:dyDescent="0.3">
      <c r="A1548">
        <v>77350</v>
      </c>
      <c r="B1548" t="s">
        <v>16729</v>
      </c>
      <c r="C1548" t="s">
        <v>16730</v>
      </c>
      <c r="D1548" t="s">
        <v>16731</v>
      </c>
      <c r="E1548" t="s">
        <v>16732</v>
      </c>
      <c r="F1548" t="s">
        <v>16733</v>
      </c>
      <c r="G1548" t="s">
        <v>16734</v>
      </c>
      <c r="H1548" t="s">
        <v>16735</v>
      </c>
      <c r="I1548" t="s">
        <v>16736</v>
      </c>
      <c r="J1548" t="s">
        <v>16737</v>
      </c>
      <c r="K1548" t="s">
        <v>16738</v>
      </c>
      <c r="L1548" t="s">
        <v>16739</v>
      </c>
      <c r="M1548" t="s">
        <v>16740</v>
      </c>
      <c r="N1548" t="s">
        <v>16741</v>
      </c>
      <c r="O1548">
        <f>-669.343780175499 -89.9360217173164 -523.743343088688</f>
        <v>-1283.0231449815033</v>
      </c>
      <c r="P1548">
        <f>-699.630382915482 -103.196710644129 -231.34291617333</f>
        <v>-1034.170009732941</v>
      </c>
      <c r="Q1548" t="s">
        <v>16742</v>
      </c>
      <c r="R1548" t="s">
        <v>16743</v>
      </c>
      <c r="S1548" t="s">
        <v>16744</v>
      </c>
      <c r="T1548" t="s">
        <v>16745</v>
      </c>
      <c r="U1548" t="s">
        <v>16746</v>
      </c>
      <c r="V1548">
        <f>-674.939353599677 -1.58990683513207 -92.2674930403526</f>
        <v>-768.79675347516172</v>
      </c>
      <c r="W1548" t="s">
        <v>16747</v>
      </c>
      <c r="X1548" t="s">
        <v>16748</v>
      </c>
      <c r="Y1548" t="s">
        <v>16749</v>
      </c>
    </row>
    <row r="1549" spans="1:25" x14ac:dyDescent="0.3">
      <c r="A1549">
        <v>77400</v>
      </c>
      <c r="B1549" t="s">
        <v>16750</v>
      </c>
      <c r="C1549" t="s">
        <v>16751</v>
      </c>
      <c r="D1549" t="s">
        <v>16752</v>
      </c>
      <c r="E1549" t="s">
        <v>16753</v>
      </c>
      <c r="F1549" t="s">
        <v>16754</v>
      </c>
      <c r="G1549" t="s">
        <v>16755</v>
      </c>
      <c r="H1549" t="s">
        <v>16756</v>
      </c>
      <c r="I1549" t="s">
        <v>16757</v>
      </c>
      <c r="J1549" t="s">
        <v>16758</v>
      </c>
      <c r="K1549" t="s">
        <v>16759</v>
      </c>
      <c r="L1549" t="s">
        <v>16760</v>
      </c>
      <c r="M1549" t="s">
        <v>16761</v>
      </c>
      <c r="N1549" t="s">
        <v>16762</v>
      </c>
      <c r="O1549">
        <f>-672.339954727346 -87.6511419663525 -526.955687772004</f>
        <v>-1286.9467844657024</v>
      </c>
      <c r="P1549">
        <f>-704.652836232843 -103.07889439407 -234.878493529959</f>
        <v>-1042.6102241568722</v>
      </c>
      <c r="Q1549" t="s">
        <v>16763</v>
      </c>
      <c r="R1549" t="s">
        <v>16764</v>
      </c>
      <c r="S1549" t="s">
        <v>16765</v>
      </c>
      <c r="T1549" t="s">
        <v>16766</v>
      </c>
      <c r="U1549" t="s">
        <v>16767</v>
      </c>
      <c r="V1549">
        <f>-676.821884098259 -2.99903977073996 -92.4845560918717</f>
        <v>-772.30547996087068</v>
      </c>
      <c r="W1549" t="s">
        <v>16768</v>
      </c>
      <c r="X1549" t="s">
        <v>16769</v>
      </c>
      <c r="Y1549" t="s">
        <v>16770</v>
      </c>
    </row>
    <row r="1550" spans="1:25" x14ac:dyDescent="0.3">
      <c r="A1550">
        <v>77450</v>
      </c>
      <c r="B1550" t="s">
        <v>16771</v>
      </c>
      <c r="C1550" t="s">
        <v>16772</v>
      </c>
      <c r="D1550" t="s">
        <v>16773</v>
      </c>
      <c r="E1550" t="s">
        <v>16774</v>
      </c>
      <c r="F1550" t="s">
        <v>16775</v>
      </c>
      <c r="G1550" t="s">
        <v>16776</v>
      </c>
      <c r="H1550" t="s">
        <v>16777</v>
      </c>
      <c r="I1550" t="s">
        <v>16778</v>
      </c>
      <c r="J1550" t="s">
        <v>16779</v>
      </c>
      <c r="K1550" t="s">
        <v>16780</v>
      </c>
      <c r="L1550" t="s">
        <v>16781</v>
      </c>
      <c r="M1550" t="s">
        <v>16782</v>
      </c>
      <c r="N1550" t="s">
        <v>16783</v>
      </c>
      <c r="O1550">
        <f>-674.565699847253 -86.9017472099922 -528.001948586902</f>
        <v>-1289.4693956441472</v>
      </c>
      <c r="P1550">
        <f>-706.569636690707 -103.186877536126 -235.937344846533</f>
        <v>-1045.693859073366</v>
      </c>
      <c r="Q1550" t="s">
        <v>16784</v>
      </c>
      <c r="R1550" t="s">
        <v>16785</v>
      </c>
      <c r="S1550" t="s">
        <v>16786</v>
      </c>
      <c r="T1550" t="s">
        <v>16787</v>
      </c>
      <c r="U1550" t="s">
        <v>16788</v>
      </c>
      <c r="V1550">
        <f>-677.993474830631 -3.90040541583903 -92.4899127502389</f>
        <v>-774.38379299670896</v>
      </c>
      <c r="W1550" t="s">
        <v>16789</v>
      </c>
      <c r="X1550" t="s">
        <v>16790</v>
      </c>
      <c r="Y1550" t="s">
        <v>16791</v>
      </c>
    </row>
    <row r="1551" spans="1:25" x14ac:dyDescent="0.3">
      <c r="A1551">
        <v>77500</v>
      </c>
      <c r="B1551" t="s">
        <v>16792</v>
      </c>
      <c r="C1551" t="s">
        <v>16793</v>
      </c>
      <c r="D1551" t="s">
        <v>16794</v>
      </c>
      <c r="E1551" t="s">
        <v>16795</v>
      </c>
      <c r="F1551" t="s">
        <v>16796</v>
      </c>
      <c r="G1551" t="s">
        <v>16797</v>
      </c>
      <c r="H1551" t="s">
        <v>16798</v>
      </c>
      <c r="I1551" t="s">
        <v>16799</v>
      </c>
      <c r="J1551" t="s">
        <v>16800</v>
      </c>
      <c r="K1551" t="s">
        <v>16801</v>
      </c>
      <c r="L1551" t="s">
        <v>16802</v>
      </c>
      <c r="M1551" t="s">
        <v>16803</v>
      </c>
      <c r="N1551" t="s">
        <v>16804</v>
      </c>
      <c r="O1551">
        <f>-677.81827143621 -85.8191260156084 -529.621717814797</f>
        <v>-1293.2591152666155</v>
      </c>
      <c r="P1551">
        <f>-709.776489835017 -104.245589206031 -237.67920108868</f>
        <v>-1051.701280129728</v>
      </c>
      <c r="Q1551" t="s">
        <v>16805</v>
      </c>
      <c r="R1551" t="s">
        <v>16806</v>
      </c>
      <c r="S1551" t="s">
        <v>16807</v>
      </c>
      <c r="T1551" t="s">
        <v>16808</v>
      </c>
      <c r="U1551" t="s">
        <v>16809</v>
      </c>
      <c r="V1551">
        <f>-679.724925767408 -5.77282352487305 -92.3997074354947</f>
        <v>-777.89745672777576</v>
      </c>
      <c r="W1551" t="s">
        <v>16810</v>
      </c>
      <c r="X1551" t="s">
        <v>16811</v>
      </c>
      <c r="Y1551" t="s">
        <v>16812</v>
      </c>
    </row>
    <row r="1552" spans="1:25" x14ac:dyDescent="0.3">
      <c r="A1552">
        <v>77550</v>
      </c>
      <c r="B1552" t="s">
        <v>16813</v>
      </c>
      <c r="C1552" t="s">
        <v>16814</v>
      </c>
      <c r="D1552" t="s">
        <v>16815</v>
      </c>
      <c r="E1552" t="s">
        <v>16816</v>
      </c>
      <c r="F1552" t="s">
        <v>16817</v>
      </c>
      <c r="G1552" t="s">
        <v>16818</v>
      </c>
      <c r="H1552" t="s">
        <v>16819</v>
      </c>
      <c r="I1552" t="s">
        <v>16820</v>
      </c>
      <c r="J1552" t="s">
        <v>16821</v>
      </c>
      <c r="K1552" t="s">
        <v>16822</v>
      </c>
      <c r="L1552" t="s">
        <v>16823</v>
      </c>
      <c r="M1552" t="s">
        <v>16824</v>
      </c>
      <c r="N1552" t="s">
        <v>16825</v>
      </c>
      <c r="O1552">
        <f>-678.460052454999 -85.292281325078 -530.332533949292</f>
        <v>-1294.0848677293689</v>
      </c>
      <c r="P1552">
        <f>-710.965348696318 -105.624747404411 -238.577286229578</f>
        <v>-1055.167382330307</v>
      </c>
      <c r="Q1552" t="s">
        <v>16826</v>
      </c>
      <c r="R1552" t="s">
        <v>16827</v>
      </c>
      <c r="S1552" t="s">
        <v>16828</v>
      </c>
      <c r="T1552" t="s">
        <v>16829</v>
      </c>
      <c r="U1552" t="s">
        <v>16830</v>
      </c>
      <c r="V1552">
        <f>-680.027009847383 -6.67363782283564 -92.2896370586187</f>
        <v>-778.99028472883742</v>
      </c>
      <c r="W1552" t="s">
        <v>16831</v>
      </c>
      <c r="X1552" t="s">
        <v>16832</v>
      </c>
      <c r="Y1552" t="s">
        <v>16833</v>
      </c>
    </row>
    <row r="1553" spans="1:25" x14ac:dyDescent="0.3">
      <c r="A1553">
        <v>77600</v>
      </c>
      <c r="B1553" t="s">
        <v>16834</v>
      </c>
      <c r="C1553" t="s">
        <v>16835</v>
      </c>
      <c r="D1553" t="s">
        <v>16836</v>
      </c>
      <c r="E1553" t="s">
        <v>16837</v>
      </c>
      <c r="F1553" t="s">
        <v>16838</v>
      </c>
      <c r="G1553" t="s">
        <v>16839</v>
      </c>
      <c r="H1553" t="s">
        <v>16840</v>
      </c>
      <c r="I1553" t="s">
        <v>16841</v>
      </c>
      <c r="J1553" t="s">
        <v>16842</v>
      </c>
      <c r="K1553" t="s">
        <v>16843</v>
      </c>
      <c r="L1553" t="s">
        <v>16844</v>
      </c>
      <c r="M1553" t="s">
        <v>16845</v>
      </c>
      <c r="N1553" t="s">
        <v>16846</v>
      </c>
      <c r="O1553">
        <f>-678.5930067222 -84.5551806565147 -531.756952656</f>
        <v>-1294.9051400347148</v>
      </c>
      <c r="P1553">
        <f>-713.971045673164 -106.935629445462 -240.486059526782</f>
        <v>-1061.3927346454079</v>
      </c>
      <c r="Q1553" t="s">
        <v>16847</v>
      </c>
      <c r="R1553" t="s">
        <v>16848</v>
      </c>
      <c r="S1553" t="s">
        <v>16849</v>
      </c>
      <c r="T1553" t="s">
        <v>16850</v>
      </c>
      <c r="U1553" t="s">
        <v>16851</v>
      </c>
      <c r="V1553">
        <f>-679.673428372315 -8.6093100293358 -92.2679946979616</f>
        <v>-780.55073309961244</v>
      </c>
      <c r="W1553" t="s">
        <v>16852</v>
      </c>
      <c r="X1553" t="s">
        <v>16853</v>
      </c>
      <c r="Y1553" t="s">
        <v>16854</v>
      </c>
    </row>
    <row r="1554" spans="1:25" x14ac:dyDescent="0.3">
      <c r="A1554">
        <v>77650</v>
      </c>
      <c r="B1554" t="s">
        <v>16855</v>
      </c>
      <c r="C1554" t="s">
        <v>16856</v>
      </c>
      <c r="D1554" t="s">
        <v>16857</v>
      </c>
      <c r="E1554" t="s">
        <v>16858</v>
      </c>
      <c r="F1554" t="s">
        <v>16859</v>
      </c>
      <c r="G1554" t="s">
        <v>16860</v>
      </c>
      <c r="H1554" t="s">
        <v>16861</v>
      </c>
      <c r="I1554" t="s">
        <v>16862</v>
      </c>
      <c r="J1554" t="s">
        <v>16863</v>
      </c>
      <c r="K1554" t="s">
        <v>16864</v>
      </c>
      <c r="L1554" t="s">
        <v>16865</v>
      </c>
      <c r="M1554" t="s">
        <v>16866</v>
      </c>
      <c r="N1554" t="s">
        <v>16867</v>
      </c>
      <c r="O1554">
        <f>-678.861997650723 -84.9622275785173 -532.252487936231</f>
        <v>-1296.0767131654711</v>
      </c>
      <c r="P1554">
        <f>-714.976523422098 -107.820612293554 -241.109137225404</f>
        <v>-1063.9062729410562</v>
      </c>
      <c r="Q1554" t="s">
        <v>16868</v>
      </c>
      <c r="R1554" t="s">
        <v>16869</v>
      </c>
      <c r="S1554" t="s">
        <v>16870</v>
      </c>
      <c r="T1554" t="s">
        <v>16871</v>
      </c>
      <c r="U1554" t="s">
        <v>16872</v>
      </c>
      <c r="V1554">
        <f>-679.431934309583 -9.68022992317401 -92.3074703639647</f>
        <v>-781.41963459672172</v>
      </c>
      <c r="W1554" t="s">
        <v>16873</v>
      </c>
      <c r="X1554" t="s">
        <v>16874</v>
      </c>
      <c r="Y1554" t="s">
        <v>16875</v>
      </c>
    </row>
    <row r="1555" spans="1:25" x14ac:dyDescent="0.3">
      <c r="A1555">
        <v>77700</v>
      </c>
      <c r="B1555" t="s">
        <v>16876</v>
      </c>
      <c r="C1555" t="s">
        <v>16877</v>
      </c>
      <c r="D1555" t="s">
        <v>16878</v>
      </c>
      <c r="E1555" t="s">
        <v>16879</v>
      </c>
      <c r="F1555" t="s">
        <v>16880</v>
      </c>
      <c r="G1555" t="s">
        <v>16881</v>
      </c>
      <c r="H1555" t="s">
        <v>16882</v>
      </c>
      <c r="I1555" t="s">
        <v>16883</v>
      </c>
      <c r="J1555" t="s">
        <v>16884</v>
      </c>
      <c r="K1555" t="s">
        <v>16885</v>
      </c>
      <c r="L1555" t="s">
        <v>16886</v>
      </c>
      <c r="M1555" t="s">
        <v>16887</v>
      </c>
      <c r="N1555" t="s">
        <v>16888</v>
      </c>
      <c r="O1555">
        <f>-680.096916634167 -86.1587636086304 -532.806549522117</f>
        <v>-1299.0622297649143</v>
      </c>
      <c r="P1555">
        <f>-715.720357532496 -110.045030544092 -241.685200045191</f>
        <v>-1067.450588121779</v>
      </c>
      <c r="Q1555" t="s">
        <v>16889</v>
      </c>
      <c r="R1555" t="s">
        <v>16890</v>
      </c>
      <c r="S1555" t="s">
        <v>16891</v>
      </c>
      <c r="T1555" t="s">
        <v>16892</v>
      </c>
      <c r="U1555" t="s">
        <v>16893</v>
      </c>
      <c r="V1555">
        <f>-678.86033026138 -11.6422227258979 -92.3472965056507</f>
        <v>-782.84984949292857</v>
      </c>
      <c r="W1555" t="s">
        <v>16894</v>
      </c>
      <c r="X1555" t="s">
        <v>16895</v>
      </c>
      <c r="Y1555" t="s">
        <v>16896</v>
      </c>
    </row>
    <row r="1556" spans="1:25" x14ac:dyDescent="0.3">
      <c r="A1556">
        <v>77750</v>
      </c>
      <c r="B1556" t="s">
        <v>16897</v>
      </c>
      <c r="C1556" t="s">
        <v>16898</v>
      </c>
      <c r="D1556" t="s">
        <v>16899</v>
      </c>
      <c r="E1556" t="s">
        <v>16900</v>
      </c>
      <c r="F1556" t="s">
        <v>16901</v>
      </c>
      <c r="G1556" t="s">
        <v>16902</v>
      </c>
      <c r="H1556" t="s">
        <v>16903</v>
      </c>
      <c r="I1556" t="s">
        <v>16904</v>
      </c>
      <c r="J1556" t="s">
        <v>16905</v>
      </c>
      <c r="K1556" t="s">
        <v>16906</v>
      </c>
      <c r="L1556" t="s">
        <v>16907</v>
      </c>
      <c r="M1556" t="s">
        <v>16908</v>
      </c>
      <c r="N1556" t="s">
        <v>16909</v>
      </c>
      <c r="O1556">
        <f>-680.470853730725 -86.4895803498935 -532.870445352781</f>
        <v>-1299.8308794333993</v>
      </c>
      <c r="P1556">
        <f>-715.86043974245 -110.759899035317 -241.752412497643</f>
        <v>-1068.3727512754101</v>
      </c>
      <c r="Q1556" t="s">
        <v>16910</v>
      </c>
      <c r="R1556" t="s">
        <v>16911</v>
      </c>
      <c r="S1556" t="s">
        <v>16912</v>
      </c>
      <c r="T1556" t="s">
        <v>16913</v>
      </c>
      <c r="U1556" t="s">
        <v>16914</v>
      </c>
      <c r="V1556">
        <f>-678.709753890937 -12.1709301945518 -92.3541295687575</f>
        <v>-783.2348136542463</v>
      </c>
      <c r="W1556" t="s">
        <v>16915</v>
      </c>
      <c r="X1556" t="s">
        <v>16916</v>
      </c>
      <c r="Y1556" t="s">
        <v>16917</v>
      </c>
    </row>
    <row r="1557" spans="1:25" x14ac:dyDescent="0.3">
      <c r="A1557">
        <v>77800</v>
      </c>
      <c r="B1557" t="s">
        <v>16918</v>
      </c>
      <c r="C1557" t="s">
        <v>16919</v>
      </c>
      <c r="D1557" t="s">
        <v>16920</v>
      </c>
      <c r="E1557" t="s">
        <v>16921</v>
      </c>
      <c r="F1557" t="s">
        <v>16922</v>
      </c>
      <c r="G1557" t="s">
        <v>16923</v>
      </c>
      <c r="H1557" t="s">
        <v>16924</v>
      </c>
      <c r="I1557" t="s">
        <v>16925</v>
      </c>
      <c r="J1557" t="s">
        <v>16926</v>
      </c>
      <c r="K1557" t="s">
        <v>16927</v>
      </c>
      <c r="L1557" t="s">
        <v>16928</v>
      </c>
      <c r="M1557" t="s">
        <v>16929</v>
      </c>
      <c r="N1557" t="s">
        <v>16930</v>
      </c>
      <c r="O1557">
        <f>-681.797491421394 -86.2498029112544 -532.964097751396</f>
        <v>-1301.0113920840445</v>
      </c>
      <c r="P1557">
        <f>-716.318066516443 -111.000840223255 -241.782100426498</f>
        <v>-1069.1010071661958</v>
      </c>
      <c r="Q1557" t="s">
        <v>16931</v>
      </c>
      <c r="R1557" t="s">
        <v>16932</v>
      </c>
      <c r="S1557" t="s">
        <v>16933</v>
      </c>
      <c r="T1557" t="s">
        <v>16934</v>
      </c>
      <c r="U1557" t="s">
        <v>16935</v>
      </c>
      <c r="V1557">
        <f>-679.190630566388 -12.0505801897104 -92.3147897829386</f>
        <v>-783.55600053903709</v>
      </c>
      <c r="W1557" t="s">
        <v>16936</v>
      </c>
      <c r="X1557" t="s">
        <v>16937</v>
      </c>
      <c r="Y1557" t="s">
        <v>16938</v>
      </c>
    </row>
    <row r="1558" spans="1:25" x14ac:dyDescent="0.3">
      <c r="A1558">
        <v>77850</v>
      </c>
      <c r="B1558" t="s">
        <v>16939</v>
      </c>
      <c r="C1558" t="s">
        <v>16940</v>
      </c>
      <c r="D1558" t="s">
        <v>16941</v>
      </c>
      <c r="E1558" t="s">
        <v>16942</v>
      </c>
      <c r="F1558" t="s">
        <v>16943</v>
      </c>
      <c r="G1558" t="s">
        <v>16944</v>
      </c>
      <c r="H1558" t="s">
        <v>16945</v>
      </c>
      <c r="I1558" t="s">
        <v>16946</v>
      </c>
      <c r="J1558" t="s">
        <v>16947</v>
      </c>
      <c r="K1558" t="s">
        <v>16948</v>
      </c>
      <c r="L1558" t="s">
        <v>16949</v>
      </c>
      <c r="M1558" t="s">
        <v>16950</v>
      </c>
      <c r="N1558" t="s">
        <v>16951</v>
      </c>
      <c r="O1558">
        <f>-682.423084017127 -86.2171711204821 -532.877178964306</f>
        <v>-1301.5174341019151</v>
      </c>
      <c r="P1558">
        <f>-716.494321228324 -111.398037507236 -241.679130021355</f>
        <v>-1069.571488756915</v>
      </c>
      <c r="Q1558" t="s">
        <v>16952</v>
      </c>
      <c r="R1558" t="s">
        <v>16953</v>
      </c>
      <c r="S1558" t="s">
        <v>16954</v>
      </c>
      <c r="T1558" t="s">
        <v>16955</v>
      </c>
      <c r="U1558" t="s">
        <v>16956</v>
      </c>
      <c r="V1558">
        <f>-679.46823848798 -12.1310685117962 -92.2842475872302</f>
        <v>-783.88355458700642</v>
      </c>
      <c r="W1558" t="s">
        <v>16957</v>
      </c>
      <c r="X1558" t="s">
        <v>16958</v>
      </c>
      <c r="Y1558" t="s">
        <v>16959</v>
      </c>
    </row>
    <row r="1559" spans="1:25" x14ac:dyDescent="0.3">
      <c r="A1559">
        <v>77900</v>
      </c>
      <c r="B1559" t="s">
        <v>16960</v>
      </c>
      <c r="C1559" t="s">
        <v>16961</v>
      </c>
      <c r="D1559" t="s">
        <v>16962</v>
      </c>
      <c r="E1559" t="s">
        <v>16963</v>
      </c>
      <c r="F1559" t="s">
        <v>16964</v>
      </c>
      <c r="G1559" t="s">
        <v>16965</v>
      </c>
      <c r="H1559" t="s">
        <v>16966</v>
      </c>
      <c r="I1559" t="s">
        <v>16967</v>
      </c>
      <c r="J1559" t="s">
        <v>16968</v>
      </c>
      <c r="K1559" t="s">
        <v>16969</v>
      </c>
      <c r="L1559" t="s">
        <v>16970</v>
      </c>
      <c r="M1559" t="s">
        <v>16971</v>
      </c>
      <c r="N1559" t="s">
        <v>16972</v>
      </c>
      <c r="O1559">
        <f>-683.269164473306 -86.1951045482801 -532.405979894831</f>
        <v>-1301.870248916417</v>
      </c>
      <c r="P1559">
        <f>-716.683624314101 -111.948482420035 -241.181960301549</f>
        <v>-1069.8140670356852</v>
      </c>
      <c r="Q1559" t="s">
        <v>16973</v>
      </c>
      <c r="R1559" t="s">
        <v>16974</v>
      </c>
      <c r="S1559" t="s">
        <v>16975</v>
      </c>
      <c r="T1559" t="s">
        <v>16976</v>
      </c>
      <c r="U1559" t="s">
        <v>16977</v>
      </c>
      <c r="V1559">
        <f>-680.158305243886 -11.9433987664468 -92.1074692248114</f>
        <v>-784.20917323514425</v>
      </c>
      <c r="W1559" t="s">
        <v>16978</v>
      </c>
      <c r="X1559" t="s">
        <v>16979</v>
      </c>
      <c r="Y1559" t="s">
        <v>16980</v>
      </c>
    </row>
    <row r="1560" spans="1:25" x14ac:dyDescent="0.3">
      <c r="A1560">
        <v>77950</v>
      </c>
      <c r="B1560" t="s">
        <v>16981</v>
      </c>
      <c r="C1560" t="s">
        <v>16982</v>
      </c>
      <c r="D1560" t="s">
        <v>16983</v>
      </c>
      <c r="E1560" t="s">
        <v>16984</v>
      </c>
      <c r="F1560" t="s">
        <v>16985</v>
      </c>
      <c r="G1560" t="s">
        <v>16986</v>
      </c>
      <c r="H1560" t="s">
        <v>16987</v>
      </c>
      <c r="I1560" t="s">
        <v>16988</v>
      </c>
      <c r="J1560" t="s">
        <v>16989</v>
      </c>
      <c r="K1560" t="s">
        <v>16990</v>
      </c>
      <c r="L1560" t="s">
        <v>16991</v>
      </c>
      <c r="M1560" t="s">
        <v>16992</v>
      </c>
      <c r="N1560" t="s">
        <v>16993</v>
      </c>
      <c r="O1560">
        <f>-683.231116009033 -86.7648693002725 -532.063999783153</f>
        <v>-1302.0599850924586</v>
      </c>
      <c r="P1560">
        <f>-716.626099122514 -112.422821330355 -240.829183839418</f>
        <v>-1069.8781042922869</v>
      </c>
      <c r="Q1560" t="s">
        <v>16994</v>
      </c>
      <c r="R1560" t="s">
        <v>16995</v>
      </c>
      <c r="S1560" t="s">
        <v>16996</v>
      </c>
      <c r="T1560" t="s">
        <v>16997</v>
      </c>
      <c r="U1560" t="s">
        <v>16998</v>
      </c>
      <c r="V1560">
        <f>-680.445782648062 -12.3762488709192 -92.059610826889</f>
        <v>-784.8816423458702</v>
      </c>
      <c r="W1560" t="s">
        <v>16999</v>
      </c>
      <c r="X1560" t="s">
        <v>17000</v>
      </c>
      <c r="Y1560" t="s">
        <v>17001</v>
      </c>
    </row>
    <row r="1561" spans="1:25" x14ac:dyDescent="0.3">
      <c r="A1561">
        <v>78000</v>
      </c>
      <c r="B1561" t="s">
        <v>17002</v>
      </c>
      <c r="C1561" t="s">
        <v>17003</v>
      </c>
      <c r="D1561" t="s">
        <v>17004</v>
      </c>
      <c r="E1561" t="s">
        <v>17005</v>
      </c>
      <c r="F1561" t="s">
        <v>17006</v>
      </c>
      <c r="G1561" t="s">
        <v>17007</v>
      </c>
      <c r="H1561" t="s">
        <v>17008</v>
      </c>
      <c r="I1561" t="s">
        <v>17009</v>
      </c>
      <c r="J1561" t="s">
        <v>17010</v>
      </c>
      <c r="K1561" t="s">
        <v>17011</v>
      </c>
      <c r="L1561" t="s">
        <v>17012</v>
      </c>
      <c r="M1561" t="s">
        <v>17013</v>
      </c>
      <c r="N1561" t="s">
        <v>17014</v>
      </c>
      <c r="O1561">
        <f>-682.690206872615 -87.5247114354779 -531.388322713916</f>
        <v>-1301.6032410220089</v>
      </c>
      <c r="P1561">
        <f>-715.946550803435 -112.265713986991 -240.058432586996</f>
        <v>-1068.270697377422</v>
      </c>
      <c r="Q1561" t="s">
        <v>17015</v>
      </c>
      <c r="R1561" t="s">
        <v>17016</v>
      </c>
      <c r="S1561" t="s">
        <v>17017</v>
      </c>
      <c r="T1561" t="s">
        <v>17018</v>
      </c>
      <c r="U1561" t="s">
        <v>17019</v>
      </c>
      <c r="V1561">
        <f>-680.771854677701 -12.1759742489105 -91.9634252364718</f>
        <v>-784.9112541630833</v>
      </c>
      <c r="W1561" t="s">
        <v>17020</v>
      </c>
      <c r="X1561" t="s">
        <v>17021</v>
      </c>
      <c r="Y1561" t="s">
        <v>17022</v>
      </c>
    </row>
    <row r="1562" spans="1:25" x14ac:dyDescent="0.3">
      <c r="A1562">
        <v>78050</v>
      </c>
      <c r="B1562" t="s">
        <v>17023</v>
      </c>
      <c r="C1562" t="s">
        <v>17024</v>
      </c>
      <c r="D1562" t="s">
        <v>17025</v>
      </c>
      <c r="E1562" t="s">
        <v>17026</v>
      </c>
      <c r="F1562" t="s">
        <v>17027</v>
      </c>
      <c r="G1562" t="s">
        <v>17028</v>
      </c>
      <c r="H1562" t="s">
        <v>17029</v>
      </c>
      <c r="I1562" t="s">
        <v>17030</v>
      </c>
      <c r="J1562" t="s">
        <v>17031</v>
      </c>
      <c r="K1562" t="s">
        <v>17032</v>
      </c>
      <c r="L1562" t="s">
        <v>17033</v>
      </c>
      <c r="M1562" t="s">
        <v>17034</v>
      </c>
      <c r="N1562" t="s">
        <v>17035</v>
      </c>
      <c r="O1562">
        <f>-682.290102679739 -87.5126264084111 -530.975208674655</f>
        <v>-1300.7779377628051</v>
      </c>
      <c r="P1562">
        <f>-714.959728261817 -112.445940739758 -239.59539172318</f>
        <v>-1067.001060724755</v>
      </c>
      <c r="Q1562" t="s">
        <v>17036</v>
      </c>
      <c r="R1562" t="s">
        <v>17037</v>
      </c>
      <c r="S1562" t="s">
        <v>17038</v>
      </c>
      <c r="T1562" t="s">
        <v>17039</v>
      </c>
      <c r="U1562" t="s">
        <v>17040</v>
      </c>
      <c r="V1562">
        <f>-680.859711630433 -11.4180901660316 -91.8746974815236</f>
        <v>-784.15249927798823</v>
      </c>
      <c r="W1562" t="s">
        <v>17041</v>
      </c>
      <c r="X1562" t="s">
        <v>17042</v>
      </c>
      <c r="Y1562" t="s">
        <v>17043</v>
      </c>
    </row>
    <row r="1563" spans="1:25" x14ac:dyDescent="0.3">
      <c r="A1563">
        <v>78100</v>
      </c>
      <c r="B1563" t="s">
        <v>17044</v>
      </c>
      <c r="C1563" t="s">
        <v>17045</v>
      </c>
      <c r="D1563" t="s">
        <v>17046</v>
      </c>
      <c r="E1563" t="s">
        <v>17047</v>
      </c>
      <c r="F1563" t="s">
        <v>17048</v>
      </c>
      <c r="G1563" t="s">
        <v>17049</v>
      </c>
      <c r="H1563" t="s">
        <v>17050</v>
      </c>
      <c r="I1563" t="s">
        <v>17051</v>
      </c>
      <c r="J1563" t="s">
        <v>17052</v>
      </c>
      <c r="K1563" t="s">
        <v>17053</v>
      </c>
      <c r="L1563" t="s">
        <v>17054</v>
      </c>
      <c r="M1563" t="s">
        <v>17055</v>
      </c>
      <c r="N1563" t="s">
        <v>17056</v>
      </c>
      <c r="O1563">
        <f>-681.680705693605 -87.6257663619494 -529.986234683761</f>
        <v>-1299.2927067393155</v>
      </c>
      <c r="P1563">
        <f>-713.281059882382 -112.028419022407 -238.443651407153</f>
        <v>-1063.753130311942</v>
      </c>
      <c r="Q1563" t="s">
        <v>17057</v>
      </c>
      <c r="R1563" t="s">
        <v>17058</v>
      </c>
      <c r="S1563" t="s">
        <v>17059</v>
      </c>
      <c r="T1563" t="s">
        <v>17060</v>
      </c>
      <c r="U1563" t="s">
        <v>17061</v>
      </c>
      <c r="V1563">
        <f>-680.91021857669 -10.3338789285167 -91.7225434047604</f>
        <v>-782.96664090996705</v>
      </c>
      <c r="W1563" t="s">
        <v>17062</v>
      </c>
      <c r="X1563" t="s">
        <v>17063</v>
      </c>
      <c r="Y1563" t="s">
        <v>17064</v>
      </c>
    </row>
    <row r="1564" spans="1:25" x14ac:dyDescent="0.3">
      <c r="A1564">
        <v>78150</v>
      </c>
      <c r="B1564" t="s">
        <v>17065</v>
      </c>
      <c r="C1564" t="s">
        <v>17066</v>
      </c>
      <c r="D1564" t="s">
        <v>17067</v>
      </c>
      <c r="E1564" t="s">
        <v>17068</v>
      </c>
      <c r="F1564" t="s">
        <v>17069</v>
      </c>
      <c r="G1564" t="s">
        <v>17070</v>
      </c>
      <c r="H1564" t="s">
        <v>17071</v>
      </c>
      <c r="I1564" t="s">
        <v>17072</v>
      </c>
      <c r="J1564" t="s">
        <v>17073</v>
      </c>
      <c r="K1564" t="s">
        <v>17074</v>
      </c>
      <c r="L1564" t="s">
        <v>17075</v>
      </c>
      <c r="M1564" t="s">
        <v>17076</v>
      </c>
      <c r="N1564" t="s">
        <v>17077</v>
      </c>
      <c r="O1564">
        <f>-681.370925206524 -88.0737358347469 -529.478093999857</f>
        <v>-1298.9227550411279</v>
      </c>
      <c r="P1564">
        <f>-712.448673731873 -112.082116473896 -237.846469541855</f>
        <v>-1062.3772597476241</v>
      </c>
      <c r="Q1564" t="s">
        <v>17078</v>
      </c>
      <c r="R1564" t="s">
        <v>17079</v>
      </c>
      <c r="S1564" t="s">
        <v>17080</v>
      </c>
      <c r="T1564" t="s">
        <v>17081</v>
      </c>
      <c r="U1564" t="s">
        <v>17082</v>
      </c>
      <c r="V1564">
        <f>-681.044605259366 -10.2910817214954 -91.68871362886</f>
        <v>-783.0244006097214</v>
      </c>
      <c r="W1564" t="s">
        <v>17083</v>
      </c>
      <c r="X1564" t="s">
        <v>17084</v>
      </c>
      <c r="Y1564" t="s">
        <v>17085</v>
      </c>
    </row>
    <row r="1565" spans="1:25" x14ac:dyDescent="0.3">
      <c r="A1565">
        <v>78200</v>
      </c>
      <c r="B1565" t="s">
        <v>17086</v>
      </c>
      <c r="C1565" t="s">
        <v>17087</v>
      </c>
      <c r="D1565" t="s">
        <v>17088</v>
      </c>
      <c r="E1565" t="s">
        <v>17089</v>
      </c>
      <c r="F1565" t="s">
        <v>17090</v>
      </c>
      <c r="G1565" t="s">
        <v>17091</v>
      </c>
      <c r="H1565" t="s">
        <v>17092</v>
      </c>
      <c r="I1565" t="s">
        <v>17093</v>
      </c>
      <c r="J1565" t="s">
        <v>17094</v>
      </c>
      <c r="K1565" t="s">
        <v>17095</v>
      </c>
      <c r="L1565" t="s">
        <v>17096</v>
      </c>
      <c r="M1565" t="s">
        <v>17097</v>
      </c>
      <c r="N1565" t="s">
        <v>17098</v>
      </c>
      <c r="O1565">
        <f>-681.179179955546 -89.0121131365672 -528.514493487329</f>
        <v>-1298.7057865794422</v>
      </c>
      <c r="P1565">
        <f>-711.477461841142 -111.453698360972 -236.676134837645</f>
        <v>-1059.607295039759</v>
      </c>
      <c r="Q1565" t="s">
        <v>17099</v>
      </c>
      <c r="R1565" t="s">
        <v>17100</v>
      </c>
      <c r="S1565" t="s">
        <v>17101</v>
      </c>
      <c r="T1565" t="s">
        <v>17102</v>
      </c>
      <c r="U1565" t="s">
        <v>17103</v>
      </c>
      <c r="V1565">
        <f>-680.891052475651 -9.92923371019583 -91.5789598665187</f>
        <v>-782.39924605236558</v>
      </c>
      <c r="W1565" t="s">
        <v>17104</v>
      </c>
      <c r="X1565" t="s">
        <v>17105</v>
      </c>
      <c r="Y1565" t="s">
        <v>17106</v>
      </c>
    </row>
    <row r="1566" spans="1:25" x14ac:dyDescent="0.3">
      <c r="A1566">
        <v>78250</v>
      </c>
      <c r="B1566" t="s">
        <v>17107</v>
      </c>
      <c r="C1566" t="s">
        <v>17108</v>
      </c>
      <c r="D1566" t="s">
        <v>17109</v>
      </c>
      <c r="E1566" t="s">
        <v>17110</v>
      </c>
      <c r="F1566" t="s">
        <v>17111</v>
      </c>
      <c r="G1566" t="s">
        <v>17112</v>
      </c>
      <c r="H1566" t="s">
        <v>17113</v>
      </c>
      <c r="I1566" t="s">
        <v>17114</v>
      </c>
      <c r="J1566" t="s">
        <v>17115</v>
      </c>
      <c r="K1566" t="s">
        <v>17116</v>
      </c>
      <c r="L1566" t="s">
        <v>17117</v>
      </c>
      <c r="M1566" t="s">
        <v>17118</v>
      </c>
      <c r="N1566" t="s">
        <v>17119</v>
      </c>
      <c r="O1566">
        <f>-681.158671816971 -89.4468739698568 -528.064255724416</f>
        <v>-1298.6698015112438</v>
      </c>
      <c r="P1566">
        <f>-710.688214593832 -111.817167945426 -236.141725892253</f>
        <v>-1058.647108431511</v>
      </c>
      <c r="Q1566" t="s">
        <v>17120</v>
      </c>
      <c r="R1566" t="s">
        <v>17121</v>
      </c>
      <c r="S1566" t="s">
        <v>17122</v>
      </c>
      <c r="T1566" t="s">
        <v>17123</v>
      </c>
      <c r="U1566" t="s">
        <v>17124</v>
      </c>
      <c r="V1566">
        <f>-680.629974773867 -9.63660800394905 -91.5219175125897</f>
        <v>-781.78850029040575</v>
      </c>
      <c r="W1566" t="s">
        <v>17125</v>
      </c>
      <c r="X1566" t="s">
        <v>17126</v>
      </c>
      <c r="Y1566" t="s">
        <v>17127</v>
      </c>
    </row>
    <row r="1567" spans="1:25" x14ac:dyDescent="0.3">
      <c r="A1567">
        <v>78300</v>
      </c>
      <c r="B1567" t="s">
        <v>17128</v>
      </c>
      <c r="C1567" t="s">
        <v>17129</v>
      </c>
      <c r="D1567" t="s">
        <v>17130</v>
      </c>
      <c r="E1567" t="s">
        <v>17131</v>
      </c>
      <c r="F1567" t="s">
        <v>17132</v>
      </c>
      <c r="G1567" t="s">
        <v>17133</v>
      </c>
      <c r="H1567" t="s">
        <v>17134</v>
      </c>
      <c r="I1567" t="s">
        <v>17135</v>
      </c>
      <c r="J1567" t="s">
        <v>17136</v>
      </c>
      <c r="K1567" t="s">
        <v>17137</v>
      </c>
      <c r="L1567" t="s">
        <v>17138</v>
      </c>
      <c r="M1567" t="s">
        <v>17139</v>
      </c>
      <c r="N1567" t="s">
        <v>17140</v>
      </c>
      <c r="O1567">
        <f>-680.275397008395 -89.7542159671509 -527.278044280785</f>
        <v>-1297.3076572563309</v>
      </c>
      <c r="P1567">
        <f>-709.110070247016 -111.462327557047 -235.236147290516</f>
        <v>-1055.8085450945791</v>
      </c>
      <c r="Q1567" t="s">
        <v>17141</v>
      </c>
      <c r="R1567" t="s">
        <v>17142</v>
      </c>
      <c r="S1567" t="s">
        <v>17143</v>
      </c>
      <c r="T1567" t="s">
        <v>17144</v>
      </c>
      <c r="U1567" t="s">
        <v>17145</v>
      </c>
      <c r="V1567">
        <f>-679.731839190442 -8.84326355565395 -91.4725404256127</f>
        <v>-780.04764317170861</v>
      </c>
      <c r="W1567" t="s">
        <v>17146</v>
      </c>
      <c r="X1567" t="s">
        <v>17147</v>
      </c>
      <c r="Y1567" t="s">
        <v>17148</v>
      </c>
    </row>
    <row r="1568" spans="1:25" x14ac:dyDescent="0.3">
      <c r="A1568">
        <v>78350</v>
      </c>
      <c r="B1568" t="s">
        <v>17149</v>
      </c>
      <c r="C1568" t="s">
        <v>17150</v>
      </c>
      <c r="D1568" t="s">
        <v>17151</v>
      </c>
      <c r="E1568" t="s">
        <v>17152</v>
      </c>
      <c r="F1568" t="s">
        <v>17153</v>
      </c>
      <c r="G1568" t="s">
        <v>17154</v>
      </c>
      <c r="H1568" t="s">
        <v>17155</v>
      </c>
      <c r="I1568" t="s">
        <v>17156</v>
      </c>
      <c r="J1568" t="s">
        <v>17157</v>
      </c>
      <c r="K1568" t="s">
        <v>17158</v>
      </c>
      <c r="L1568" t="s">
        <v>17159</v>
      </c>
      <c r="M1568" t="s">
        <v>17160</v>
      </c>
      <c r="N1568" t="s">
        <v>17161</v>
      </c>
      <c r="O1568">
        <f>-679.52324861506 -89.8695620319209 -526.970888142514</f>
        <v>-1296.3636987894949</v>
      </c>
      <c r="P1568">
        <f>-708.250270675493 -111.323181162155 -234.899623140656</f>
        <v>-1054.4730749783039</v>
      </c>
      <c r="Q1568" t="s">
        <v>17162</v>
      </c>
      <c r="R1568" t="s">
        <v>17163</v>
      </c>
      <c r="S1568" t="s">
        <v>17164</v>
      </c>
      <c r="T1568" t="s">
        <v>17165</v>
      </c>
      <c r="U1568" t="s">
        <v>17166</v>
      </c>
      <c r="V1568">
        <f>-679.213504729904 -8.5303588739157 -91.4954197533675</f>
        <v>-779.23928335718722</v>
      </c>
      <c r="W1568" t="s">
        <v>17167</v>
      </c>
      <c r="X1568" t="s">
        <v>17168</v>
      </c>
      <c r="Y1568" t="s">
        <v>17169</v>
      </c>
    </row>
    <row r="1569" spans="1:25" x14ac:dyDescent="0.3">
      <c r="A1569">
        <v>78400</v>
      </c>
      <c r="B1569" t="s">
        <v>17170</v>
      </c>
      <c r="C1569" t="s">
        <v>17171</v>
      </c>
      <c r="D1569" t="s">
        <v>17172</v>
      </c>
      <c r="E1569" t="s">
        <v>17173</v>
      </c>
      <c r="F1569" t="s">
        <v>17174</v>
      </c>
      <c r="G1569" t="s">
        <v>17175</v>
      </c>
      <c r="H1569" t="s">
        <v>17176</v>
      </c>
      <c r="I1569" t="s">
        <v>17177</v>
      </c>
      <c r="J1569" t="s">
        <v>17178</v>
      </c>
      <c r="K1569" t="s">
        <v>17179</v>
      </c>
      <c r="L1569" t="s">
        <v>17180</v>
      </c>
      <c r="M1569" t="s">
        <v>17181</v>
      </c>
      <c r="N1569" t="s">
        <v>17182</v>
      </c>
      <c r="O1569">
        <f>-677.818975503257 -90.0266422037414 -526.525906607784</f>
        <v>-1294.3715243147824</v>
      </c>
      <c r="P1569">
        <f>-706.461895920777 -111.099376872455 -234.418494817086</f>
        <v>-1051.979767610318</v>
      </c>
      <c r="Q1569" t="s">
        <v>17183</v>
      </c>
      <c r="R1569" t="s">
        <v>17184</v>
      </c>
      <c r="S1569" t="s">
        <v>17185</v>
      </c>
      <c r="T1569" t="s">
        <v>17186</v>
      </c>
      <c r="U1569" t="s">
        <v>17187</v>
      </c>
      <c r="V1569">
        <f>-678.226340693976 -8.0733061523722 -91.5786420842796</f>
        <v>-777.87828893062783</v>
      </c>
      <c r="W1569" t="s">
        <v>17188</v>
      </c>
      <c r="X1569" t="s">
        <v>17189</v>
      </c>
      <c r="Y1569" t="s">
        <v>17190</v>
      </c>
    </row>
    <row r="1570" spans="1:25" x14ac:dyDescent="0.3">
      <c r="A1570">
        <v>78450</v>
      </c>
      <c r="B1570" t="s">
        <v>17191</v>
      </c>
      <c r="C1570" t="s">
        <v>17192</v>
      </c>
      <c r="D1570" t="s">
        <v>17193</v>
      </c>
      <c r="E1570" t="s">
        <v>17194</v>
      </c>
      <c r="F1570" t="s">
        <v>17195</v>
      </c>
      <c r="G1570" t="s">
        <v>17196</v>
      </c>
      <c r="H1570" t="s">
        <v>17197</v>
      </c>
      <c r="I1570" t="s">
        <v>17198</v>
      </c>
      <c r="J1570" t="s">
        <v>17199</v>
      </c>
      <c r="K1570" t="s">
        <v>17200</v>
      </c>
      <c r="L1570" t="s">
        <v>17201</v>
      </c>
      <c r="M1570" t="s">
        <v>17202</v>
      </c>
      <c r="N1570" t="s">
        <v>17203</v>
      </c>
      <c r="O1570">
        <f>-677.247529697936 -89.9745108139325 -526.325754723361</f>
        <v>-1293.5477952352294</v>
      </c>
      <c r="P1570">
        <f>-705.788573685349 -110.715467850883 -234.184672961858</f>
        <v>-1050.6887144980899</v>
      </c>
      <c r="Q1570" t="s">
        <v>17204</v>
      </c>
      <c r="R1570" t="s">
        <v>17205</v>
      </c>
      <c r="S1570" t="s">
        <v>17206</v>
      </c>
      <c r="T1570" t="s">
        <v>17207</v>
      </c>
      <c r="U1570" t="s">
        <v>17208</v>
      </c>
      <c r="V1570">
        <f>-677.863717173468 -7.68939409614904 -91.6055113454186</f>
        <v>-777.1586226150356</v>
      </c>
      <c r="W1570" t="s">
        <v>17209</v>
      </c>
      <c r="X1570" t="s">
        <v>17210</v>
      </c>
      <c r="Y1570" t="s">
        <v>17211</v>
      </c>
    </row>
    <row r="1571" spans="1:25" x14ac:dyDescent="0.3">
      <c r="A1571">
        <v>78500</v>
      </c>
      <c r="B1571" t="s">
        <v>17212</v>
      </c>
      <c r="C1571" t="s">
        <v>17213</v>
      </c>
      <c r="D1571" t="s">
        <v>17214</v>
      </c>
      <c r="E1571" t="s">
        <v>17215</v>
      </c>
      <c r="F1571" t="s">
        <v>17216</v>
      </c>
      <c r="G1571" t="s">
        <v>17217</v>
      </c>
      <c r="H1571" t="s">
        <v>17218</v>
      </c>
      <c r="I1571" t="s">
        <v>17219</v>
      </c>
      <c r="J1571" t="s">
        <v>17220</v>
      </c>
      <c r="K1571" t="s">
        <v>17221</v>
      </c>
      <c r="L1571" t="s">
        <v>17222</v>
      </c>
      <c r="M1571" t="s">
        <v>17223</v>
      </c>
      <c r="N1571" t="s">
        <v>17224</v>
      </c>
      <c r="O1571">
        <f>-676.369493698114 -90.0623025642788 -525.743630855513</f>
        <v>-1292.1754271179057</v>
      </c>
      <c r="P1571">
        <f>-704.657122056659 -110.032334532051 -233.524292981689</f>
        <v>-1048.2137495703989</v>
      </c>
      <c r="Q1571" t="s">
        <v>17225</v>
      </c>
      <c r="R1571" t="s">
        <v>17226</v>
      </c>
      <c r="S1571" t="s">
        <v>17227</v>
      </c>
      <c r="T1571" t="s">
        <v>17228</v>
      </c>
      <c r="U1571" t="s">
        <v>17229</v>
      </c>
      <c r="V1571">
        <f>-677.082421274689 -6.90350771155727 -91.5887071417884</f>
        <v>-775.57463612803463</v>
      </c>
      <c r="W1571" t="s">
        <v>17230</v>
      </c>
      <c r="X1571" t="s">
        <v>17231</v>
      </c>
      <c r="Y1571" t="s">
        <v>17232</v>
      </c>
    </row>
    <row r="1572" spans="1:25" x14ac:dyDescent="0.3">
      <c r="A1572">
        <v>78550</v>
      </c>
      <c r="B1572" t="s">
        <v>17233</v>
      </c>
      <c r="C1572" t="s">
        <v>17234</v>
      </c>
      <c r="D1572" t="s">
        <v>17235</v>
      </c>
      <c r="E1572" t="s">
        <v>17236</v>
      </c>
      <c r="F1572" t="s">
        <v>17237</v>
      </c>
      <c r="G1572" t="s">
        <v>17238</v>
      </c>
      <c r="H1572" t="s">
        <v>17239</v>
      </c>
      <c r="I1572" t="s">
        <v>17240</v>
      </c>
      <c r="J1572" t="s">
        <v>17241</v>
      </c>
      <c r="K1572" t="s">
        <v>17242</v>
      </c>
      <c r="L1572" t="s">
        <v>17243</v>
      </c>
      <c r="M1572" t="s">
        <v>17244</v>
      </c>
      <c r="N1572" t="s">
        <v>17245</v>
      </c>
      <c r="O1572">
        <f>-676.208466546585 -90.1823810295009 -525.434031120887</f>
        <v>-1291.824878696973</v>
      </c>
      <c r="P1572">
        <f>-704.561464065007 -109.515695299138 -233.177980676527</f>
        <v>-1047.2551400406719</v>
      </c>
      <c r="Q1572" t="s">
        <v>17246</v>
      </c>
      <c r="R1572" t="s">
        <v>17247</v>
      </c>
      <c r="S1572" t="s">
        <v>17248</v>
      </c>
      <c r="T1572" t="s">
        <v>17249</v>
      </c>
      <c r="U1572" t="s">
        <v>17250</v>
      </c>
      <c r="V1572">
        <f>-676.694317197716 -6.51128388258212 -91.639395361026</f>
        <v>-774.84499644132416</v>
      </c>
      <c r="W1572" t="s">
        <v>17251</v>
      </c>
      <c r="X1572" t="s">
        <v>17252</v>
      </c>
      <c r="Y1572" t="s">
        <v>17253</v>
      </c>
    </row>
    <row r="1573" spans="1:25" x14ac:dyDescent="0.3">
      <c r="A1573">
        <v>78600</v>
      </c>
      <c r="B1573" t="s">
        <v>17254</v>
      </c>
      <c r="C1573" t="s">
        <v>17255</v>
      </c>
      <c r="D1573" t="s">
        <v>17256</v>
      </c>
      <c r="E1573" t="s">
        <v>17257</v>
      </c>
      <c r="F1573" t="s">
        <v>17258</v>
      </c>
      <c r="G1573" t="s">
        <v>17259</v>
      </c>
      <c r="H1573" t="s">
        <v>17260</v>
      </c>
      <c r="I1573" t="s">
        <v>17261</v>
      </c>
      <c r="J1573" t="s">
        <v>17262</v>
      </c>
      <c r="K1573" t="s">
        <v>17263</v>
      </c>
      <c r="L1573" t="s">
        <v>17264</v>
      </c>
      <c r="M1573" t="s">
        <v>17265</v>
      </c>
      <c r="N1573" t="s">
        <v>17266</v>
      </c>
      <c r="O1573">
        <f>-675.958911324371 -90.6502636091047 -524.915113756375</f>
        <v>-1291.5242886898509</v>
      </c>
      <c r="P1573">
        <f>-704.638039600581 -108.889827030042 -232.620730837628</f>
        <v>-1046.148597468251</v>
      </c>
      <c r="Q1573" t="s">
        <v>17267</v>
      </c>
      <c r="R1573" t="s">
        <v>17268</v>
      </c>
      <c r="S1573" t="s">
        <v>17269</v>
      </c>
      <c r="T1573" t="s">
        <v>17270</v>
      </c>
      <c r="U1573" t="s">
        <v>17271</v>
      </c>
      <c r="V1573">
        <f>-676.013730627669 -5.75876098897538 -91.7996355777608</f>
        <v>-773.5721271944052</v>
      </c>
      <c r="W1573" t="s">
        <v>17272</v>
      </c>
      <c r="X1573" t="s">
        <v>17273</v>
      </c>
      <c r="Y1573" t="s">
        <v>17274</v>
      </c>
    </row>
    <row r="1574" spans="1:25" x14ac:dyDescent="0.3">
      <c r="A1574">
        <v>78650</v>
      </c>
      <c r="B1574" t="s">
        <v>17275</v>
      </c>
      <c r="C1574" t="s">
        <v>17276</v>
      </c>
      <c r="D1574" t="s">
        <v>17277</v>
      </c>
      <c r="E1574" t="s">
        <v>17278</v>
      </c>
      <c r="F1574" t="s">
        <v>17279</v>
      </c>
      <c r="G1574" t="s">
        <v>17280</v>
      </c>
      <c r="H1574" t="s">
        <v>17281</v>
      </c>
      <c r="I1574" t="s">
        <v>17282</v>
      </c>
      <c r="J1574" t="s">
        <v>17283</v>
      </c>
      <c r="K1574" t="s">
        <v>17284</v>
      </c>
      <c r="L1574" t="s">
        <v>17285</v>
      </c>
      <c r="M1574" t="s">
        <v>17286</v>
      </c>
      <c r="N1574" t="s">
        <v>17287</v>
      </c>
      <c r="O1574">
        <f>-675.869684505334 -90.8274603464554 -524.755681198472</f>
        <v>-1291.4528260502614</v>
      </c>
      <c r="P1574">
        <f>-704.884123955015 -108.641520895582 -232.468155277598</f>
        <v>-1045.9938001281951</v>
      </c>
      <c r="Q1574" t="s">
        <v>17288</v>
      </c>
      <c r="R1574" t="s">
        <v>17289</v>
      </c>
      <c r="S1574" t="s">
        <v>17290</v>
      </c>
      <c r="T1574" t="s">
        <v>17291</v>
      </c>
      <c r="U1574" t="s">
        <v>17292</v>
      </c>
      <c r="V1574">
        <f>-675.681521646841 -5.68003688149133 -91.859533362252</f>
        <v>-773.22109189058438</v>
      </c>
      <c r="W1574" t="s">
        <v>17293</v>
      </c>
      <c r="X1574" t="s">
        <v>17294</v>
      </c>
      <c r="Y1574" t="s">
        <v>17295</v>
      </c>
    </row>
    <row r="1575" spans="1:25" x14ac:dyDescent="0.3">
      <c r="A1575">
        <v>78700</v>
      </c>
      <c r="B1575" t="s">
        <v>17296</v>
      </c>
      <c r="C1575" t="s">
        <v>17297</v>
      </c>
      <c r="D1575" t="s">
        <v>17298</v>
      </c>
      <c r="E1575" t="s">
        <v>17299</v>
      </c>
      <c r="F1575" t="s">
        <v>17300</v>
      </c>
      <c r="G1575" t="s">
        <v>17301</v>
      </c>
      <c r="H1575" t="s">
        <v>17302</v>
      </c>
      <c r="I1575" t="s">
        <v>17303</v>
      </c>
      <c r="J1575" t="s">
        <v>17304</v>
      </c>
      <c r="K1575" t="s">
        <v>17305</v>
      </c>
      <c r="L1575" t="s">
        <v>17306</v>
      </c>
      <c r="M1575" t="s">
        <v>17307</v>
      </c>
      <c r="N1575" t="s">
        <v>17308</v>
      </c>
      <c r="O1575">
        <f>-675.994050461877 -91.2489598694115 -524.699015491469</f>
        <v>-1291.9420258227574</v>
      </c>
      <c r="P1575">
        <f>-705.625587152835 -108.198522067245 -232.421905098421</f>
        <v>-1046.246014318501</v>
      </c>
      <c r="Q1575" t="s">
        <v>17309</v>
      </c>
      <c r="R1575" t="s">
        <v>17310</v>
      </c>
      <c r="S1575" t="s">
        <v>17311</v>
      </c>
      <c r="T1575" t="s">
        <v>17312</v>
      </c>
      <c r="U1575" t="s">
        <v>17313</v>
      </c>
      <c r="V1575">
        <f>-675.277683516268 -6.06732990233013 -92.0354266848576</f>
        <v>-773.38044010345573</v>
      </c>
      <c r="W1575" t="s">
        <v>17314</v>
      </c>
      <c r="X1575" t="s">
        <v>17315</v>
      </c>
      <c r="Y1575" t="s">
        <v>17316</v>
      </c>
    </row>
    <row r="1576" spans="1:25" x14ac:dyDescent="0.3">
      <c r="A1576">
        <v>78750</v>
      </c>
      <c r="B1576" t="s">
        <v>17317</v>
      </c>
      <c r="C1576" t="s">
        <v>17318</v>
      </c>
      <c r="D1576" t="s">
        <v>17319</v>
      </c>
      <c r="E1576" t="s">
        <v>17320</v>
      </c>
      <c r="F1576" t="s">
        <v>17321</v>
      </c>
      <c r="G1576" t="s">
        <v>17322</v>
      </c>
      <c r="H1576" t="s">
        <v>17323</v>
      </c>
      <c r="I1576" t="s">
        <v>17324</v>
      </c>
      <c r="J1576" t="s">
        <v>17325</v>
      </c>
      <c r="K1576" t="s">
        <v>17326</v>
      </c>
      <c r="L1576" t="s">
        <v>17327</v>
      </c>
      <c r="M1576" t="s">
        <v>17328</v>
      </c>
      <c r="N1576" t="s">
        <v>17329</v>
      </c>
      <c r="O1576">
        <f>-676.116765165202 -91.3701957480923 -524.651814661173</f>
        <v>-1292.1387755744672</v>
      </c>
      <c r="P1576">
        <f>-705.683918726335 -107.909817027214 -232.344686855729</f>
        <v>-1045.9384226092779</v>
      </c>
      <c r="Q1576" t="s">
        <v>17330</v>
      </c>
      <c r="R1576" t="s">
        <v>17331</v>
      </c>
      <c r="S1576" t="s">
        <v>17332</v>
      </c>
      <c r="T1576" t="s">
        <v>17333</v>
      </c>
      <c r="U1576" t="s">
        <v>17334</v>
      </c>
      <c r="V1576">
        <f>-675.065720298771 -5.72625957653781 -92.1299663320165</f>
        <v>-772.92194620732528</v>
      </c>
      <c r="W1576" t="s">
        <v>17335</v>
      </c>
      <c r="X1576" t="s">
        <v>17336</v>
      </c>
      <c r="Y1576" t="s">
        <v>17337</v>
      </c>
    </row>
    <row r="1577" spans="1:25" x14ac:dyDescent="0.3">
      <c r="A1577">
        <v>78800</v>
      </c>
      <c r="B1577" t="s">
        <v>17338</v>
      </c>
      <c r="C1577" t="s">
        <v>17339</v>
      </c>
      <c r="D1577" t="s">
        <v>17340</v>
      </c>
      <c r="E1577" t="s">
        <v>17341</v>
      </c>
      <c r="F1577" t="s">
        <v>17342</v>
      </c>
      <c r="G1577" t="s">
        <v>17343</v>
      </c>
      <c r="H1577" t="s">
        <v>17344</v>
      </c>
      <c r="I1577" t="s">
        <v>17345</v>
      </c>
      <c r="J1577" t="s">
        <v>17346</v>
      </c>
      <c r="K1577" t="s">
        <v>17347</v>
      </c>
      <c r="L1577" t="s">
        <v>17348</v>
      </c>
      <c r="M1577" t="s">
        <v>17349</v>
      </c>
      <c r="N1577" t="s">
        <v>17350</v>
      </c>
      <c r="O1577">
        <f>-676.460922208225 -91.7835753404972 -524.172129012495</f>
        <v>-1292.4166265612173</v>
      </c>
      <c r="P1577">
        <f>-705.528906294885 -106.520667316316 -231.718616992581</f>
        <v>-1043.7681906037819</v>
      </c>
      <c r="Q1577" t="s">
        <v>17351</v>
      </c>
      <c r="R1577" t="s">
        <v>17352</v>
      </c>
      <c r="S1577" t="s">
        <v>17353</v>
      </c>
      <c r="T1577" t="s">
        <v>17354</v>
      </c>
      <c r="U1577" t="s">
        <v>17355</v>
      </c>
      <c r="V1577">
        <f>-674.995516335148 -5.32902037884219 -92.1910504721003</f>
        <v>-772.51558718609044</v>
      </c>
      <c r="W1577" t="s">
        <v>17356</v>
      </c>
      <c r="X1577" t="s">
        <v>17357</v>
      </c>
      <c r="Y1577" t="s">
        <v>17358</v>
      </c>
    </row>
    <row r="1578" spans="1:25" x14ac:dyDescent="0.3">
      <c r="A1578">
        <v>78850</v>
      </c>
      <c r="B1578" t="s">
        <v>17359</v>
      </c>
      <c r="C1578" t="s">
        <v>17360</v>
      </c>
      <c r="D1578" t="s">
        <v>17361</v>
      </c>
      <c r="E1578" t="s">
        <v>17362</v>
      </c>
      <c r="F1578" t="s">
        <v>17363</v>
      </c>
      <c r="G1578" t="s">
        <v>17364</v>
      </c>
      <c r="H1578" t="s">
        <v>17365</v>
      </c>
      <c r="I1578" t="s">
        <v>17366</v>
      </c>
      <c r="J1578" t="s">
        <v>17367</v>
      </c>
      <c r="K1578" t="s">
        <v>17368</v>
      </c>
      <c r="L1578" t="s">
        <v>17369</v>
      </c>
      <c r="M1578" t="s">
        <v>17370</v>
      </c>
      <c r="N1578" t="s">
        <v>17371</v>
      </c>
      <c r="O1578">
        <f>-676.376316949068 -92.4393067662197 -523.78764675579</f>
        <v>-1292.6032704710778</v>
      </c>
      <c r="P1578">
        <f>-705.249762203168 -106.110848333718 -231.263090856661</f>
        <v>-1042.623701393547</v>
      </c>
      <c r="Q1578" t="s">
        <v>17372</v>
      </c>
      <c r="R1578" t="s">
        <v>17373</v>
      </c>
      <c r="S1578" t="s">
        <v>17374</v>
      </c>
      <c r="T1578" t="s">
        <v>17375</v>
      </c>
      <c r="U1578" t="s">
        <v>17376</v>
      </c>
      <c r="V1578">
        <f>-674.996625961168 -5.55848165903171 -92.2460729882503</f>
        <v>-772.80118060844995</v>
      </c>
      <c r="W1578" t="s">
        <v>17377</v>
      </c>
      <c r="X1578" t="s">
        <v>17378</v>
      </c>
      <c r="Y1578" t="s">
        <v>17379</v>
      </c>
    </row>
    <row r="1579" spans="1:25" x14ac:dyDescent="0.3">
      <c r="A1579">
        <v>78900</v>
      </c>
      <c r="B1579" t="s">
        <v>17380</v>
      </c>
      <c r="C1579" t="s">
        <v>17381</v>
      </c>
      <c r="D1579" t="s">
        <v>17382</v>
      </c>
      <c r="E1579" t="s">
        <v>17383</v>
      </c>
      <c r="F1579" t="s">
        <v>17384</v>
      </c>
      <c r="G1579" t="s">
        <v>17385</v>
      </c>
      <c r="H1579" t="s">
        <v>17386</v>
      </c>
      <c r="I1579" t="s">
        <v>17387</v>
      </c>
      <c r="J1579" t="s">
        <v>17388</v>
      </c>
      <c r="K1579" t="s">
        <v>17389</v>
      </c>
      <c r="L1579" t="s">
        <v>17390</v>
      </c>
      <c r="M1579" t="s">
        <v>17391</v>
      </c>
      <c r="N1579" t="s">
        <v>17392</v>
      </c>
      <c r="O1579">
        <f>-676.660447500868 -94.8624866443868 -522.848022604493</f>
        <v>-1294.3709567497478</v>
      </c>
      <c r="P1579">
        <f>-704.960761998182 -106.789395238308 -230.191082526009</f>
        <v>-1041.941239762499</v>
      </c>
      <c r="Q1579" t="s">
        <v>17393</v>
      </c>
      <c r="R1579" t="s">
        <v>17394</v>
      </c>
      <c r="S1579" t="s">
        <v>17395</v>
      </c>
      <c r="T1579" t="s">
        <v>17396</v>
      </c>
      <c r="U1579" t="s">
        <v>17397</v>
      </c>
      <c r="V1579">
        <f>-675.315581227963 -6.17494684435496 -92.3864726351331</f>
        <v>-773.87700070745109</v>
      </c>
      <c r="W1579" t="s">
        <v>17398</v>
      </c>
      <c r="X1579" t="s">
        <v>17399</v>
      </c>
      <c r="Y1579" t="s">
        <v>17400</v>
      </c>
    </row>
    <row r="1580" spans="1:25" x14ac:dyDescent="0.3">
      <c r="A1580">
        <v>78950</v>
      </c>
      <c r="B1580" t="s">
        <v>17401</v>
      </c>
      <c r="C1580" t="s">
        <v>17402</v>
      </c>
      <c r="D1580" t="s">
        <v>17403</v>
      </c>
      <c r="E1580" t="s">
        <v>17404</v>
      </c>
      <c r="F1580" t="s">
        <v>17405</v>
      </c>
      <c r="G1580" t="s">
        <v>17406</v>
      </c>
      <c r="H1580" t="s">
        <v>17407</v>
      </c>
      <c r="I1580" t="s">
        <v>17408</v>
      </c>
      <c r="J1580" t="s">
        <v>17409</v>
      </c>
      <c r="K1580" t="s">
        <v>17410</v>
      </c>
      <c r="L1580" t="s">
        <v>17411</v>
      </c>
      <c r="M1580" t="s">
        <v>17412</v>
      </c>
      <c r="N1580" t="s">
        <v>17413</v>
      </c>
      <c r="O1580">
        <f>-677.217494651122 -95.9192638969921 -522.296074465103</f>
        <v>-1295.4328330132171</v>
      </c>
      <c r="P1580">
        <f>-705.004479691245 -107.002328596394 -229.556956497106</f>
        <v>-1041.563764784745</v>
      </c>
      <c r="Q1580" t="s">
        <v>17414</v>
      </c>
      <c r="R1580" t="s">
        <v>17415</v>
      </c>
      <c r="S1580" t="s">
        <v>17416</v>
      </c>
      <c r="T1580" t="s">
        <v>17417</v>
      </c>
      <c r="U1580" t="s">
        <v>17418</v>
      </c>
      <c r="V1580">
        <f>-675.573626845084 -5.94630334385261 -92.374545983281</f>
        <v>-773.89447617221765</v>
      </c>
      <c r="W1580" t="s">
        <v>17419</v>
      </c>
      <c r="X1580" t="s">
        <v>17420</v>
      </c>
      <c r="Y1580" t="s">
        <v>17421</v>
      </c>
    </row>
    <row r="1581" spans="1:25" x14ac:dyDescent="0.3">
      <c r="A1581">
        <v>79000</v>
      </c>
      <c r="B1581" t="s">
        <v>17422</v>
      </c>
      <c r="C1581" t="s">
        <v>17423</v>
      </c>
      <c r="D1581" t="s">
        <v>17424</v>
      </c>
      <c r="E1581" t="s">
        <v>17425</v>
      </c>
      <c r="F1581" t="s">
        <v>17426</v>
      </c>
      <c r="G1581" t="s">
        <v>17427</v>
      </c>
      <c r="H1581" t="s">
        <v>17428</v>
      </c>
      <c r="I1581" t="s">
        <v>17429</v>
      </c>
      <c r="J1581" t="s">
        <v>17430</v>
      </c>
      <c r="K1581" t="s">
        <v>17431</v>
      </c>
      <c r="L1581" t="s">
        <v>17432</v>
      </c>
      <c r="M1581" t="s">
        <v>17433</v>
      </c>
      <c r="N1581" t="s">
        <v>17434</v>
      </c>
      <c r="O1581">
        <f>-679.02511234084 -97.7087659014803 -521.290583704376</f>
        <v>-1298.0244619466962</v>
      </c>
      <c r="P1581">
        <f>-705.643717631911 -107.098647166361 -228.383643514418</f>
        <v>-1041.1260083126901</v>
      </c>
      <c r="Q1581" t="s">
        <v>17435</v>
      </c>
      <c r="R1581" t="s">
        <v>17436</v>
      </c>
      <c r="S1581" t="s">
        <v>17437</v>
      </c>
      <c r="T1581" t="s">
        <v>17438</v>
      </c>
      <c r="U1581" t="s">
        <v>17439</v>
      </c>
      <c r="V1581">
        <f>-676.381085787076 -6.37273470447371 -92.3458179091651</f>
        <v>-775.09963840071487</v>
      </c>
      <c r="W1581" t="s">
        <v>17440</v>
      </c>
      <c r="X1581" t="s">
        <v>17441</v>
      </c>
      <c r="Y1581" t="s">
        <v>17442</v>
      </c>
    </row>
    <row r="1582" spans="1:25" x14ac:dyDescent="0.3">
      <c r="A1582">
        <v>79050</v>
      </c>
      <c r="B1582" t="s">
        <v>17443</v>
      </c>
      <c r="C1582" t="s">
        <v>17444</v>
      </c>
      <c r="D1582" t="s">
        <v>17445</v>
      </c>
      <c r="E1582" t="s">
        <v>17446</v>
      </c>
      <c r="F1582" t="s">
        <v>17447</v>
      </c>
      <c r="G1582" t="s">
        <v>17448</v>
      </c>
      <c r="H1582" t="s">
        <v>17449</v>
      </c>
      <c r="I1582" t="s">
        <v>17450</v>
      </c>
      <c r="J1582" t="s">
        <v>17451</v>
      </c>
      <c r="K1582" t="s">
        <v>17452</v>
      </c>
      <c r="L1582" t="s">
        <v>17453</v>
      </c>
      <c r="M1582" t="s">
        <v>17454</v>
      </c>
      <c r="N1582" t="s">
        <v>17455</v>
      </c>
      <c r="O1582">
        <f>-679.865440003593 -98.3124851146824 -520.881282970014</f>
        <v>-1299.0592080882893</v>
      </c>
      <c r="P1582">
        <f>-705.846510392507 -107.065429994624 -227.897318563511</f>
        <v>-1040.8092589506418</v>
      </c>
      <c r="Q1582" t="s">
        <v>17456</v>
      </c>
      <c r="R1582" t="s">
        <v>17457</v>
      </c>
      <c r="S1582" t="s">
        <v>17458</v>
      </c>
      <c r="T1582" t="s">
        <v>17459</v>
      </c>
      <c r="U1582" t="s">
        <v>17460</v>
      </c>
      <c r="V1582">
        <f>-676.58568614538 -6.42789745412892 -92.323576640521</f>
        <v>-775.3371602400299</v>
      </c>
      <c r="W1582" t="s">
        <v>17461</v>
      </c>
      <c r="X1582" t="s">
        <v>17462</v>
      </c>
      <c r="Y1582" t="s">
        <v>17463</v>
      </c>
    </row>
    <row r="1583" spans="1:25" x14ac:dyDescent="0.3">
      <c r="A1583">
        <v>79100</v>
      </c>
      <c r="B1583" t="s">
        <v>17464</v>
      </c>
      <c r="C1583" t="s">
        <v>17465</v>
      </c>
      <c r="D1583" t="s">
        <v>17466</v>
      </c>
      <c r="E1583" t="s">
        <v>17467</v>
      </c>
      <c r="F1583" t="s">
        <v>17468</v>
      </c>
      <c r="G1583" t="s">
        <v>17469</v>
      </c>
      <c r="H1583" t="s">
        <v>17470</v>
      </c>
      <c r="I1583" t="s">
        <v>17471</v>
      </c>
      <c r="J1583" t="s">
        <v>17472</v>
      </c>
      <c r="K1583" t="s">
        <v>17473</v>
      </c>
      <c r="L1583" t="s">
        <v>17474</v>
      </c>
      <c r="M1583" t="s">
        <v>17475</v>
      </c>
      <c r="N1583" t="s">
        <v>17476</v>
      </c>
      <c r="O1583">
        <f>-680.851234286343 -98.5003797225484 -520.291823830489</f>
        <v>-1299.6434378393803</v>
      </c>
      <c r="P1583">
        <f>-706.038657005227 -106.544461927252 -227.218374887498</f>
        <v>-1039.8014938199769</v>
      </c>
      <c r="Q1583" t="s">
        <v>17477</v>
      </c>
      <c r="R1583" t="s">
        <v>17478</v>
      </c>
      <c r="S1583" t="s">
        <v>17479</v>
      </c>
      <c r="T1583" t="s">
        <v>17480</v>
      </c>
      <c r="U1583" t="s">
        <v>17481</v>
      </c>
      <c r="V1583">
        <f>-676.992345138703 -6.18148940391484 -92.2673040451808</f>
        <v>-775.4411385877986</v>
      </c>
      <c r="W1583" t="s">
        <v>17482</v>
      </c>
      <c r="X1583" t="s">
        <v>17483</v>
      </c>
      <c r="Y1583" t="s">
        <v>17484</v>
      </c>
    </row>
    <row r="1584" spans="1:25" x14ac:dyDescent="0.3">
      <c r="A1584">
        <v>79150</v>
      </c>
      <c r="B1584" t="s">
        <v>17485</v>
      </c>
      <c r="C1584" t="s">
        <v>17486</v>
      </c>
      <c r="D1584" t="s">
        <v>17487</v>
      </c>
      <c r="E1584" t="s">
        <v>17488</v>
      </c>
      <c r="F1584" t="s">
        <v>17489</v>
      </c>
      <c r="G1584" t="s">
        <v>17490</v>
      </c>
      <c r="H1584" t="s">
        <v>17491</v>
      </c>
      <c r="I1584" t="s">
        <v>17492</v>
      </c>
      <c r="J1584" t="s">
        <v>17493</v>
      </c>
      <c r="K1584" t="s">
        <v>17494</v>
      </c>
      <c r="L1584" t="s">
        <v>17495</v>
      </c>
      <c r="M1584" t="s">
        <v>17496</v>
      </c>
      <c r="N1584" t="s">
        <v>17497</v>
      </c>
      <c r="O1584">
        <f>-681.342417208355 -98.2452023292628 -520.15528789317</f>
        <v>-1299.7429074307879</v>
      </c>
      <c r="P1584">
        <f>-706.175633913468 -106.291258129542 -227.05164856341</f>
        <v>-1039.5185406064199</v>
      </c>
      <c r="Q1584" t="s">
        <v>17498</v>
      </c>
      <c r="R1584" t="s">
        <v>17499</v>
      </c>
      <c r="S1584" t="s">
        <v>17500</v>
      </c>
      <c r="T1584" t="s">
        <v>17501</v>
      </c>
      <c r="U1584" t="s">
        <v>17502</v>
      </c>
      <c r="V1584">
        <f>-677.138558445906 -5.86578093914864 -92.2512695032267</f>
        <v>-775.25560888828136</v>
      </c>
      <c r="W1584" t="s">
        <v>17503</v>
      </c>
      <c r="X1584" t="s">
        <v>17504</v>
      </c>
      <c r="Y1584" t="s">
        <v>17505</v>
      </c>
    </row>
    <row r="1585" spans="1:25" x14ac:dyDescent="0.3">
      <c r="A1585">
        <v>79200</v>
      </c>
      <c r="B1585" t="s">
        <v>17506</v>
      </c>
      <c r="C1585" t="s">
        <v>17507</v>
      </c>
      <c r="D1585" t="s">
        <v>17508</v>
      </c>
      <c r="E1585" t="s">
        <v>17509</v>
      </c>
      <c r="F1585" t="s">
        <v>17510</v>
      </c>
      <c r="G1585" t="s">
        <v>17511</v>
      </c>
      <c r="H1585" t="s">
        <v>17512</v>
      </c>
      <c r="I1585" t="s">
        <v>17513</v>
      </c>
      <c r="J1585" t="s">
        <v>17514</v>
      </c>
      <c r="K1585" t="s">
        <v>17515</v>
      </c>
      <c r="L1585" t="s">
        <v>17516</v>
      </c>
      <c r="M1585" t="s">
        <v>17517</v>
      </c>
      <c r="N1585" t="s">
        <v>17518</v>
      </c>
      <c r="O1585">
        <f>-682.391419523849 -98.3543523022668 -519.830186828826</f>
        <v>-1300.5759586549416</v>
      </c>
      <c r="P1585">
        <f>-706.73890192197 -106.431645635945 -226.686554349886</f>
        <v>-1039.8571019078008</v>
      </c>
      <c r="Q1585" t="s">
        <v>17519</v>
      </c>
      <c r="R1585" t="s">
        <v>17520</v>
      </c>
      <c r="S1585" t="s">
        <v>17521</v>
      </c>
      <c r="T1585" t="s">
        <v>17522</v>
      </c>
      <c r="U1585" t="s">
        <v>17523</v>
      </c>
      <c r="V1585">
        <f>-677.071363785289 -5.35932613192813 -92.1259615225199</f>
        <v>-774.55665143973704</v>
      </c>
      <c r="W1585" t="s">
        <v>17524</v>
      </c>
      <c r="X1585" t="s">
        <v>17525</v>
      </c>
      <c r="Y1585" t="s">
        <v>17526</v>
      </c>
    </row>
    <row r="1586" spans="1:25" x14ac:dyDescent="0.3">
      <c r="A1586">
        <v>79250</v>
      </c>
      <c r="B1586" t="s">
        <v>17527</v>
      </c>
      <c r="C1586" t="s">
        <v>17528</v>
      </c>
      <c r="D1586" t="s">
        <v>17529</v>
      </c>
      <c r="E1586" t="s">
        <v>17530</v>
      </c>
      <c r="F1586" t="s">
        <v>17531</v>
      </c>
      <c r="G1586" t="s">
        <v>17532</v>
      </c>
      <c r="H1586" t="s">
        <v>17533</v>
      </c>
      <c r="I1586" t="s">
        <v>17534</v>
      </c>
      <c r="J1586" t="s">
        <v>17535</v>
      </c>
      <c r="K1586" t="s">
        <v>17536</v>
      </c>
      <c r="L1586" t="s">
        <v>17537</v>
      </c>
      <c r="M1586" t="s">
        <v>17538</v>
      </c>
      <c r="N1586" t="s">
        <v>17539</v>
      </c>
      <c r="O1586">
        <f>-682.912674333409 -99.0886958856559 -519.416994889557</f>
        <v>-1301.4183651086219</v>
      </c>
      <c r="P1586">
        <f>-706.891192091771 -106.539729447808 -226.226401920154</f>
        <v>-1039.6573234597331</v>
      </c>
      <c r="Q1586" t="s">
        <v>17540</v>
      </c>
      <c r="R1586" t="s">
        <v>17541</v>
      </c>
      <c r="S1586" t="s">
        <v>17542</v>
      </c>
      <c r="T1586" t="s">
        <v>17543</v>
      </c>
      <c r="U1586" t="s">
        <v>17544</v>
      </c>
      <c r="V1586">
        <f>-676.920470773713 -5.6985006760126 -92.0644904148776</f>
        <v>-774.68346186460315</v>
      </c>
      <c r="W1586" t="s">
        <v>17545</v>
      </c>
      <c r="X1586" t="s">
        <v>17546</v>
      </c>
      <c r="Y1586" t="s">
        <v>17547</v>
      </c>
    </row>
    <row r="1587" spans="1:25" x14ac:dyDescent="0.3">
      <c r="A1587">
        <v>79300</v>
      </c>
      <c r="B1587" t="s">
        <v>17548</v>
      </c>
      <c r="C1587" t="s">
        <v>17549</v>
      </c>
      <c r="D1587" t="s">
        <v>17550</v>
      </c>
      <c r="E1587" t="s">
        <v>17551</v>
      </c>
      <c r="F1587" t="s">
        <v>17552</v>
      </c>
      <c r="G1587" t="s">
        <v>17553</v>
      </c>
      <c r="H1587" t="s">
        <v>17554</v>
      </c>
      <c r="I1587" t="s">
        <v>17555</v>
      </c>
      <c r="J1587" t="s">
        <v>17556</v>
      </c>
      <c r="K1587" t="s">
        <v>17557</v>
      </c>
      <c r="L1587" t="s">
        <v>17558</v>
      </c>
      <c r="M1587" t="s">
        <v>17559</v>
      </c>
      <c r="N1587" t="s">
        <v>17560</v>
      </c>
      <c r="O1587">
        <f>-683.743667917367 -101.498228032204 -517.978301023417</f>
        <v>-1303.2201969729881</v>
      </c>
      <c r="P1587">
        <f>-707.583891212391 -106.610507672817 -224.726353760034</f>
        <v>-1038.9207526452419</v>
      </c>
      <c r="Q1587" t="s">
        <v>17561</v>
      </c>
      <c r="R1587" t="s">
        <v>17562</v>
      </c>
      <c r="S1587" t="s">
        <v>17563</v>
      </c>
      <c r="T1587" t="s">
        <v>17564</v>
      </c>
      <c r="U1587" t="s">
        <v>17565</v>
      </c>
      <c r="V1587">
        <f>-676.435136383546 -6.25751141228784 -92.0488033460372</f>
        <v>-774.74145114187104</v>
      </c>
      <c r="W1587" t="s">
        <v>17566</v>
      </c>
      <c r="X1587" t="s">
        <v>17567</v>
      </c>
      <c r="Y1587" t="s">
        <v>17568</v>
      </c>
    </row>
    <row r="1588" spans="1:25" x14ac:dyDescent="0.3">
      <c r="A1588">
        <v>79350</v>
      </c>
      <c r="B1588" t="s">
        <v>17569</v>
      </c>
      <c r="C1588" t="s">
        <v>17570</v>
      </c>
      <c r="D1588" t="s">
        <v>17571</v>
      </c>
      <c r="E1588" t="s">
        <v>17572</v>
      </c>
      <c r="F1588" t="s">
        <v>17573</v>
      </c>
      <c r="G1588" t="s">
        <v>17574</v>
      </c>
      <c r="H1588" t="s">
        <v>17575</v>
      </c>
      <c r="I1588" t="s">
        <v>17576</v>
      </c>
      <c r="J1588" t="s">
        <v>17577</v>
      </c>
      <c r="K1588" t="s">
        <v>17578</v>
      </c>
      <c r="L1588" t="s">
        <v>17579</v>
      </c>
      <c r="M1588" t="s">
        <v>17580</v>
      </c>
      <c r="N1588" t="s">
        <v>17581</v>
      </c>
      <c r="O1588">
        <f>-683.998405172332 -102.245495667092 -517.082205017805</f>
        <v>-1303.3261058572289</v>
      </c>
      <c r="P1588">
        <f>-708.279409997189 -106.36497751754 -223.850821530898</f>
        <v>-1038.495209045627</v>
      </c>
      <c r="Q1588" t="s">
        <v>17582</v>
      </c>
      <c r="R1588" t="s">
        <v>17583</v>
      </c>
      <c r="S1588" t="s">
        <v>17584</v>
      </c>
      <c r="T1588" t="s">
        <v>17585</v>
      </c>
      <c r="U1588" t="s">
        <v>17586</v>
      </c>
      <c r="V1588">
        <f>-676.413488521809 -6.26480262892665 -92.0474268827714</f>
        <v>-774.72571803350706</v>
      </c>
      <c r="W1588" t="s">
        <v>17587</v>
      </c>
      <c r="X1588" t="s">
        <v>17588</v>
      </c>
      <c r="Y1588" t="s">
        <v>17589</v>
      </c>
    </row>
    <row r="1589" spans="1:25" x14ac:dyDescent="0.3">
      <c r="A1589">
        <v>79400</v>
      </c>
      <c r="B1589" t="s">
        <v>17590</v>
      </c>
      <c r="C1589" t="s">
        <v>17591</v>
      </c>
      <c r="D1589" t="s">
        <v>17592</v>
      </c>
      <c r="E1589" t="s">
        <v>17593</v>
      </c>
      <c r="F1589" t="s">
        <v>17594</v>
      </c>
      <c r="G1589" t="s">
        <v>17595</v>
      </c>
      <c r="H1589" t="s">
        <v>17596</v>
      </c>
      <c r="I1589" t="s">
        <v>17597</v>
      </c>
      <c r="J1589" t="s">
        <v>17598</v>
      </c>
      <c r="K1589" t="s">
        <v>17599</v>
      </c>
      <c r="L1589" t="s">
        <v>17600</v>
      </c>
      <c r="M1589" t="s">
        <v>17601</v>
      </c>
      <c r="N1589" t="s">
        <v>17602</v>
      </c>
      <c r="O1589">
        <f>-684.264123101948 -102.573147341713 -516.265367969994</f>
        <v>-1303.1026384136551</v>
      </c>
      <c r="P1589">
        <f>-709.267312618631 -105.697371465422 -223.082285003627</f>
        <v>-1038.0469690876798</v>
      </c>
      <c r="Q1589" t="s">
        <v>17603</v>
      </c>
      <c r="R1589" t="s">
        <v>17604</v>
      </c>
      <c r="S1589" t="s">
        <v>17605</v>
      </c>
      <c r="T1589" t="s">
        <v>17606</v>
      </c>
      <c r="U1589" t="s">
        <v>17607</v>
      </c>
      <c r="V1589">
        <f>-676.543863661825 -5.81130806480701 -92.0418461203785</f>
        <v>-774.39701784701049</v>
      </c>
      <c r="W1589" t="s">
        <v>17608</v>
      </c>
      <c r="X1589" t="s">
        <v>17609</v>
      </c>
      <c r="Y1589" t="s">
        <v>17610</v>
      </c>
    </row>
    <row r="1590" spans="1:25" x14ac:dyDescent="0.3">
      <c r="A1590">
        <v>79450</v>
      </c>
      <c r="B1590" t="s">
        <v>17611</v>
      </c>
      <c r="C1590" t="s">
        <v>17612</v>
      </c>
      <c r="D1590" t="s">
        <v>17613</v>
      </c>
      <c r="E1590" t="s">
        <v>17614</v>
      </c>
      <c r="F1590" t="s">
        <v>17615</v>
      </c>
      <c r="G1590" t="s">
        <v>17616</v>
      </c>
      <c r="H1590" t="s">
        <v>17617</v>
      </c>
      <c r="I1590" t="s">
        <v>17618</v>
      </c>
      <c r="J1590" t="s">
        <v>17619</v>
      </c>
      <c r="K1590" t="s">
        <v>17620</v>
      </c>
      <c r="L1590" t="s">
        <v>17621</v>
      </c>
      <c r="M1590" t="s">
        <v>17622</v>
      </c>
      <c r="N1590" t="s">
        <v>17623</v>
      </c>
      <c r="O1590">
        <f>-684.382692781118 -102.509048613653 -515.697457420372</f>
        <v>-1302.5891988151429</v>
      </c>
      <c r="P1590">
        <f>-710.018354988267 -104.85773455298 -222.561789888194</f>
        <v>-1037.437879429441</v>
      </c>
      <c r="Q1590" t="s">
        <v>17624</v>
      </c>
      <c r="R1590" t="s">
        <v>17625</v>
      </c>
      <c r="S1590" t="s">
        <v>17626</v>
      </c>
      <c r="T1590" t="s">
        <v>17627</v>
      </c>
      <c r="U1590" t="s">
        <v>17628</v>
      </c>
      <c r="V1590">
        <f>-676.561844936286 -4.97936943349191 -91.9945109021402</f>
        <v>-773.53572527191807</v>
      </c>
      <c r="W1590" t="s">
        <v>17629</v>
      </c>
      <c r="X1590" t="s">
        <v>17630</v>
      </c>
      <c r="Y1590" t="s">
        <v>17631</v>
      </c>
    </row>
    <row r="1591" spans="1:25" x14ac:dyDescent="0.3">
      <c r="A1591">
        <v>79500</v>
      </c>
      <c r="B1591" t="s">
        <v>17632</v>
      </c>
      <c r="C1591" t="s">
        <v>17633</v>
      </c>
      <c r="D1591" t="s">
        <v>17634</v>
      </c>
      <c r="E1591" t="s">
        <v>17635</v>
      </c>
      <c r="F1591" t="s">
        <v>17636</v>
      </c>
      <c r="G1591" t="s">
        <v>17637</v>
      </c>
      <c r="H1591" t="s">
        <v>17638</v>
      </c>
      <c r="I1591" t="s">
        <v>17639</v>
      </c>
      <c r="J1591" t="s">
        <v>17640</v>
      </c>
      <c r="K1591" t="s">
        <v>17641</v>
      </c>
      <c r="L1591" t="s">
        <v>17642</v>
      </c>
      <c r="M1591" t="s">
        <v>17643</v>
      </c>
      <c r="N1591" t="s">
        <v>17644</v>
      </c>
      <c r="O1591">
        <f>-684.613906520441 -102.683668944762 -514.594404165534</f>
        <v>-1301.8919796307368</v>
      </c>
      <c r="P1591">
        <f>-710.550796410924 -103.269359251964 -221.47634350345</f>
        <v>-1035.296499166338</v>
      </c>
      <c r="Q1591" t="s">
        <v>17645</v>
      </c>
      <c r="R1591" t="s">
        <v>17646</v>
      </c>
      <c r="S1591" t="s">
        <v>17647</v>
      </c>
      <c r="T1591" t="s">
        <v>17648</v>
      </c>
      <c r="U1591" t="s">
        <v>17649</v>
      </c>
      <c r="V1591">
        <f>-674.979787783655 -3.25329630467445 -91.9338878264815</f>
        <v>-770.16697191481092</v>
      </c>
      <c r="W1591" t="s">
        <v>17650</v>
      </c>
      <c r="X1591" t="s">
        <v>17651</v>
      </c>
      <c r="Y1591" t="s">
        <v>17652</v>
      </c>
    </row>
    <row r="1592" spans="1:25" x14ac:dyDescent="0.3">
      <c r="A1592">
        <v>79550</v>
      </c>
      <c r="B1592" t="s">
        <v>17653</v>
      </c>
      <c r="C1592" t="s">
        <v>17654</v>
      </c>
      <c r="D1592" t="s">
        <v>17655</v>
      </c>
      <c r="E1592" t="s">
        <v>17656</v>
      </c>
      <c r="F1592" t="s">
        <v>17657</v>
      </c>
      <c r="G1592" t="s">
        <v>17658</v>
      </c>
      <c r="H1592" t="s">
        <v>17659</v>
      </c>
      <c r="I1592" t="s">
        <v>17660</v>
      </c>
      <c r="J1592" t="s">
        <v>17661</v>
      </c>
      <c r="K1592" t="s">
        <v>17662</v>
      </c>
      <c r="L1592" t="s">
        <v>17663</v>
      </c>
      <c r="M1592" t="s">
        <v>17664</v>
      </c>
      <c r="N1592" t="s">
        <v>17665</v>
      </c>
      <c r="O1592">
        <f>-684.917734880075 -103.515250040713 -514.134142327254</f>
        <v>-1302.5671272480422</v>
      </c>
      <c r="P1592">
        <f>-710.620684700851 -103.330638170759 -220.995043691692</f>
        <v>-1034.946366563302</v>
      </c>
      <c r="Q1592" t="s">
        <v>17666</v>
      </c>
      <c r="R1592" t="s">
        <v>17667</v>
      </c>
      <c r="S1592" t="s">
        <v>17668</v>
      </c>
      <c r="T1592" t="s">
        <v>17669</v>
      </c>
      <c r="U1592" t="s">
        <v>17670</v>
      </c>
      <c r="V1592">
        <f>-674.538754723918 -3.55973881534669 -91.9198861592041</f>
        <v>-770.01837969846883</v>
      </c>
      <c r="W1592" t="s">
        <v>17671</v>
      </c>
      <c r="X1592" t="s">
        <v>17672</v>
      </c>
      <c r="Y1592" t="s">
        <v>17673</v>
      </c>
    </row>
    <row r="1593" spans="1:25" x14ac:dyDescent="0.3">
      <c r="A1593">
        <v>79600</v>
      </c>
      <c r="B1593" t="s">
        <v>17674</v>
      </c>
      <c r="C1593" t="s">
        <v>17675</v>
      </c>
      <c r="D1593" t="s">
        <v>17676</v>
      </c>
      <c r="E1593" t="s">
        <v>17677</v>
      </c>
      <c r="F1593" t="s">
        <v>17678</v>
      </c>
      <c r="G1593" t="s">
        <v>17679</v>
      </c>
      <c r="H1593" t="s">
        <v>17680</v>
      </c>
      <c r="I1593" t="s">
        <v>17681</v>
      </c>
      <c r="J1593" t="s">
        <v>17682</v>
      </c>
      <c r="K1593" t="s">
        <v>17683</v>
      </c>
      <c r="L1593" t="s">
        <v>17684</v>
      </c>
      <c r="M1593" t="s">
        <v>17685</v>
      </c>
      <c r="N1593" t="s">
        <v>17686</v>
      </c>
      <c r="O1593">
        <f>-685.644253668106 -104.759415445986 -513.426302291195</f>
        <v>-1303.8299714052869</v>
      </c>
      <c r="P1593">
        <f>-711.631016058987 -102.955553040379 -220.317793468632</f>
        <v>-1034.9043625679981</v>
      </c>
      <c r="Q1593" t="s">
        <v>17687</v>
      </c>
      <c r="R1593" t="s">
        <v>17688</v>
      </c>
      <c r="S1593" t="s">
        <v>17689</v>
      </c>
      <c r="T1593" t="s">
        <v>17690</v>
      </c>
      <c r="U1593" t="s">
        <v>17691</v>
      </c>
      <c r="V1593">
        <f>-673.926377897234 -4.16051493807527 -91.9670598166775</f>
        <v>-770.05395265198683</v>
      </c>
      <c r="W1593" t="s">
        <v>17692</v>
      </c>
      <c r="X1593" t="s">
        <v>17693</v>
      </c>
      <c r="Y1593" t="s">
        <v>17694</v>
      </c>
    </row>
    <row r="1594" spans="1:25" x14ac:dyDescent="0.3">
      <c r="A1594">
        <v>79650</v>
      </c>
      <c r="B1594" t="s">
        <v>17695</v>
      </c>
      <c r="C1594" t="s">
        <v>17696</v>
      </c>
      <c r="D1594" t="s">
        <v>17697</v>
      </c>
      <c r="E1594" t="s">
        <v>17698</v>
      </c>
      <c r="F1594" t="s">
        <v>17699</v>
      </c>
      <c r="G1594" t="s">
        <v>17700</v>
      </c>
      <c r="H1594" t="s">
        <v>17701</v>
      </c>
      <c r="I1594" t="s">
        <v>17702</v>
      </c>
      <c r="J1594" t="s">
        <v>17703</v>
      </c>
      <c r="K1594" t="s">
        <v>17704</v>
      </c>
      <c r="L1594" t="s">
        <v>17705</v>
      </c>
      <c r="M1594" t="s">
        <v>17706</v>
      </c>
      <c r="N1594" t="s">
        <v>17707</v>
      </c>
      <c r="O1594">
        <f>-685.721441841537 -105.376535005387 -513.177373142118</f>
        <v>-1304.2753499890418</v>
      </c>
      <c r="P1594">
        <f>-711.67066222094 -103.243926789344 -220.06757178034</f>
        <v>-1034.982160790624</v>
      </c>
      <c r="Q1594" t="s">
        <v>17708</v>
      </c>
      <c r="R1594" t="s">
        <v>17709</v>
      </c>
      <c r="S1594" t="s">
        <v>17710</v>
      </c>
      <c r="T1594" t="s">
        <v>17711</v>
      </c>
      <c r="U1594" t="s">
        <v>17712</v>
      </c>
      <c r="V1594">
        <f>-673.798738536943 -4.0167940634758 -91.9516917947318</f>
        <v>-769.76722439515061</v>
      </c>
      <c r="W1594" t="s">
        <v>17713</v>
      </c>
      <c r="X1594" t="s">
        <v>17714</v>
      </c>
      <c r="Y1594" t="s">
        <v>17715</v>
      </c>
    </row>
    <row r="1595" spans="1:25" x14ac:dyDescent="0.3">
      <c r="A1595">
        <v>79700</v>
      </c>
      <c r="B1595" t="s">
        <v>17716</v>
      </c>
      <c r="C1595" t="s">
        <v>17717</v>
      </c>
      <c r="D1595" t="s">
        <v>17718</v>
      </c>
      <c r="E1595" t="s">
        <v>17719</v>
      </c>
      <c r="F1595" t="s">
        <v>17720</v>
      </c>
      <c r="G1595" t="s">
        <v>17721</v>
      </c>
      <c r="H1595" t="s">
        <v>17722</v>
      </c>
      <c r="I1595" t="s">
        <v>17723</v>
      </c>
      <c r="J1595" t="s">
        <v>17724</v>
      </c>
      <c r="K1595" t="s">
        <v>17725</v>
      </c>
      <c r="L1595" t="s">
        <v>17726</v>
      </c>
      <c r="M1595" t="s">
        <v>17727</v>
      </c>
      <c r="N1595" t="s">
        <v>17728</v>
      </c>
      <c r="O1595">
        <f>-686.168099867871 -107.066229079192 -512.451941340616</f>
        <v>-1305.686270287679</v>
      </c>
      <c r="P1595">
        <f>-710.876805064923 -104.245269671082 -219.240889515695</f>
        <v>-1034.3629642517001</v>
      </c>
      <c r="Q1595" t="s">
        <v>17729</v>
      </c>
      <c r="R1595" t="s">
        <v>17730</v>
      </c>
      <c r="S1595" t="s">
        <v>17731</v>
      </c>
      <c r="T1595" t="s">
        <v>17732</v>
      </c>
      <c r="U1595" t="s">
        <v>17733</v>
      </c>
      <c r="V1595">
        <f>-673.842965031853 -4.05262213487026 -91.912678511956</f>
        <v>-769.80826567867928</v>
      </c>
      <c r="W1595" t="s">
        <v>17734</v>
      </c>
      <c r="X1595" t="s">
        <v>17735</v>
      </c>
      <c r="Y1595" t="s">
        <v>17736</v>
      </c>
    </row>
    <row r="1596" spans="1:25" x14ac:dyDescent="0.3">
      <c r="A1596">
        <v>79750</v>
      </c>
      <c r="B1596" t="s">
        <v>17737</v>
      </c>
      <c r="C1596" t="s">
        <v>17738</v>
      </c>
      <c r="D1596" t="s">
        <v>17739</v>
      </c>
      <c r="E1596" t="s">
        <v>17740</v>
      </c>
      <c r="F1596" t="s">
        <v>17741</v>
      </c>
      <c r="G1596" t="s">
        <v>17742</v>
      </c>
      <c r="H1596" t="s">
        <v>17743</v>
      </c>
      <c r="I1596" t="s">
        <v>17744</v>
      </c>
      <c r="J1596" t="s">
        <v>17745</v>
      </c>
      <c r="K1596" t="s">
        <v>17746</v>
      </c>
      <c r="L1596" t="s">
        <v>17747</v>
      </c>
      <c r="M1596" t="s">
        <v>17748</v>
      </c>
      <c r="N1596" t="s">
        <v>17749</v>
      </c>
      <c r="O1596">
        <f>-686.577936127981 -108.146613493568 -511.886111456822</f>
        <v>-1306.6106610783711</v>
      </c>
      <c r="P1596">
        <f>-710.711377829461 -104.497587948312 -218.636202295421</f>
        <v>-1033.8451680731939</v>
      </c>
      <c r="Q1596" t="s">
        <v>17750</v>
      </c>
      <c r="R1596" t="s">
        <v>17751</v>
      </c>
      <c r="S1596" t="s">
        <v>17752</v>
      </c>
      <c r="T1596" t="s">
        <v>17753</v>
      </c>
      <c r="U1596" t="s">
        <v>17754</v>
      </c>
      <c r="V1596">
        <f>-673.989082829662 -4.39950894993285 -91.9082070175457</f>
        <v>-770.29679879714058</v>
      </c>
      <c r="W1596" t="s">
        <v>17755</v>
      </c>
      <c r="X1596" t="s">
        <v>17756</v>
      </c>
      <c r="Y1596" t="s">
        <v>17757</v>
      </c>
    </row>
    <row r="1597" spans="1:25" x14ac:dyDescent="0.3">
      <c r="A1597">
        <v>79800</v>
      </c>
      <c r="B1597" t="s">
        <v>17758</v>
      </c>
      <c r="C1597" t="s">
        <v>17759</v>
      </c>
      <c r="D1597" t="s">
        <v>17760</v>
      </c>
      <c r="E1597" t="s">
        <v>17761</v>
      </c>
      <c r="F1597" t="s">
        <v>17762</v>
      </c>
      <c r="G1597" t="s">
        <v>17763</v>
      </c>
      <c r="H1597" t="s">
        <v>17764</v>
      </c>
      <c r="I1597" t="s">
        <v>17765</v>
      </c>
      <c r="J1597" t="s">
        <v>17766</v>
      </c>
      <c r="K1597" t="s">
        <v>17767</v>
      </c>
      <c r="L1597" t="s">
        <v>17768</v>
      </c>
      <c r="M1597" t="s">
        <v>17769</v>
      </c>
      <c r="N1597" t="s">
        <v>17770</v>
      </c>
      <c r="O1597">
        <f>-687.326738656355 -110.054581269915 -510.707018342037</f>
        <v>-1308.0883382683071</v>
      </c>
      <c r="P1597">
        <f>-710.867293472083 -104.871236084163 -217.432076877306</f>
        <v>-1033.1706064335519</v>
      </c>
      <c r="Q1597" t="s">
        <v>17771</v>
      </c>
      <c r="R1597" t="s">
        <v>17772</v>
      </c>
      <c r="S1597" t="s">
        <v>17773</v>
      </c>
      <c r="T1597" t="s">
        <v>17774</v>
      </c>
      <c r="U1597" t="s">
        <v>17775</v>
      </c>
      <c r="V1597">
        <f>-674.597293053432 -4.98846611492991 -91.8141132157315</f>
        <v>-771.39987238409344</v>
      </c>
      <c r="W1597" t="s">
        <v>17776</v>
      </c>
      <c r="X1597" t="s">
        <v>17777</v>
      </c>
      <c r="Y1597" t="s">
        <v>17778</v>
      </c>
    </row>
    <row r="1598" spans="1:25" x14ac:dyDescent="0.3">
      <c r="A1598">
        <v>79850</v>
      </c>
      <c r="B1598" t="s">
        <v>17779</v>
      </c>
      <c r="C1598" t="s">
        <v>17780</v>
      </c>
      <c r="D1598" t="s">
        <v>17781</v>
      </c>
      <c r="E1598" t="s">
        <v>17782</v>
      </c>
      <c r="F1598" t="s">
        <v>17783</v>
      </c>
      <c r="G1598" t="s">
        <v>17784</v>
      </c>
      <c r="H1598" t="s">
        <v>17785</v>
      </c>
      <c r="I1598" t="s">
        <v>17786</v>
      </c>
      <c r="J1598" t="s">
        <v>17787</v>
      </c>
      <c r="K1598" t="s">
        <v>17788</v>
      </c>
      <c r="L1598" t="s">
        <v>17789</v>
      </c>
      <c r="M1598" t="s">
        <v>17790</v>
      </c>
      <c r="N1598" t="s">
        <v>17791</v>
      </c>
      <c r="O1598">
        <f>-687.4780648365 -110.629966862115 -510.315886931467</f>
        <v>-1308.423918630082</v>
      </c>
      <c r="P1598">
        <f>-711.022183496346 -105.034839134018 -217.048796377987</f>
        <v>-1033.1058190083509</v>
      </c>
      <c r="Q1598" t="s">
        <v>17792</v>
      </c>
      <c r="R1598" t="s">
        <v>17793</v>
      </c>
      <c r="S1598" t="s">
        <v>17794</v>
      </c>
      <c r="T1598" t="s">
        <v>17795</v>
      </c>
      <c r="U1598" t="s">
        <v>17796</v>
      </c>
      <c r="V1598">
        <f>-674.864540929631 -4.98198697501698 -91.7700503615258</f>
        <v>-771.61657826617375</v>
      </c>
      <c r="W1598" t="s">
        <v>17797</v>
      </c>
      <c r="X1598" t="s">
        <v>17798</v>
      </c>
      <c r="Y1598" t="s">
        <v>17799</v>
      </c>
    </row>
    <row r="1599" spans="1:25" x14ac:dyDescent="0.3">
      <c r="A1599">
        <v>79900</v>
      </c>
      <c r="B1599" t="s">
        <v>17800</v>
      </c>
      <c r="C1599" t="s">
        <v>17801</v>
      </c>
      <c r="D1599" t="s">
        <v>17802</v>
      </c>
      <c r="E1599" t="s">
        <v>17803</v>
      </c>
      <c r="F1599" t="s">
        <v>17804</v>
      </c>
      <c r="G1599" t="s">
        <v>17805</v>
      </c>
      <c r="H1599" t="s">
        <v>17806</v>
      </c>
      <c r="I1599" t="s">
        <v>17807</v>
      </c>
      <c r="J1599" t="s">
        <v>17808</v>
      </c>
      <c r="K1599" t="s">
        <v>17809</v>
      </c>
      <c r="L1599" t="s">
        <v>17810</v>
      </c>
      <c r="M1599" t="s">
        <v>17811</v>
      </c>
      <c r="N1599" t="s">
        <v>17812</v>
      </c>
      <c r="O1599">
        <f>-687.522050724966 -111.468129262473 -510.044272454047</f>
        <v>-1309.0344524414859</v>
      </c>
      <c r="P1599">
        <f>-710.933127267509 -105.422147503484 -216.775487339204</f>
        <v>-1033.1307621101969</v>
      </c>
      <c r="Q1599" t="s">
        <v>17813</v>
      </c>
      <c r="R1599" t="s">
        <v>17814</v>
      </c>
      <c r="S1599" t="s">
        <v>17815</v>
      </c>
      <c r="T1599" t="s">
        <v>17816</v>
      </c>
      <c r="U1599" t="s">
        <v>17817</v>
      </c>
      <c r="V1599">
        <f>-675.36441453453 -5.0645921926739 -91.8106800929054</f>
        <v>-772.23968682010934</v>
      </c>
      <c r="W1599" t="s">
        <v>17818</v>
      </c>
      <c r="X1599" t="s">
        <v>17819</v>
      </c>
      <c r="Y1599" t="s">
        <v>17820</v>
      </c>
    </row>
    <row r="1600" spans="1:25" x14ac:dyDescent="0.3">
      <c r="A1600">
        <v>79950</v>
      </c>
      <c r="B1600" t="s">
        <v>17821</v>
      </c>
      <c r="C1600" t="s">
        <v>17822</v>
      </c>
      <c r="D1600" t="s">
        <v>17823</v>
      </c>
      <c r="E1600" t="s">
        <v>17824</v>
      </c>
      <c r="F1600" t="s">
        <v>17825</v>
      </c>
      <c r="G1600" t="s">
        <v>17826</v>
      </c>
      <c r="H1600" t="s">
        <v>17827</v>
      </c>
      <c r="I1600" t="s">
        <v>17828</v>
      </c>
      <c r="J1600" t="s">
        <v>17829</v>
      </c>
      <c r="K1600" t="s">
        <v>17830</v>
      </c>
      <c r="L1600" t="s">
        <v>17831</v>
      </c>
      <c r="M1600" t="s">
        <v>17832</v>
      </c>
      <c r="N1600" t="s">
        <v>17833</v>
      </c>
      <c r="O1600">
        <f>-687.422083887048 -111.955589756982 -509.969154644139</f>
        <v>-1309.346828288169</v>
      </c>
      <c r="P1600">
        <f>-710.890715594656 -105.629936745419 -216.710928315994</f>
        <v>-1033.2315806560691</v>
      </c>
      <c r="Q1600" t="s">
        <v>17834</v>
      </c>
      <c r="R1600" t="s">
        <v>17835</v>
      </c>
      <c r="S1600" t="s">
        <v>17836</v>
      </c>
      <c r="T1600" t="s">
        <v>17837</v>
      </c>
      <c r="U1600" t="s">
        <v>17838</v>
      </c>
      <c r="V1600">
        <f>-675.662654947678 -5.33144739195382 -91.8828754645792</f>
        <v>-772.87697780421104</v>
      </c>
      <c r="W1600" t="s">
        <v>17839</v>
      </c>
      <c r="X1600" t="s">
        <v>17840</v>
      </c>
      <c r="Y1600" t="s">
        <v>17841</v>
      </c>
    </row>
    <row r="1601" spans="1:25" x14ac:dyDescent="0.3">
      <c r="A1601">
        <v>80000</v>
      </c>
      <c r="B1601" t="s">
        <v>17842</v>
      </c>
      <c r="C1601" t="s">
        <v>17843</v>
      </c>
      <c r="D1601" t="s">
        <v>17844</v>
      </c>
      <c r="E1601" t="s">
        <v>17845</v>
      </c>
      <c r="F1601" t="s">
        <v>17846</v>
      </c>
      <c r="G1601" t="s">
        <v>17847</v>
      </c>
      <c r="H1601" t="s">
        <v>17848</v>
      </c>
      <c r="I1601" t="s">
        <v>17849</v>
      </c>
      <c r="J1601" t="s">
        <v>17850</v>
      </c>
      <c r="K1601" t="s">
        <v>17851</v>
      </c>
      <c r="L1601" t="s">
        <v>17852</v>
      </c>
      <c r="M1601" t="s">
        <v>17853</v>
      </c>
      <c r="N1601" t="s">
        <v>17854</v>
      </c>
      <c r="O1601">
        <f>-687.117610804001 -112.22597306544 -509.906726484938</f>
        <v>-1309.2503103543791</v>
      </c>
      <c r="P1601">
        <f>-710.848610886245 -105.549893658129 -216.677332696128</f>
        <v>-1033.0758372405019</v>
      </c>
      <c r="Q1601" t="s">
        <v>17855</v>
      </c>
      <c r="R1601" t="s">
        <v>17856</v>
      </c>
      <c r="S1601" t="s">
        <v>17857</v>
      </c>
      <c r="T1601" t="s">
        <v>17858</v>
      </c>
      <c r="U1601" t="s">
        <v>17859</v>
      </c>
      <c r="V1601">
        <f>-676.314553184504 -5.35126112940134 -91.9886972211901</f>
        <v>-773.65451153509548</v>
      </c>
      <c r="W1601" t="s">
        <v>17860</v>
      </c>
      <c r="X1601" t="s">
        <v>17861</v>
      </c>
      <c r="Y1601" t="s">
        <v>17862</v>
      </c>
    </row>
    <row r="1602" spans="1:25" x14ac:dyDescent="0.3">
      <c r="A1602">
        <v>80050</v>
      </c>
      <c r="B1602" t="s">
        <v>17863</v>
      </c>
      <c r="C1602" t="s">
        <v>17864</v>
      </c>
      <c r="D1602" t="s">
        <v>17865</v>
      </c>
      <c r="E1602" t="s">
        <v>17866</v>
      </c>
      <c r="F1602" t="s">
        <v>17867</v>
      </c>
      <c r="G1602" t="s">
        <v>17868</v>
      </c>
      <c r="H1602" t="s">
        <v>17869</v>
      </c>
      <c r="I1602" t="s">
        <v>17870</v>
      </c>
      <c r="J1602" t="s">
        <v>17871</v>
      </c>
      <c r="K1602" t="s">
        <v>17872</v>
      </c>
      <c r="L1602" t="s">
        <v>17873</v>
      </c>
      <c r="M1602" t="s">
        <v>17874</v>
      </c>
      <c r="N1602" t="s">
        <v>17875</v>
      </c>
      <c r="O1602">
        <f>-686.997887521849 -112.242925146748 -509.977573531817</f>
        <v>-1309.218386200414</v>
      </c>
      <c r="P1602">
        <f>-710.961012022738 -105.647218723087 -216.765230875674</f>
        <v>-1033.373461621499</v>
      </c>
      <c r="Q1602" t="s">
        <v>17876</v>
      </c>
      <c r="R1602" t="s">
        <v>17877</v>
      </c>
      <c r="S1602" t="s">
        <v>17878</v>
      </c>
      <c r="T1602" t="s">
        <v>17879</v>
      </c>
      <c r="U1602" t="s">
        <v>17880</v>
      </c>
      <c r="V1602">
        <f>-676.704125839323 -5.64688900484316 -92.0617638785674</f>
        <v>-774.41277872273349</v>
      </c>
      <c r="W1602" t="s">
        <v>17881</v>
      </c>
      <c r="X1602" t="s">
        <v>17882</v>
      </c>
      <c r="Y1602" t="s">
        <v>17883</v>
      </c>
    </row>
    <row r="1603" spans="1:25" x14ac:dyDescent="0.3">
      <c r="A1603">
        <v>80100</v>
      </c>
      <c r="B1603" t="s">
        <v>17884</v>
      </c>
      <c r="C1603" t="s">
        <v>17885</v>
      </c>
      <c r="D1603" t="s">
        <v>17886</v>
      </c>
      <c r="E1603" t="s">
        <v>17887</v>
      </c>
      <c r="F1603" t="s">
        <v>17888</v>
      </c>
      <c r="G1603" t="s">
        <v>17889</v>
      </c>
      <c r="H1603" t="s">
        <v>17890</v>
      </c>
      <c r="I1603" t="s">
        <v>17891</v>
      </c>
      <c r="J1603" t="s">
        <v>17892</v>
      </c>
      <c r="K1603" t="s">
        <v>17893</v>
      </c>
      <c r="L1603" t="s">
        <v>17894</v>
      </c>
      <c r="M1603" t="s">
        <v>17895</v>
      </c>
      <c r="N1603" t="s">
        <v>17896</v>
      </c>
      <c r="O1603">
        <f>-686.31744602173 -112.015478609503 -510.306368337402</f>
        <v>-1308.6392929686349</v>
      </c>
      <c r="P1603">
        <f>-710.86139438957 -105.965659719769 -217.13029155886</f>
        <v>-1033.957345668199</v>
      </c>
      <c r="Q1603" t="s">
        <v>17897</v>
      </c>
      <c r="R1603" t="s">
        <v>17898</v>
      </c>
      <c r="S1603" t="s">
        <v>17899</v>
      </c>
      <c r="T1603" t="s">
        <v>17900</v>
      </c>
      <c r="U1603" t="s">
        <v>17901</v>
      </c>
      <c r="V1603">
        <f>-677.309149159149 -5.94002668319604 -92.1087914105507</f>
        <v>-775.35796725289572</v>
      </c>
      <c r="W1603" t="s">
        <v>17902</v>
      </c>
      <c r="X1603" t="s">
        <v>17903</v>
      </c>
      <c r="Y1603" t="s">
        <v>17904</v>
      </c>
    </row>
    <row r="1604" spans="1:25" x14ac:dyDescent="0.3">
      <c r="A1604">
        <v>80150</v>
      </c>
      <c r="B1604" t="s">
        <v>17905</v>
      </c>
      <c r="C1604" t="s">
        <v>17906</v>
      </c>
      <c r="D1604" t="s">
        <v>17907</v>
      </c>
      <c r="E1604" t="s">
        <v>17908</v>
      </c>
      <c r="F1604" t="s">
        <v>17909</v>
      </c>
      <c r="G1604" t="s">
        <v>17910</v>
      </c>
      <c r="H1604" t="s">
        <v>17911</v>
      </c>
      <c r="I1604" t="s">
        <v>17912</v>
      </c>
      <c r="J1604" t="s">
        <v>17913</v>
      </c>
      <c r="K1604" t="s">
        <v>17914</v>
      </c>
      <c r="L1604" t="s">
        <v>17915</v>
      </c>
      <c r="M1604" t="s">
        <v>17916</v>
      </c>
      <c r="N1604" t="s">
        <v>17917</v>
      </c>
      <c r="O1604">
        <f>-685.712566960391 -111.89923232395 -510.467673762583</f>
        <v>-1308.079473046924</v>
      </c>
      <c r="P1604">
        <f>-710.490038047385 -106.144456861863 -217.305313575933</f>
        <v>-1033.9398084851809</v>
      </c>
      <c r="Q1604" t="s">
        <v>17918</v>
      </c>
      <c r="R1604" t="s">
        <v>17919</v>
      </c>
      <c r="S1604" t="s">
        <v>17920</v>
      </c>
      <c r="T1604" t="s">
        <v>17921</v>
      </c>
      <c r="U1604" t="s">
        <v>17922</v>
      </c>
      <c r="V1604">
        <f>-677.413937702986 -6.10252398949842 -92.0990247509112</f>
        <v>-775.61548644339564</v>
      </c>
      <c r="W1604" t="s">
        <v>17923</v>
      </c>
      <c r="X1604" t="s">
        <v>17924</v>
      </c>
      <c r="Y1604" t="s">
        <v>17925</v>
      </c>
    </row>
    <row r="1605" spans="1:25" x14ac:dyDescent="0.3">
      <c r="A1605">
        <v>80200</v>
      </c>
      <c r="B1605" t="s">
        <v>17926</v>
      </c>
      <c r="C1605" t="s">
        <v>17927</v>
      </c>
      <c r="D1605" t="s">
        <v>17928</v>
      </c>
      <c r="E1605" t="s">
        <v>17929</v>
      </c>
      <c r="F1605" t="s">
        <v>17930</v>
      </c>
      <c r="G1605" t="s">
        <v>17931</v>
      </c>
      <c r="H1605" t="s">
        <v>17932</v>
      </c>
      <c r="I1605" t="s">
        <v>17933</v>
      </c>
      <c r="J1605" t="s">
        <v>17934</v>
      </c>
      <c r="K1605" t="s">
        <v>17935</v>
      </c>
      <c r="L1605" t="s">
        <v>17936</v>
      </c>
      <c r="M1605" t="s">
        <v>17937</v>
      </c>
      <c r="N1605" t="s">
        <v>17938</v>
      </c>
      <c r="O1605">
        <f>-684.373377631888 -111.822898126459 -510.717319850874</f>
        <v>-1306.9135956092209</v>
      </c>
      <c r="P1605">
        <f>-709.505000726143 -106.708816090373 -217.573250633928</f>
        <v>-1033.7870674504441</v>
      </c>
      <c r="Q1605" t="s">
        <v>17939</v>
      </c>
      <c r="R1605" t="s">
        <v>17940</v>
      </c>
      <c r="S1605" t="s">
        <v>17941</v>
      </c>
      <c r="T1605" t="s">
        <v>17942</v>
      </c>
      <c r="U1605" t="s">
        <v>17943</v>
      </c>
      <c r="V1605">
        <f>-677.44724676768 -6.7169564855003 -92.1366209064955</f>
        <v>-776.30082415967581</v>
      </c>
      <c r="W1605" t="s">
        <v>17944</v>
      </c>
      <c r="X1605" t="s">
        <v>17945</v>
      </c>
      <c r="Y1605" t="s">
        <v>17946</v>
      </c>
    </row>
    <row r="1606" spans="1:25" x14ac:dyDescent="0.3">
      <c r="A1606">
        <v>80250</v>
      </c>
      <c r="B1606" t="s">
        <v>17947</v>
      </c>
      <c r="C1606" t="s">
        <v>17948</v>
      </c>
      <c r="D1606" t="s">
        <v>17949</v>
      </c>
      <c r="E1606" t="s">
        <v>17950</v>
      </c>
      <c r="F1606" t="s">
        <v>17951</v>
      </c>
      <c r="G1606" t="s">
        <v>17952</v>
      </c>
      <c r="H1606" t="s">
        <v>17953</v>
      </c>
      <c r="I1606" t="s">
        <v>17954</v>
      </c>
      <c r="J1606" t="s">
        <v>17955</v>
      </c>
      <c r="K1606" t="s">
        <v>17956</v>
      </c>
      <c r="L1606" t="s">
        <v>17957</v>
      </c>
      <c r="M1606" t="s">
        <v>17958</v>
      </c>
      <c r="N1606" t="s">
        <v>17959</v>
      </c>
      <c r="O1606">
        <f>-683.836013662545 -111.802198420247 -510.860004976383</f>
        <v>-1306.498217059175</v>
      </c>
      <c r="P1606">
        <f>-709.171140200205 -107.097288490711 -217.726693354776</f>
        <v>-1033.9951220456919</v>
      </c>
      <c r="Q1606" t="s">
        <v>17960</v>
      </c>
      <c r="R1606" t="s">
        <v>17961</v>
      </c>
      <c r="S1606" t="s">
        <v>17962</v>
      </c>
      <c r="T1606" t="s">
        <v>17963</v>
      </c>
      <c r="U1606" t="s">
        <v>17964</v>
      </c>
      <c r="V1606">
        <f>-677.585626902493 -7.04806612346761 -92.10189310771</f>
        <v>-776.73558613367061</v>
      </c>
      <c r="W1606" t="s">
        <v>17965</v>
      </c>
      <c r="X1606" t="s">
        <v>17966</v>
      </c>
      <c r="Y1606" t="s">
        <v>17967</v>
      </c>
    </row>
    <row r="1607" spans="1:25" x14ac:dyDescent="0.3">
      <c r="A1607">
        <v>80300</v>
      </c>
      <c r="B1607" t="s">
        <v>17968</v>
      </c>
      <c r="C1607" t="s">
        <v>17969</v>
      </c>
      <c r="D1607" t="s">
        <v>17970</v>
      </c>
      <c r="E1607" t="s">
        <v>17971</v>
      </c>
      <c r="F1607" t="s">
        <v>17972</v>
      </c>
      <c r="G1607" t="s">
        <v>17973</v>
      </c>
      <c r="H1607" t="s">
        <v>17974</v>
      </c>
      <c r="I1607" t="s">
        <v>17975</v>
      </c>
      <c r="J1607" t="s">
        <v>17976</v>
      </c>
      <c r="K1607" t="s">
        <v>17977</v>
      </c>
      <c r="L1607" t="s">
        <v>17978</v>
      </c>
      <c r="M1607" t="s">
        <v>17979</v>
      </c>
      <c r="N1607" t="s">
        <v>17980</v>
      </c>
      <c r="O1607">
        <f>-682.787889156054 -111.414451919273 -511.197252494899</f>
        <v>-1305.399593570226</v>
      </c>
      <c r="P1607">
        <f>-708.717957253891 -107.501183131937 -218.104221635495</f>
        <v>-1034.323362021323</v>
      </c>
      <c r="Q1607" t="s">
        <v>17981</v>
      </c>
      <c r="R1607" t="s">
        <v>17982</v>
      </c>
      <c r="S1607" t="s">
        <v>17983</v>
      </c>
      <c r="T1607" t="s">
        <v>17984</v>
      </c>
      <c r="U1607" t="s">
        <v>17985</v>
      </c>
      <c r="V1607">
        <f>-677.348034596507 -7.43946656863591 -92.0692396656016</f>
        <v>-776.85674083074446</v>
      </c>
      <c r="W1607" t="s">
        <v>17986</v>
      </c>
      <c r="X1607" t="s">
        <v>17987</v>
      </c>
      <c r="Y1607" t="s">
        <v>17988</v>
      </c>
    </row>
    <row r="1608" spans="1:25" x14ac:dyDescent="0.3">
      <c r="A1608">
        <v>80350</v>
      </c>
      <c r="B1608" t="s">
        <v>17989</v>
      </c>
      <c r="C1608" t="s">
        <v>17990</v>
      </c>
      <c r="D1608" t="s">
        <v>17991</v>
      </c>
      <c r="E1608" t="s">
        <v>17992</v>
      </c>
      <c r="F1608" t="s">
        <v>17993</v>
      </c>
      <c r="G1608" t="s">
        <v>17994</v>
      </c>
      <c r="H1608" t="s">
        <v>17995</v>
      </c>
      <c r="I1608" t="s">
        <v>17996</v>
      </c>
      <c r="J1608" t="s">
        <v>17997</v>
      </c>
      <c r="K1608" t="s">
        <v>17998</v>
      </c>
      <c r="L1608" t="s">
        <v>17999</v>
      </c>
      <c r="M1608" t="s">
        <v>18000</v>
      </c>
      <c r="N1608" t="s">
        <v>18001</v>
      </c>
      <c r="O1608">
        <f>-682.19390025701 -111.13064385554 -511.370209718888</f>
        <v>-1304.694753831438</v>
      </c>
      <c r="P1608">
        <f>-708.422637473459 -107.625870522229 -218.298434119713</f>
        <v>-1034.3469421154009</v>
      </c>
      <c r="Q1608" t="s">
        <v>18002</v>
      </c>
      <c r="R1608" t="s">
        <v>18003</v>
      </c>
      <c r="S1608" t="s">
        <v>18004</v>
      </c>
      <c r="T1608" t="s">
        <v>18005</v>
      </c>
      <c r="U1608" t="s">
        <v>18006</v>
      </c>
      <c r="V1608">
        <f>-677.025490008364 -7.49893483582514 -92.0406935377191</f>
        <v>-776.56511838190829</v>
      </c>
      <c r="W1608" t="s">
        <v>18007</v>
      </c>
      <c r="X1608" t="s">
        <v>18008</v>
      </c>
      <c r="Y1608" t="s">
        <v>18009</v>
      </c>
    </row>
    <row r="1609" spans="1:25" x14ac:dyDescent="0.3">
      <c r="A1609">
        <v>80400</v>
      </c>
      <c r="B1609" t="s">
        <v>18010</v>
      </c>
      <c r="C1609" t="s">
        <v>18011</v>
      </c>
      <c r="D1609" t="s">
        <v>18012</v>
      </c>
      <c r="E1609" t="s">
        <v>18013</v>
      </c>
      <c r="F1609" t="s">
        <v>18014</v>
      </c>
      <c r="G1609" t="s">
        <v>18015</v>
      </c>
      <c r="H1609" t="s">
        <v>18016</v>
      </c>
      <c r="I1609" t="s">
        <v>18017</v>
      </c>
      <c r="J1609" t="s">
        <v>18018</v>
      </c>
      <c r="K1609" t="s">
        <v>18019</v>
      </c>
      <c r="L1609" t="s">
        <v>18020</v>
      </c>
      <c r="M1609" t="s">
        <v>18021</v>
      </c>
      <c r="N1609" t="s">
        <v>18022</v>
      </c>
      <c r="O1609">
        <f>-680.828473449945 -110.496856315627 -511.758272971077</f>
        <v>-1303.083602736649</v>
      </c>
      <c r="P1609">
        <f>-707.169602640584 -107.984496938857 -218.686566950814</f>
        <v>-1033.840666530255</v>
      </c>
      <c r="Q1609" t="s">
        <v>18023</v>
      </c>
      <c r="R1609" t="s">
        <v>18024</v>
      </c>
      <c r="S1609" t="s">
        <v>18025</v>
      </c>
      <c r="T1609" t="s">
        <v>18026</v>
      </c>
      <c r="U1609" t="s">
        <v>18027</v>
      </c>
      <c r="V1609">
        <f>-675.855313581857 -7.77613618593796 -91.9909990318189</f>
        <v>-775.62244879961384</v>
      </c>
      <c r="W1609" t="s">
        <v>18028</v>
      </c>
      <c r="X1609" t="s">
        <v>18029</v>
      </c>
      <c r="Y1609" t="s">
        <v>18030</v>
      </c>
    </row>
    <row r="1610" spans="1:25" x14ac:dyDescent="0.3">
      <c r="A1610">
        <v>80450</v>
      </c>
      <c r="B1610" t="s">
        <v>18031</v>
      </c>
      <c r="C1610" t="s">
        <v>18032</v>
      </c>
      <c r="D1610" t="s">
        <v>18033</v>
      </c>
      <c r="E1610" t="s">
        <v>18034</v>
      </c>
      <c r="F1610" t="s">
        <v>18035</v>
      </c>
      <c r="G1610" t="s">
        <v>18036</v>
      </c>
      <c r="H1610" t="s">
        <v>18037</v>
      </c>
      <c r="I1610" t="s">
        <v>18038</v>
      </c>
      <c r="J1610" t="s">
        <v>18039</v>
      </c>
      <c r="K1610" t="s">
        <v>18040</v>
      </c>
      <c r="L1610" t="s">
        <v>18041</v>
      </c>
      <c r="M1610" t="s">
        <v>18042</v>
      </c>
      <c r="N1610" t="s">
        <v>18043</v>
      </c>
      <c r="O1610">
        <f>-680.188794233735 -110.381901316575 -512.012032202533</f>
        <v>-1302.5827277528429</v>
      </c>
      <c r="P1610">
        <f>-706.423754145083 -108.251609499893 -218.927622380698</f>
        <v>-1033.602986025674</v>
      </c>
      <c r="Q1610" t="s">
        <v>18044</v>
      </c>
      <c r="R1610" t="s">
        <v>18045</v>
      </c>
      <c r="S1610" t="s">
        <v>18046</v>
      </c>
      <c r="T1610" t="s">
        <v>18047</v>
      </c>
      <c r="U1610" t="s">
        <v>18048</v>
      </c>
      <c r="V1610">
        <f>-675.298728051779 -7.93977502164171 -92.0247798990555</f>
        <v>-775.26328297247619</v>
      </c>
      <c r="W1610" t="s">
        <v>18049</v>
      </c>
      <c r="X1610" t="s">
        <v>18050</v>
      </c>
      <c r="Y1610" t="s">
        <v>18051</v>
      </c>
    </row>
    <row r="1611" spans="1:25" x14ac:dyDescent="0.3">
      <c r="A1611">
        <v>80500</v>
      </c>
      <c r="B1611" t="s">
        <v>18052</v>
      </c>
      <c r="C1611" t="s">
        <v>18053</v>
      </c>
      <c r="D1611" t="s">
        <v>18054</v>
      </c>
      <c r="E1611" t="s">
        <v>18055</v>
      </c>
      <c r="F1611" t="s">
        <v>18056</v>
      </c>
      <c r="G1611" t="s">
        <v>18057</v>
      </c>
      <c r="H1611" t="s">
        <v>18058</v>
      </c>
      <c r="I1611" t="s">
        <v>18059</v>
      </c>
      <c r="J1611" t="s">
        <v>18060</v>
      </c>
      <c r="K1611" t="s">
        <v>18061</v>
      </c>
      <c r="L1611" t="s">
        <v>18062</v>
      </c>
      <c r="M1611" t="s">
        <v>18063</v>
      </c>
      <c r="N1611" t="s">
        <v>18064</v>
      </c>
      <c r="O1611">
        <f>-679.395214217949 -109.872493322993 -512.481542221667</f>
        <v>-1301.749249762609</v>
      </c>
      <c r="P1611">
        <f>-704.8828520038 -108.269707508675 -219.328018001218</f>
        <v>-1032.4805775136931</v>
      </c>
      <c r="Q1611" t="s">
        <v>18065</v>
      </c>
      <c r="R1611" t="s">
        <v>18066</v>
      </c>
      <c r="S1611" t="s">
        <v>18067</v>
      </c>
      <c r="T1611" t="s">
        <v>18068</v>
      </c>
      <c r="U1611" t="s">
        <v>18069</v>
      </c>
      <c r="V1611">
        <f>-674.470231502305 -8.20643234036538 -92.0356738096526</f>
        <v>-774.71233765232296</v>
      </c>
      <c r="W1611" t="s">
        <v>18070</v>
      </c>
      <c r="X1611" t="s">
        <v>18071</v>
      </c>
      <c r="Y1611" t="s">
        <v>18072</v>
      </c>
    </row>
    <row r="1612" spans="1:25" x14ac:dyDescent="0.3">
      <c r="A1612">
        <v>80550</v>
      </c>
      <c r="B1612" t="s">
        <v>18073</v>
      </c>
      <c r="C1612" t="s">
        <v>18074</v>
      </c>
      <c r="D1612" t="s">
        <v>18075</v>
      </c>
      <c r="E1612" t="s">
        <v>18076</v>
      </c>
      <c r="F1612" t="s">
        <v>18077</v>
      </c>
      <c r="G1612" t="s">
        <v>18078</v>
      </c>
      <c r="H1612" t="s">
        <v>18079</v>
      </c>
      <c r="I1612" t="s">
        <v>18080</v>
      </c>
      <c r="J1612" t="s">
        <v>18081</v>
      </c>
      <c r="K1612" t="s">
        <v>18082</v>
      </c>
      <c r="L1612" t="s">
        <v>18083</v>
      </c>
      <c r="M1612" t="s">
        <v>18084</v>
      </c>
      <c r="N1612" t="s">
        <v>18085</v>
      </c>
      <c r="O1612">
        <f>-678.7692781132 -109.704552644169 -512.821152818721</f>
        <v>-1301.2949835760901</v>
      </c>
      <c r="P1612">
        <f>-704.036836098599 -108.37380284469 -219.647173848807</f>
        <v>-1032.057812792096</v>
      </c>
      <c r="Q1612" t="s">
        <v>18086</v>
      </c>
      <c r="R1612" t="s">
        <v>18087</v>
      </c>
      <c r="S1612" t="s">
        <v>18088</v>
      </c>
      <c r="T1612" t="s">
        <v>18089</v>
      </c>
      <c r="U1612" t="s">
        <v>18090</v>
      </c>
      <c r="V1612">
        <f>-673.654501292746 -8.57382234039528 -92.1441565288821</f>
        <v>-774.37248016202341</v>
      </c>
      <c r="W1612" t="s">
        <v>18091</v>
      </c>
      <c r="X1612" t="s">
        <v>18092</v>
      </c>
      <c r="Y1612" t="s">
        <v>18093</v>
      </c>
    </row>
    <row r="1613" spans="1:25" x14ac:dyDescent="0.3">
      <c r="A1613">
        <v>80600</v>
      </c>
      <c r="B1613" t="s">
        <v>18094</v>
      </c>
      <c r="C1613" t="s">
        <v>18095</v>
      </c>
      <c r="D1613" t="s">
        <v>18096</v>
      </c>
      <c r="E1613" t="s">
        <v>18097</v>
      </c>
      <c r="F1613" t="s">
        <v>18098</v>
      </c>
      <c r="G1613" t="s">
        <v>18099</v>
      </c>
      <c r="H1613" t="s">
        <v>18100</v>
      </c>
      <c r="I1613" t="s">
        <v>18101</v>
      </c>
      <c r="J1613" t="s">
        <v>18102</v>
      </c>
      <c r="K1613" t="s">
        <v>18103</v>
      </c>
      <c r="L1613" t="s">
        <v>18104</v>
      </c>
      <c r="M1613" t="s">
        <v>18105</v>
      </c>
      <c r="N1613" t="s">
        <v>18106</v>
      </c>
      <c r="O1613">
        <f>-677.577290559628 -108.56868833109 -513.974646196955</f>
        <v>-1300.120625087673</v>
      </c>
      <c r="P1613">
        <f>-702.574233676775 -109.066973849664 -220.774880342674</f>
        <v>-1032.416087869113</v>
      </c>
      <c r="Q1613" t="s">
        <v>18107</v>
      </c>
      <c r="R1613" t="s">
        <v>18108</v>
      </c>
      <c r="S1613" t="s">
        <v>18109</v>
      </c>
      <c r="T1613" t="s">
        <v>18110</v>
      </c>
      <c r="U1613" t="s">
        <v>18111</v>
      </c>
      <c r="V1613">
        <f>-672.948469559444 -8.68584529646751 -92.2355522895439</f>
        <v>-773.86986714545537</v>
      </c>
      <c r="W1613" t="s">
        <v>18112</v>
      </c>
      <c r="X1613" t="s">
        <v>18113</v>
      </c>
      <c r="Y1613" t="s">
        <v>18114</v>
      </c>
    </row>
    <row r="1614" spans="1:25" x14ac:dyDescent="0.3">
      <c r="A1614">
        <v>80650</v>
      </c>
      <c r="B1614" t="s">
        <v>18115</v>
      </c>
      <c r="C1614" t="s">
        <v>18116</v>
      </c>
      <c r="D1614" t="s">
        <v>18117</v>
      </c>
      <c r="E1614" t="s">
        <v>18118</v>
      </c>
      <c r="F1614" t="s">
        <v>18119</v>
      </c>
      <c r="G1614" t="s">
        <v>18120</v>
      </c>
      <c r="H1614" t="s">
        <v>18121</v>
      </c>
      <c r="I1614" t="s">
        <v>18122</v>
      </c>
      <c r="J1614" t="s">
        <v>18123</v>
      </c>
      <c r="K1614" t="s">
        <v>18124</v>
      </c>
      <c r="L1614" t="s">
        <v>18125</v>
      </c>
      <c r="M1614" t="s">
        <v>18126</v>
      </c>
      <c r="N1614" t="s">
        <v>18127</v>
      </c>
      <c r="O1614">
        <f>-677.101951885465 -107.856361945464 -514.519606774427</f>
        <v>-1299.4779206053558</v>
      </c>
      <c r="P1614">
        <f>-702.025839359294 -109.454849173852 -221.31740574146</f>
        <v>-1032.798094274606</v>
      </c>
      <c r="Q1614" t="s">
        <v>18128</v>
      </c>
      <c r="R1614" t="s">
        <v>18129</v>
      </c>
      <c r="S1614" t="s">
        <v>18130</v>
      </c>
      <c r="T1614" t="s">
        <v>18131</v>
      </c>
      <c r="U1614" t="s">
        <v>18132</v>
      </c>
      <c r="V1614">
        <f>-672.720227830115 -8.44100450949509 -92.2542086999848</f>
        <v>-773.41544103959495</v>
      </c>
      <c r="W1614" t="s">
        <v>18133</v>
      </c>
      <c r="X1614" t="s">
        <v>18134</v>
      </c>
      <c r="Y1614" t="s">
        <v>18135</v>
      </c>
    </row>
    <row r="1615" spans="1:25" x14ac:dyDescent="0.3">
      <c r="A1615">
        <v>80700</v>
      </c>
      <c r="B1615" t="s">
        <v>18136</v>
      </c>
      <c r="C1615" t="s">
        <v>18137</v>
      </c>
      <c r="D1615" t="s">
        <v>18138</v>
      </c>
      <c r="E1615" t="s">
        <v>18139</v>
      </c>
      <c r="F1615" t="s">
        <v>18140</v>
      </c>
      <c r="G1615" t="s">
        <v>18141</v>
      </c>
      <c r="H1615" t="s">
        <v>18142</v>
      </c>
      <c r="I1615" t="s">
        <v>18143</v>
      </c>
      <c r="J1615" t="s">
        <v>18144</v>
      </c>
      <c r="K1615" t="s">
        <v>18145</v>
      </c>
      <c r="L1615" t="s">
        <v>18146</v>
      </c>
      <c r="M1615" t="s">
        <v>18147</v>
      </c>
      <c r="N1615" t="s">
        <v>18148</v>
      </c>
      <c r="O1615">
        <f>-676.858153389887 -106.942381002214 -515.339239552125</f>
        <v>-1299.1397739442259</v>
      </c>
      <c r="P1615">
        <f>-701.659046381515 -110.33764595652 -222.142069065262</f>
        <v>-1034.1387614032969</v>
      </c>
      <c r="Q1615" t="s">
        <v>18149</v>
      </c>
      <c r="R1615" t="s">
        <v>18150</v>
      </c>
      <c r="S1615" t="s">
        <v>18151</v>
      </c>
      <c r="T1615" t="s">
        <v>18152</v>
      </c>
      <c r="U1615" t="s">
        <v>18153</v>
      </c>
      <c r="V1615">
        <f>-672.997795592418 -9.00524222085573 -92.2433201659302</f>
        <v>-774.24635797920394</v>
      </c>
      <c r="W1615" t="s">
        <v>18154</v>
      </c>
      <c r="X1615" t="s">
        <v>18155</v>
      </c>
      <c r="Y1615" t="s">
        <v>18156</v>
      </c>
    </row>
    <row r="1616" spans="1:25" x14ac:dyDescent="0.3">
      <c r="A1616">
        <v>80750</v>
      </c>
      <c r="B1616" t="s">
        <v>18157</v>
      </c>
      <c r="C1616" t="s">
        <v>18158</v>
      </c>
      <c r="D1616" t="s">
        <v>18159</v>
      </c>
      <c r="E1616" t="s">
        <v>18160</v>
      </c>
      <c r="F1616" t="s">
        <v>18161</v>
      </c>
      <c r="G1616" t="s">
        <v>18162</v>
      </c>
      <c r="H1616" t="s">
        <v>18163</v>
      </c>
      <c r="I1616" t="s">
        <v>18164</v>
      </c>
      <c r="J1616" t="s">
        <v>18165</v>
      </c>
      <c r="K1616" t="s">
        <v>18166</v>
      </c>
      <c r="L1616" t="s">
        <v>18167</v>
      </c>
      <c r="M1616" t="s">
        <v>18168</v>
      </c>
      <c r="N1616" t="s">
        <v>18169</v>
      </c>
      <c r="O1616">
        <f>-676.97212093665 -106.622540434188 -515.696535350317</f>
        <v>-1299.2911967211548</v>
      </c>
      <c r="P1616">
        <f>-701.729419644964 -110.463947156888 -222.501115336238</f>
        <v>-1034.6944821380901</v>
      </c>
      <c r="Q1616" t="s">
        <v>18170</v>
      </c>
      <c r="R1616" t="s">
        <v>18171</v>
      </c>
      <c r="S1616" t="s">
        <v>18172</v>
      </c>
      <c r="T1616" t="s">
        <v>18173</v>
      </c>
      <c r="U1616" t="s">
        <v>18174</v>
      </c>
      <c r="V1616">
        <f>-673.18560508382 -9.34727068371012 -92.2412369888179</f>
        <v>-774.77411275634802</v>
      </c>
      <c r="W1616" t="s">
        <v>18175</v>
      </c>
      <c r="X1616" t="s">
        <v>18176</v>
      </c>
      <c r="Y1616" t="s">
        <v>18177</v>
      </c>
    </row>
    <row r="1617" spans="1:25" x14ac:dyDescent="0.3">
      <c r="A1617">
        <v>80800</v>
      </c>
      <c r="B1617" t="s">
        <v>18178</v>
      </c>
      <c r="C1617" t="s">
        <v>18179</v>
      </c>
      <c r="D1617" t="s">
        <v>18180</v>
      </c>
      <c r="E1617" t="s">
        <v>18181</v>
      </c>
      <c r="F1617" t="s">
        <v>18182</v>
      </c>
      <c r="G1617" t="s">
        <v>18183</v>
      </c>
      <c r="H1617" t="s">
        <v>18184</v>
      </c>
      <c r="I1617" t="s">
        <v>18185</v>
      </c>
      <c r="J1617" t="s">
        <v>18186</v>
      </c>
      <c r="K1617" t="s">
        <v>18187</v>
      </c>
      <c r="L1617" t="s">
        <v>18188</v>
      </c>
      <c r="M1617" t="s">
        <v>18189</v>
      </c>
      <c r="N1617" t="s">
        <v>18190</v>
      </c>
      <c r="O1617">
        <f>-677.487700736165 -105.716578200382 -516.362125045512</f>
        <v>-1299.566403982059</v>
      </c>
      <c r="P1617">
        <f>-702.007885596603 -111.057764345628 -223.170388915704</f>
        <v>-1036.236038857935</v>
      </c>
      <c r="Q1617" t="s">
        <v>18191</v>
      </c>
      <c r="R1617" t="s">
        <v>18192</v>
      </c>
      <c r="S1617" t="s">
        <v>18193</v>
      </c>
      <c r="T1617" t="s">
        <v>18194</v>
      </c>
      <c r="U1617" t="s">
        <v>18195</v>
      </c>
      <c r="V1617">
        <f>-673.945491002203 -9.58191690598233 -92.1967994333362</f>
        <v>-775.72420734152149</v>
      </c>
      <c r="W1617" t="s">
        <v>18196</v>
      </c>
      <c r="X1617" t="s">
        <v>18197</v>
      </c>
      <c r="Y1617" t="s">
        <v>18198</v>
      </c>
    </row>
    <row r="1618" spans="1:25" x14ac:dyDescent="0.3">
      <c r="A1618">
        <v>80850</v>
      </c>
      <c r="B1618" t="s">
        <v>18199</v>
      </c>
      <c r="C1618" t="s">
        <v>18200</v>
      </c>
      <c r="D1618" t="s">
        <v>18201</v>
      </c>
      <c r="E1618" t="s">
        <v>18202</v>
      </c>
      <c r="F1618" t="s">
        <v>18203</v>
      </c>
      <c r="G1618" t="s">
        <v>18204</v>
      </c>
      <c r="H1618" t="s">
        <v>18205</v>
      </c>
      <c r="I1618" t="s">
        <v>18206</v>
      </c>
      <c r="J1618" t="s">
        <v>18207</v>
      </c>
      <c r="K1618" t="s">
        <v>18208</v>
      </c>
      <c r="L1618" t="s">
        <v>18209</v>
      </c>
      <c r="M1618" t="s">
        <v>18210</v>
      </c>
      <c r="N1618" t="s">
        <v>18211</v>
      </c>
      <c r="O1618">
        <f>-677.697553781537 -105.140539032906 -516.600876667789</f>
        <v>-1299.4389694822319</v>
      </c>
      <c r="P1618">
        <f>-702.095628087498 -111.118388878013 -223.411182764066</f>
        <v>-1036.6251997295769</v>
      </c>
      <c r="Q1618" t="s">
        <v>18212</v>
      </c>
      <c r="R1618" t="s">
        <v>18213</v>
      </c>
      <c r="S1618" t="s">
        <v>18214</v>
      </c>
      <c r="T1618" t="s">
        <v>18215</v>
      </c>
      <c r="U1618" t="s">
        <v>18216</v>
      </c>
      <c r="V1618">
        <f>-674.326988201249 -9.40014280626497 -92.1846075908755</f>
        <v>-775.91173859838955</v>
      </c>
      <c r="W1618" t="s">
        <v>18217</v>
      </c>
      <c r="X1618" t="s">
        <v>18218</v>
      </c>
      <c r="Y1618" t="s">
        <v>18219</v>
      </c>
    </row>
    <row r="1619" spans="1:25" x14ac:dyDescent="0.3">
      <c r="A1619">
        <v>80900</v>
      </c>
      <c r="B1619" t="s">
        <v>18220</v>
      </c>
      <c r="C1619" t="s">
        <v>18221</v>
      </c>
      <c r="D1619" t="s">
        <v>18222</v>
      </c>
      <c r="E1619" t="s">
        <v>18223</v>
      </c>
      <c r="F1619" t="s">
        <v>18224</v>
      </c>
      <c r="G1619" t="s">
        <v>18225</v>
      </c>
      <c r="H1619" t="s">
        <v>18226</v>
      </c>
      <c r="I1619" t="s">
        <v>18227</v>
      </c>
      <c r="J1619" t="s">
        <v>18228</v>
      </c>
      <c r="K1619" t="s">
        <v>18229</v>
      </c>
      <c r="L1619" t="s">
        <v>18230</v>
      </c>
      <c r="M1619" t="s">
        <v>18231</v>
      </c>
      <c r="N1619" t="s">
        <v>18232</v>
      </c>
      <c r="O1619">
        <f>-678.214016755921 -104.378226763984 -516.682568185057</f>
        <v>-1299.2748117049618</v>
      </c>
      <c r="P1619">
        <f>-702.878175098711 -110.674413803343 -223.521745447743</f>
        <v>-1037.074334349797</v>
      </c>
      <c r="Q1619" t="s">
        <v>18233</v>
      </c>
      <c r="R1619" t="s">
        <v>18234</v>
      </c>
      <c r="S1619" t="s">
        <v>18235</v>
      </c>
      <c r="T1619" t="s">
        <v>18236</v>
      </c>
      <c r="U1619" t="s">
        <v>18237</v>
      </c>
      <c r="V1619">
        <f>-675.25204650338 -9.31663325894851 -92.1750321189027</f>
        <v>-776.74371188123121</v>
      </c>
      <c r="W1619" t="s">
        <v>18238</v>
      </c>
      <c r="X1619" t="s">
        <v>18239</v>
      </c>
      <c r="Y1619" t="s">
        <v>18240</v>
      </c>
    </row>
    <row r="1620" spans="1:25" x14ac:dyDescent="0.3">
      <c r="A1620">
        <v>80950</v>
      </c>
      <c r="B1620" t="s">
        <v>18241</v>
      </c>
      <c r="C1620" t="s">
        <v>18242</v>
      </c>
      <c r="D1620" t="s">
        <v>18243</v>
      </c>
      <c r="E1620" t="s">
        <v>18244</v>
      </c>
      <c r="F1620" t="s">
        <v>18245</v>
      </c>
      <c r="G1620" t="s">
        <v>18246</v>
      </c>
      <c r="H1620" t="s">
        <v>18247</v>
      </c>
      <c r="I1620" t="s">
        <v>18248</v>
      </c>
      <c r="J1620" t="s">
        <v>18249</v>
      </c>
      <c r="K1620" t="s">
        <v>18250</v>
      </c>
      <c r="L1620" t="s">
        <v>18251</v>
      </c>
      <c r="M1620" t="s">
        <v>18252</v>
      </c>
      <c r="N1620" t="s">
        <v>18253</v>
      </c>
      <c r="O1620">
        <f>-678.667712720108 -104.116617553922 -516.492884171784</f>
        <v>-1299.277214445814</v>
      </c>
      <c r="P1620">
        <f>-703.694374450135 -110.1755809964 -223.357930369359</f>
        <v>-1037.2278858158938</v>
      </c>
      <c r="Q1620" t="s">
        <v>18254</v>
      </c>
      <c r="R1620" t="s">
        <v>18255</v>
      </c>
      <c r="S1620" t="s">
        <v>18256</v>
      </c>
      <c r="T1620" t="s">
        <v>18257</v>
      </c>
      <c r="U1620" t="s">
        <v>18258</v>
      </c>
      <c r="V1620">
        <f>-675.637572256466 -8.81247515886139 -92.1213916971257</f>
        <v>-776.57143911245305</v>
      </c>
      <c r="W1620" t="s">
        <v>18259</v>
      </c>
      <c r="X1620" t="s">
        <v>18260</v>
      </c>
      <c r="Y1620" t="s">
        <v>18261</v>
      </c>
    </row>
    <row r="1621" spans="1:25" x14ac:dyDescent="0.3">
      <c r="A1621">
        <v>81000</v>
      </c>
      <c r="B1621" t="s">
        <v>18262</v>
      </c>
      <c r="C1621" t="s">
        <v>18263</v>
      </c>
      <c r="D1621" t="s">
        <v>18264</v>
      </c>
      <c r="E1621" t="s">
        <v>18265</v>
      </c>
      <c r="F1621" t="s">
        <v>18266</v>
      </c>
      <c r="G1621" t="s">
        <v>18267</v>
      </c>
      <c r="H1621" t="s">
        <v>18268</v>
      </c>
      <c r="I1621" t="s">
        <v>18269</v>
      </c>
      <c r="J1621" t="s">
        <v>18270</v>
      </c>
      <c r="K1621" t="s">
        <v>18271</v>
      </c>
      <c r="L1621" t="s">
        <v>18272</v>
      </c>
      <c r="M1621" t="s">
        <v>18273</v>
      </c>
      <c r="N1621" t="s">
        <v>18274</v>
      </c>
      <c r="O1621">
        <f>-679.417749169037 -104.311081249467 -515.756332557744</f>
        <v>-1299.4851629762479</v>
      </c>
      <c r="P1621">
        <f>-705.098376674282 -109.130480367786 -222.654690475726</f>
        <v>-1036.8835475177941</v>
      </c>
      <c r="Q1621" t="s">
        <v>18275</v>
      </c>
      <c r="R1621" t="s">
        <v>18276</v>
      </c>
      <c r="S1621" t="s">
        <v>18277</v>
      </c>
      <c r="T1621" t="s">
        <v>18278</v>
      </c>
      <c r="U1621" t="s">
        <v>18279</v>
      </c>
      <c r="V1621">
        <f>-675.844183927348 -8.17360778828561 -92.0367884733479</f>
        <v>-776.0545801889815</v>
      </c>
      <c r="W1621" t="s">
        <v>18280</v>
      </c>
      <c r="X1621" t="s">
        <v>18281</v>
      </c>
      <c r="Y1621" t="s">
        <v>18282</v>
      </c>
    </row>
    <row r="1622" spans="1:25" x14ac:dyDescent="0.3">
      <c r="A1622">
        <v>81050</v>
      </c>
      <c r="B1622" t="s">
        <v>18283</v>
      </c>
      <c r="C1622" t="s">
        <v>18284</v>
      </c>
      <c r="D1622" t="s">
        <v>18285</v>
      </c>
      <c r="E1622" t="s">
        <v>18286</v>
      </c>
      <c r="F1622" t="s">
        <v>18287</v>
      </c>
      <c r="G1622" t="s">
        <v>18288</v>
      </c>
      <c r="H1622" t="s">
        <v>18289</v>
      </c>
      <c r="I1622" t="s">
        <v>18290</v>
      </c>
      <c r="J1622" t="s">
        <v>18291</v>
      </c>
      <c r="K1622" t="s">
        <v>18292</v>
      </c>
      <c r="L1622" t="s">
        <v>18293</v>
      </c>
      <c r="M1622" t="s">
        <v>18294</v>
      </c>
      <c r="N1622" t="s">
        <v>18295</v>
      </c>
      <c r="O1622">
        <f>-679.397105595189 -104.804546172145 -515.284995264326</f>
        <v>-1299.4866470316601</v>
      </c>
      <c r="P1622">
        <f>-705.273462595331 -108.91876020132 -222.189941416619</f>
        <v>-1036.38216421327</v>
      </c>
      <c r="Q1622" t="s">
        <v>18296</v>
      </c>
      <c r="R1622" t="s">
        <v>18297</v>
      </c>
      <c r="S1622" t="s">
        <v>18298</v>
      </c>
      <c r="T1622" t="s">
        <v>18299</v>
      </c>
      <c r="U1622" t="s">
        <v>18300</v>
      </c>
      <c r="V1622">
        <f>-675.278868005224 -8.14168375185523 -92.0417432517627</f>
        <v>-775.46229500884192</v>
      </c>
      <c r="W1622" t="s">
        <v>18301</v>
      </c>
      <c r="X1622" t="s">
        <v>18302</v>
      </c>
      <c r="Y1622" t="s">
        <v>18303</v>
      </c>
    </row>
    <row r="1623" spans="1:25" x14ac:dyDescent="0.3">
      <c r="A1623">
        <v>81100</v>
      </c>
      <c r="B1623" t="s">
        <v>18304</v>
      </c>
      <c r="C1623" t="s">
        <v>18305</v>
      </c>
      <c r="D1623" t="s">
        <v>18306</v>
      </c>
      <c r="E1623" t="s">
        <v>18307</v>
      </c>
      <c r="F1623" t="s">
        <v>18308</v>
      </c>
      <c r="G1623" t="s">
        <v>18309</v>
      </c>
      <c r="H1623" t="s">
        <v>18310</v>
      </c>
      <c r="I1623" t="s">
        <v>18311</v>
      </c>
      <c r="J1623" t="s">
        <v>18312</v>
      </c>
      <c r="K1623" t="s">
        <v>18313</v>
      </c>
      <c r="L1623" t="s">
        <v>18314</v>
      </c>
      <c r="M1623" t="s">
        <v>18315</v>
      </c>
      <c r="N1623" t="s">
        <v>18316</v>
      </c>
      <c r="O1623">
        <f>-679.436868880613 -106.180560011255 -514.542463210954</f>
        <v>-1300.1598921028221</v>
      </c>
      <c r="P1623">
        <f>-705.655026808879 -108.489828130932 -221.458024819823</f>
        <v>-1035.6028797596341</v>
      </c>
      <c r="Q1623" t="s">
        <v>18317</v>
      </c>
      <c r="R1623" t="s">
        <v>18318</v>
      </c>
      <c r="S1623" t="s">
        <v>18319</v>
      </c>
      <c r="T1623" t="s">
        <v>18320</v>
      </c>
      <c r="U1623" t="s">
        <v>18321</v>
      </c>
      <c r="V1623">
        <f>-674.003937525423 -7.89569669837192 -92.0817289004124</f>
        <v>-773.98136312420729</v>
      </c>
      <c r="W1623" t="s">
        <v>18322</v>
      </c>
      <c r="X1623" t="s">
        <v>18323</v>
      </c>
      <c r="Y1623" t="s">
        <v>18324</v>
      </c>
    </row>
    <row r="1624" spans="1:25" x14ac:dyDescent="0.3">
      <c r="A1624">
        <v>81150</v>
      </c>
      <c r="B1624" t="s">
        <v>18325</v>
      </c>
      <c r="C1624" t="s">
        <v>18326</v>
      </c>
      <c r="D1624" t="s">
        <v>18327</v>
      </c>
      <c r="E1624" t="s">
        <v>18328</v>
      </c>
      <c r="F1624" t="s">
        <v>18329</v>
      </c>
      <c r="G1624" t="s">
        <v>18330</v>
      </c>
      <c r="H1624" t="s">
        <v>18331</v>
      </c>
      <c r="I1624" t="s">
        <v>18332</v>
      </c>
      <c r="J1624" t="s">
        <v>18333</v>
      </c>
      <c r="K1624" t="s">
        <v>18334</v>
      </c>
      <c r="L1624" t="s">
        <v>18335</v>
      </c>
      <c r="M1624" t="s">
        <v>18336</v>
      </c>
      <c r="N1624" t="s">
        <v>18337</v>
      </c>
      <c r="O1624">
        <f>-679.433945284777 -107.168039816044 -514.280572091157</f>
        <v>-1300.8825571919779</v>
      </c>
      <c r="P1624">
        <f>-705.709333662129 -108.573142562291 -221.195557982279</f>
        <v>-1035.478034206699</v>
      </c>
      <c r="Q1624" t="s">
        <v>18338</v>
      </c>
      <c r="R1624" t="s">
        <v>18339</v>
      </c>
      <c r="S1624" t="s">
        <v>18340</v>
      </c>
      <c r="T1624" t="s">
        <v>18341</v>
      </c>
      <c r="U1624" t="s">
        <v>18342</v>
      </c>
      <c r="V1624">
        <f>-673.521243266537 -7.82715485420135 -92.1406495653398</f>
        <v>-773.48904768607815</v>
      </c>
      <c r="W1624" t="s">
        <v>18343</v>
      </c>
      <c r="X1624" t="s">
        <v>18344</v>
      </c>
      <c r="Y1624" t="s">
        <v>18345</v>
      </c>
    </row>
    <row r="1625" spans="1:25" x14ac:dyDescent="0.3">
      <c r="A1625">
        <v>81200</v>
      </c>
      <c r="B1625" t="s">
        <v>18346</v>
      </c>
      <c r="C1625" t="s">
        <v>18347</v>
      </c>
      <c r="D1625" t="s">
        <v>18348</v>
      </c>
      <c r="E1625" t="s">
        <v>18349</v>
      </c>
      <c r="F1625" t="s">
        <v>18350</v>
      </c>
      <c r="G1625" t="s">
        <v>18351</v>
      </c>
      <c r="H1625" t="s">
        <v>18352</v>
      </c>
      <c r="I1625" t="s">
        <v>18353</v>
      </c>
      <c r="J1625" t="s">
        <v>18354</v>
      </c>
      <c r="K1625" t="s">
        <v>18355</v>
      </c>
      <c r="L1625" t="s">
        <v>18356</v>
      </c>
      <c r="M1625" t="s">
        <v>18357</v>
      </c>
      <c r="N1625" t="s">
        <v>18358</v>
      </c>
      <c r="O1625">
        <f>-679.059635614611 -109.23178749516 -513.84825907752</f>
        <v>-1302.1396821872909</v>
      </c>
      <c r="P1625">
        <f>-705.522264379872 -109.042825008159 -220.77692325774</f>
        <v>-1035.3420126457709</v>
      </c>
      <c r="Q1625" t="s">
        <v>18359</v>
      </c>
      <c r="R1625" t="s">
        <v>18360</v>
      </c>
      <c r="S1625" t="s">
        <v>18361</v>
      </c>
      <c r="T1625" t="s">
        <v>18362</v>
      </c>
      <c r="U1625" t="s">
        <v>18363</v>
      </c>
      <c r="V1625">
        <f>-673.221776666769 -8.29263453571457 -92.2395722915546</f>
        <v>-773.75398349403815</v>
      </c>
      <c r="W1625" t="s">
        <v>18364</v>
      </c>
      <c r="X1625" t="s">
        <v>18365</v>
      </c>
      <c r="Y1625" t="s">
        <v>18366</v>
      </c>
    </row>
    <row r="1626" spans="1:25" x14ac:dyDescent="0.3">
      <c r="A1626">
        <v>81250</v>
      </c>
      <c r="B1626" t="s">
        <v>18367</v>
      </c>
      <c r="C1626" t="s">
        <v>18368</v>
      </c>
      <c r="D1626" t="s">
        <v>18369</v>
      </c>
      <c r="E1626" t="s">
        <v>18370</v>
      </c>
      <c r="F1626" t="s">
        <v>18371</v>
      </c>
      <c r="G1626" t="s">
        <v>18372</v>
      </c>
      <c r="H1626" t="s">
        <v>18373</v>
      </c>
      <c r="I1626" t="s">
        <v>18374</v>
      </c>
      <c r="J1626" t="s">
        <v>18375</v>
      </c>
      <c r="K1626" t="s">
        <v>18376</v>
      </c>
      <c r="L1626" t="s">
        <v>18377</v>
      </c>
      <c r="M1626" t="s">
        <v>18378</v>
      </c>
      <c r="N1626" t="s">
        <v>18379</v>
      </c>
      <c r="O1626">
        <f>-678.828752306305 -110.098936091011 -513.625739195666</f>
        <v>-1302.553427592982</v>
      </c>
      <c r="P1626">
        <f>-705.484917047678 -109.325864302816 -220.572896450262</f>
        <v>-1035.383677800756</v>
      </c>
      <c r="Q1626" t="s">
        <v>18380</v>
      </c>
      <c r="R1626" t="s">
        <v>18381</v>
      </c>
      <c r="S1626" t="s">
        <v>18382</v>
      </c>
      <c r="T1626" t="s">
        <v>18383</v>
      </c>
      <c r="U1626" t="s">
        <v>18384</v>
      </c>
      <c r="V1626">
        <f>-673.302777212172 -8.76320242550651 -92.3160960227837</f>
        <v>-774.38207566046219</v>
      </c>
      <c r="W1626" t="s">
        <v>18385</v>
      </c>
      <c r="X1626" t="s">
        <v>18386</v>
      </c>
      <c r="Y1626" t="s">
        <v>18387</v>
      </c>
    </row>
    <row r="1627" spans="1:25" x14ac:dyDescent="0.3">
      <c r="A1627">
        <v>81300</v>
      </c>
      <c r="B1627" t="s">
        <v>18388</v>
      </c>
      <c r="C1627" t="s">
        <v>18389</v>
      </c>
      <c r="D1627" t="s">
        <v>18390</v>
      </c>
      <c r="E1627" t="s">
        <v>18391</v>
      </c>
      <c r="F1627" t="s">
        <v>18392</v>
      </c>
      <c r="G1627" t="s">
        <v>18393</v>
      </c>
      <c r="H1627" t="s">
        <v>18394</v>
      </c>
      <c r="I1627" t="s">
        <v>18395</v>
      </c>
      <c r="J1627" t="s">
        <v>18396</v>
      </c>
      <c r="K1627" t="s">
        <v>18397</v>
      </c>
      <c r="L1627" t="s">
        <v>18398</v>
      </c>
      <c r="M1627" t="s">
        <v>18399</v>
      </c>
      <c r="N1627" t="s">
        <v>18400</v>
      </c>
      <c r="O1627">
        <f>-679.17209002333 -112.215280436332 -513.01763824486</f>
        <v>-1304.4050087045221</v>
      </c>
      <c r="P1627">
        <f>-705.744486482403 -110.316384606464 -219.96221750714</f>
        <v>-1036.023088596007</v>
      </c>
      <c r="Q1627" t="s">
        <v>18401</v>
      </c>
      <c r="R1627" t="s">
        <v>18402</v>
      </c>
      <c r="S1627" t="s">
        <v>18403</v>
      </c>
      <c r="T1627" t="s">
        <v>18404</v>
      </c>
      <c r="U1627" t="s">
        <v>18405</v>
      </c>
      <c r="V1627">
        <f>-673.950759852891 -9.68826472914475 -92.3937853364711</f>
        <v>-776.03280991850681</v>
      </c>
      <c r="W1627" t="s">
        <v>18406</v>
      </c>
      <c r="X1627" t="s">
        <v>18407</v>
      </c>
      <c r="Y1627" t="s">
        <v>18408</v>
      </c>
    </row>
    <row r="1628" spans="1:25" x14ac:dyDescent="0.3">
      <c r="A1628">
        <v>81350</v>
      </c>
      <c r="B1628" t="s">
        <v>18409</v>
      </c>
      <c r="C1628" t="s">
        <v>18410</v>
      </c>
      <c r="D1628" t="s">
        <v>18411</v>
      </c>
      <c r="E1628" t="s">
        <v>18412</v>
      </c>
      <c r="F1628" t="s">
        <v>18413</v>
      </c>
      <c r="G1628" t="s">
        <v>18414</v>
      </c>
      <c r="H1628" t="s">
        <v>18415</v>
      </c>
      <c r="I1628" t="s">
        <v>18416</v>
      </c>
      <c r="J1628" t="s">
        <v>18417</v>
      </c>
      <c r="K1628" t="s">
        <v>18418</v>
      </c>
      <c r="L1628" t="s">
        <v>18419</v>
      </c>
      <c r="M1628" t="s">
        <v>18420</v>
      </c>
      <c r="N1628" t="s">
        <v>18421</v>
      </c>
      <c r="O1628">
        <f>-679.466226682351 -112.777954987388 -512.693913870403</f>
        <v>-1304.9380955401421</v>
      </c>
      <c r="P1628">
        <f>-705.816413249041 -110.312438863528 -219.622580533179</f>
        <v>-1035.7514326457481</v>
      </c>
      <c r="Q1628" t="s">
        <v>18422</v>
      </c>
      <c r="R1628" t="s">
        <v>18423</v>
      </c>
      <c r="S1628" t="s">
        <v>18424</v>
      </c>
      <c r="T1628" t="s">
        <v>18425</v>
      </c>
      <c r="U1628" t="s">
        <v>18426</v>
      </c>
      <c r="V1628">
        <f>-674.372068333962 -9.88275716719477 -92.3611202187698</f>
        <v>-776.61594571992657</v>
      </c>
      <c r="W1628" t="s">
        <v>18427</v>
      </c>
      <c r="X1628" t="s">
        <v>18428</v>
      </c>
      <c r="Y1628" t="s">
        <v>18429</v>
      </c>
    </row>
    <row r="1629" spans="1:25" x14ac:dyDescent="0.3">
      <c r="A1629">
        <v>81400</v>
      </c>
      <c r="B1629" t="s">
        <v>18430</v>
      </c>
      <c r="C1629" t="s">
        <v>18431</v>
      </c>
      <c r="D1629" t="s">
        <v>18432</v>
      </c>
      <c r="E1629" t="s">
        <v>18433</v>
      </c>
      <c r="F1629" t="s">
        <v>18434</v>
      </c>
      <c r="G1629" t="s">
        <v>18435</v>
      </c>
      <c r="H1629" t="s">
        <v>18436</v>
      </c>
      <c r="I1629" t="s">
        <v>18437</v>
      </c>
      <c r="J1629" t="s">
        <v>18438</v>
      </c>
      <c r="K1629" t="s">
        <v>18439</v>
      </c>
      <c r="L1629" t="s">
        <v>18440</v>
      </c>
      <c r="M1629" t="s">
        <v>18441</v>
      </c>
      <c r="N1629" t="s">
        <v>18442</v>
      </c>
      <c r="O1629">
        <f>-679.784729838814 -113.603317503162 -512.296703089092</f>
        <v>-1305.6847504310681</v>
      </c>
      <c r="P1629">
        <f>-706.367900266898 -110.019183569232 -219.257976574656</f>
        <v>-1035.6450604107861</v>
      </c>
      <c r="Q1629" t="s">
        <v>18443</v>
      </c>
      <c r="R1629" t="s">
        <v>18444</v>
      </c>
      <c r="S1629" t="s">
        <v>18445</v>
      </c>
      <c r="T1629" t="s">
        <v>18446</v>
      </c>
      <c r="U1629" t="s">
        <v>18447</v>
      </c>
      <c r="V1629">
        <f>-674.929416998262 -10.902617553814 -92.2551076373449</f>
        <v>-778.087142189421</v>
      </c>
      <c r="W1629" t="s">
        <v>18448</v>
      </c>
      <c r="X1629" t="s">
        <v>18449</v>
      </c>
      <c r="Y1629" t="s">
        <v>18450</v>
      </c>
    </row>
    <row r="1630" spans="1:25" x14ac:dyDescent="0.3">
      <c r="A1630">
        <v>81450</v>
      </c>
      <c r="B1630" t="s">
        <v>18451</v>
      </c>
      <c r="C1630" t="s">
        <v>18452</v>
      </c>
      <c r="D1630" t="s">
        <v>18453</v>
      </c>
      <c r="E1630" t="s">
        <v>18454</v>
      </c>
      <c r="F1630" t="s">
        <v>18455</v>
      </c>
      <c r="G1630" t="s">
        <v>18456</v>
      </c>
      <c r="H1630" t="s">
        <v>18457</v>
      </c>
      <c r="I1630" t="s">
        <v>18458</v>
      </c>
      <c r="J1630" t="s">
        <v>18459</v>
      </c>
      <c r="K1630" t="s">
        <v>18460</v>
      </c>
      <c r="L1630" t="s">
        <v>18461</v>
      </c>
      <c r="M1630" t="s">
        <v>18462</v>
      </c>
      <c r="N1630" t="s">
        <v>18463</v>
      </c>
      <c r="O1630">
        <f>-680.05697906283 -114.169480317853 -512.252109220904</f>
        <v>-1306.4785686015871</v>
      </c>
      <c r="P1630">
        <f>-706.514794944525 -110.514679949029 -219.202871391126</f>
        <v>-1036.2323462846798</v>
      </c>
      <c r="Q1630" t="s">
        <v>18464</v>
      </c>
      <c r="R1630" t="s">
        <v>18465</v>
      </c>
      <c r="S1630" t="s">
        <v>18466</v>
      </c>
      <c r="T1630" t="s">
        <v>18467</v>
      </c>
      <c r="U1630" t="s">
        <v>18468</v>
      </c>
      <c r="V1630">
        <f>-675.036698097521 -11.6728681237519 -92.2053701458141</f>
        <v>-778.91493636708697</v>
      </c>
      <c r="W1630" t="s">
        <v>18469</v>
      </c>
      <c r="X1630" t="s">
        <v>18470</v>
      </c>
      <c r="Y1630" t="s">
        <v>18471</v>
      </c>
    </row>
    <row r="1631" spans="1:25" x14ac:dyDescent="0.3">
      <c r="A1631">
        <v>81500</v>
      </c>
      <c r="B1631" t="s">
        <v>18472</v>
      </c>
      <c r="C1631" t="s">
        <v>18473</v>
      </c>
      <c r="D1631" t="s">
        <v>18474</v>
      </c>
      <c r="E1631" t="s">
        <v>18475</v>
      </c>
      <c r="F1631" t="s">
        <v>18476</v>
      </c>
      <c r="G1631" t="s">
        <v>18477</v>
      </c>
      <c r="H1631" t="s">
        <v>18478</v>
      </c>
      <c r="I1631" t="s">
        <v>18479</v>
      </c>
      <c r="J1631" t="s">
        <v>18480</v>
      </c>
      <c r="K1631" t="s">
        <v>18481</v>
      </c>
      <c r="L1631" t="s">
        <v>18482</v>
      </c>
      <c r="M1631" t="s">
        <v>18483</v>
      </c>
      <c r="N1631" t="s">
        <v>18484</v>
      </c>
      <c r="O1631">
        <f>-680.757048601989 -115.142068812418 -512.469892407143</f>
        <v>-1308.36900982155</v>
      </c>
      <c r="P1631">
        <f>-706.183677309789 -111.657605687794 -219.327292818109</f>
        <v>-1037.1685758156921</v>
      </c>
      <c r="Q1631" t="s">
        <v>18485</v>
      </c>
      <c r="R1631" t="s">
        <v>18486</v>
      </c>
      <c r="S1631" t="s">
        <v>18487</v>
      </c>
      <c r="T1631" t="s">
        <v>18488</v>
      </c>
      <c r="U1631" t="s">
        <v>18489</v>
      </c>
      <c r="V1631">
        <f>-674.609736232522 -12.5304708876874 -92.1969707435554</f>
        <v>-779.33717786376485</v>
      </c>
      <c r="W1631" t="s">
        <v>18490</v>
      </c>
      <c r="X1631" t="s">
        <v>18491</v>
      </c>
      <c r="Y1631" t="s">
        <v>18492</v>
      </c>
    </row>
    <row r="1632" spans="1:25" x14ac:dyDescent="0.3">
      <c r="A1632">
        <v>81550</v>
      </c>
      <c r="B1632" t="s">
        <v>18493</v>
      </c>
      <c r="C1632" t="s">
        <v>18494</v>
      </c>
      <c r="D1632" t="s">
        <v>18495</v>
      </c>
      <c r="E1632" t="s">
        <v>18496</v>
      </c>
      <c r="F1632" t="s">
        <v>18497</v>
      </c>
      <c r="G1632" t="s">
        <v>18498</v>
      </c>
      <c r="H1632" t="s">
        <v>18499</v>
      </c>
      <c r="I1632" t="s">
        <v>18500</v>
      </c>
      <c r="J1632" t="s">
        <v>18501</v>
      </c>
      <c r="K1632" t="s">
        <v>18502</v>
      </c>
      <c r="L1632" t="s">
        <v>18503</v>
      </c>
      <c r="M1632" t="s">
        <v>18504</v>
      </c>
      <c r="N1632" t="s">
        <v>18505</v>
      </c>
      <c r="O1632">
        <f>-681.331119802076 -115.657322484129 -512.571531550604</f>
        <v>-1309.5599738368091</v>
      </c>
      <c r="P1632">
        <f>-706.186469586425 -112.061396413923 -219.381360753692</f>
        <v>-1037.62922675404</v>
      </c>
      <c r="Q1632" t="s">
        <v>18506</v>
      </c>
      <c r="R1632" t="s">
        <v>18507</v>
      </c>
      <c r="S1632" t="s">
        <v>18508</v>
      </c>
      <c r="T1632" t="s">
        <v>18509</v>
      </c>
      <c r="U1632" t="s">
        <v>18510</v>
      </c>
      <c r="V1632">
        <f>-674.430298279021 -12.8990040736771 -92.2271107740391</f>
        <v>-779.55641312673731</v>
      </c>
      <c r="W1632" t="s">
        <v>18511</v>
      </c>
      <c r="X1632" t="s">
        <v>18512</v>
      </c>
      <c r="Y1632" t="s">
        <v>18513</v>
      </c>
    </row>
    <row r="1633" spans="1:25" x14ac:dyDescent="0.3">
      <c r="A1633">
        <v>81600</v>
      </c>
      <c r="B1633" t="s">
        <v>18514</v>
      </c>
      <c r="C1633" t="s">
        <v>18515</v>
      </c>
      <c r="D1633" t="s">
        <v>18516</v>
      </c>
      <c r="E1633" t="s">
        <v>18517</v>
      </c>
      <c r="F1633" t="s">
        <v>18518</v>
      </c>
      <c r="G1633" t="s">
        <v>18519</v>
      </c>
      <c r="H1633" t="s">
        <v>18520</v>
      </c>
      <c r="I1633" t="s">
        <v>18521</v>
      </c>
      <c r="J1633" t="s">
        <v>18522</v>
      </c>
      <c r="K1633" t="s">
        <v>18523</v>
      </c>
      <c r="L1633" t="s">
        <v>18524</v>
      </c>
      <c r="M1633" t="s">
        <v>18525</v>
      </c>
      <c r="N1633" t="s">
        <v>18526</v>
      </c>
      <c r="O1633">
        <f>-682.784664982118 -116.857300200086 -512.343241228251</f>
        <v>-1311.985206410455</v>
      </c>
      <c r="P1633">
        <f>-706.774915013078 -112.471986610796 -219.091751541768</f>
        <v>-1038.338653165642</v>
      </c>
      <c r="Q1633" t="s">
        <v>18527</v>
      </c>
      <c r="R1633" t="s">
        <v>18528</v>
      </c>
      <c r="S1633" t="s">
        <v>18529</v>
      </c>
      <c r="T1633" t="s">
        <v>18530</v>
      </c>
      <c r="U1633" t="s">
        <v>18531</v>
      </c>
      <c r="V1633">
        <f>-674.210761578582 -13.9238084562949 -92.2588199296792</f>
        <v>-780.39338996455615</v>
      </c>
      <c r="W1633" t="s">
        <v>18532</v>
      </c>
      <c r="X1633" t="s">
        <v>18533</v>
      </c>
      <c r="Y1633" t="s">
        <v>18534</v>
      </c>
    </row>
    <row r="1634" spans="1:25" x14ac:dyDescent="0.3">
      <c r="A1634">
        <v>81650</v>
      </c>
      <c r="B1634" t="s">
        <v>18535</v>
      </c>
      <c r="C1634" t="s">
        <v>18536</v>
      </c>
      <c r="D1634" t="s">
        <v>18537</v>
      </c>
      <c r="E1634" t="s">
        <v>18538</v>
      </c>
      <c r="F1634" t="s">
        <v>18539</v>
      </c>
      <c r="G1634" t="s">
        <v>18540</v>
      </c>
      <c r="H1634" t="s">
        <v>18541</v>
      </c>
      <c r="I1634" t="s">
        <v>18542</v>
      </c>
      <c r="J1634" t="s">
        <v>18543</v>
      </c>
      <c r="K1634" t="s">
        <v>18544</v>
      </c>
      <c r="L1634" t="s">
        <v>18545</v>
      </c>
      <c r="M1634" t="s">
        <v>18546</v>
      </c>
      <c r="N1634" t="s">
        <v>18547</v>
      </c>
      <c r="O1634">
        <f>-683.55393909792 -117.588802597101 -512.087740796415</f>
        <v>-1313.2304824914359</v>
      </c>
      <c r="P1634">
        <f>-707.182643277939 -112.831808230063 -218.81275093754</f>
        <v>-1038.8272024455418</v>
      </c>
      <c r="Q1634" t="s">
        <v>18548</v>
      </c>
      <c r="R1634" t="s">
        <v>18549</v>
      </c>
      <c r="S1634" t="s">
        <v>18550</v>
      </c>
      <c r="T1634" t="s">
        <v>18551</v>
      </c>
      <c r="U1634" t="s">
        <v>18552</v>
      </c>
      <c r="V1634">
        <f>-674.310071491453 -14.2831723377788 -92.2558626978429</f>
        <v>-780.84910652707458</v>
      </c>
      <c r="W1634" t="s">
        <v>18553</v>
      </c>
      <c r="X1634" t="s">
        <v>18554</v>
      </c>
      <c r="Y1634" t="s">
        <v>18555</v>
      </c>
    </row>
    <row r="1635" spans="1:25" x14ac:dyDescent="0.3">
      <c r="A1635">
        <v>81700</v>
      </c>
      <c r="B1635" t="s">
        <v>18556</v>
      </c>
      <c r="C1635" t="s">
        <v>18557</v>
      </c>
      <c r="D1635" t="s">
        <v>18558</v>
      </c>
      <c r="E1635" t="s">
        <v>18559</v>
      </c>
      <c r="F1635" t="s">
        <v>18560</v>
      </c>
      <c r="G1635" t="s">
        <v>18561</v>
      </c>
      <c r="H1635" t="s">
        <v>18562</v>
      </c>
      <c r="I1635" t="s">
        <v>18563</v>
      </c>
      <c r="J1635" t="s">
        <v>18564</v>
      </c>
      <c r="K1635" t="s">
        <v>18565</v>
      </c>
      <c r="L1635" t="s">
        <v>18566</v>
      </c>
      <c r="M1635" t="s">
        <v>18567</v>
      </c>
      <c r="N1635" t="s">
        <v>18568</v>
      </c>
      <c r="O1635">
        <f>-684.567095365386 -118.179044733216 -511.633021130613</f>
        <v>-1314.3791612292148</v>
      </c>
      <c r="P1635">
        <f>-707.983489417285 -112.386822134082 -218.359565923994</f>
        <v>-1038.729877475361</v>
      </c>
      <c r="Q1635" t="s">
        <v>18569</v>
      </c>
      <c r="R1635" t="s">
        <v>18570</v>
      </c>
      <c r="S1635" t="s">
        <v>18571</v>
      </c>
      <c r="T1635" t="s">
        <v>18572</v>
      </c>
      <c r="U1635" t="s">
        <v>18573</v>
      </c>
      <c r="V1635">
        <f>-674.262756768668 -13.8870813413071 -92.24702555559</f>
        <v>-780.39686366556509</v>
      </c>
      <c r="W1635" t="s">
        <v>18574</v>
      </c>
      <c r="X1635" t="s">
        <v>18575</v>
      </c>
      <c r="Y1635" t="s">
        <v>18576</v>
      </c>
    </row>
    <row r="1636" spans="1:25" x14ac:dyDescent="0.3">
      <c r="A1636">
        <v>81750</v>
      </c>
      <c r="B1636" t="s">
        <v>18577</v>
      </c>
      <c r="C1636" t="s">
        <v>18578</v>
      </c>
      <c r="D1636" t="s">
        <v>18579</v>
      </c>
      <c r="E1636" t="s">
        <v>18580</v>
      </c>
      <c r="F1636" t="s">
        <v>18581</v>
      </c>
      <c r="G1636" t="s">
        <v>18582</v>
      </c>
      <c r="H1636" t="s">
        <v>18583</v>
      </c>
      <c r="I1636" t="s">
        <v>18584</v>
      </c>
      <c r="J1636" t="s">
        <v>18585</v>
      </c>
      <c r="K1636" t="s">
        <v>18586</v>
      </c>
      <c r="L1636" t="s">
        <v>18587</v>
      </c>
      <c r="M1636" t="s">
        <v>18588</v>
      </c>
      <c r="N1636" t="s">
        <v>18589</v>
      </c>
      <c r="O1636">
        <f>-685.313966927401 -118.365081003798 -511.449166857195</f>
        <v>-1315.128214788394</v>
      </c>
      <c r="P1636">
        <f>-708.697563804506 -112.081016721689 -218.183244272657</f>
        <v>-1038.9618247988519</v>
      </c>
      <c r="Q1636" t="s">
        <v>18590</v>
      </c>
      <c r="R1636" t="s">
        <v>18591</v>
      </c>
      <c r="S1636" t="s">
        <v>18592</v>
      </c>
      <c r="T1636" t="s">
        <v>18593</v>
      </c>
      <c r="U1636" t="s">
        <v>18594</v>
      </c>
      <c r="V1636">
        <f>-674.488813515237 -13.6242525774644 -92.2451151683927</f>
        <v>-780.35818126109405</v>
      </c>
      <c r="W1636" t="s">
        <v>18595</v>
      </c>
      <c r="X1636" t="s">
        <v>18596</v>
      </c>
      <c r="Y1636" t="s">
        <v>18597</v>
      </c>
    </row>
    <row r="1637" spans="1:25" x14ac:dyDescent="0.3">
      <c r="A1637">
        <v>81800</v>
      </c>
      <c r="B1637" t="s">
        <v>18598</v>
      </c>
      <c r="C1637" t="s">
        <v>18599</v>
      </c>
      <c r="D1637" t="s">
        <v>18600</v>
      </c>
      <c r="E1637" t="s">
        <v>18601</v>
      </c>
      <c r="F1637" t="s">
        <v>18602</v>
      </c>
      <c r="G1637" t="s">
        <v>18603</v>
      </c>
      <c r="H1637" t="s">
        <v>18604</v>
      </c>
      <c r="I1637" t="s">
        <v>18605</v>
      </c>
      <c r="J1637" t="s">
        <v>18606</v>
      </c>
      <c r="K1637" t="s">
        <v>18607</v>
      </c>
      <c r="L1637" t="s">
        <v>18608</v>
      </c>
      <c r="M1637" t="s">
        <v>18609</v>
      </c>
      <c r="N1637" t="s">
        <v>18610</v>
      </c>
      <c r="O1637">
        <f>-686.606749330798 -118.526112461089 -511.305494484366</f>
        <v>-1316.4383562762532</v>
      </c>
      <c r="P1637">
        <f>-710.140982385784 -111.522240259175 -218.067886129755</f>
        <v>-1039.7311087747139</v>
      </c>
      <c r="Q1637" t="s">
        <v>18611</v>
      </c>
      <c r="R1637" t="s">
        <v>18612</v>
      </c>
      <c r="S1637" t="s">
        <v>18613</v>
      </c>
      <c r="T1637" t="s">
        <v>18614</v>
      </c>
      <c r="U1637" t="s">
        <v>18615</v>
      </c>
      <c r="V1637">
        <f>-674.841286572568 -13.5251080985263 -92.3098108188605</f>
        <v>-780.67620548995478</v>
      </c>
      <c r="W1637" t="s">
        <v>18616</v>
      </c>
      <c r="X1637" t="s">
        <v>18617</v>
      </c>
      <c r="Y1637" t="s">
        <v>18618</v>
      </c>
    </row>
    <row r="1638" spans="1:25" x14ac:dyDescent="0.3">
      <c r="A1638">
        <v>81850</v>
      </c>
      <c r="B1638" t="s">
        <v>18619</v>
      </c>
      <c r="C1638" t="s">
        <v>18620</v>
      </c>
      <c r="D1638" t="s">
        <v>18621</v>
      </c>
      <c r="E1638" t="s">
        <v>18622</v>
      </c>
      <c r="F1638" t="s">
        <v>18623</v>
      </c>
      <c r="G1638" t="s">
        <v>18624</v>
      </c>
      <c r="H1638" t="s">
        <v>18625</v>
      </c>
      <c r="I1638" t="s">
        <v>18626</v>
      </c>
      <c r="J1638" t="s">
        <v>18627</v>
      </c>
      <c r="K1638" t="s">
        <v>18628</v>
      </c>
      <c r="L1638" t="s">
        <v>18629</v>
      </c>
      <c r="M1638" t="s">
        <v>18630</v>
      </c>
      <c r="N1638" t="s">
        <v>18631</v>
      </c>
      <c r="O1638">
        <f>-687.244490341824 -118.444011789645 -511.270797113976</f>
        <v>-1316.959299245445</v>
      </c>
      <c r="P1638">
        <f>-710.90797704377 -111.213308189206 -218.049115872817</f>
        <v>-1040.170401105793</v>
      </c>
      <c r="Q1638" t="s">
        <v>18632</v>
      </c>
      <c r="R1638" t="s">
        <v>18633</v>
      </c>
      <c r="S1638" t="s">
        <v>18634</v>
      </c>
      <c r="T1638" t="s">
        <v>18635</v>
      </c>
      <c r="U1638" t="s">
        <v>18636</v>
      </c>
      <c r="V1638">
        <f>-675.300430382174 -13.4507597492961 -92.3233173260594</f>
        <v>-781.07450745752953</v>
      </c>
      <c r="W1638" t="s">
        <v>18637</v>
      </c>
      <c r="X1638" t="s">
        <v>18638</v>
      </c>
      <c r="Y1638" t="s">
        <v>18639</v>
      </c>
    </row>
    <row r="1639" spans="1:25" x14ac:dyDescent="0.3">
      <c r="A1639">
        <v>81900</v>
      </c>
      <c r="B1639" t="s">
        <v>18640</v>
      </c>
      <c r="C1639" t="s">
        <v>18641</v>
      </c>
      <c r="D1639" t="s">
        <v>18642</v>
      </c>
      <c r="E1639" t="s">
        <v>18643</v>
      </c>
      <c r="F1639" t="s">
        <v>18644</v>
      </c>
      <c r="G1639" t="s">
        <v>18645</v>
      </c>
      <c r="H1639" t="s">
        <v>18646</v>
      </c>
      <c r="I1639" t="s">
        <v>18647</v>
      </c>
      <c r="J1639" t="s">
        <v>18648</v>
      </c>
      <c r="K1639" t="s">
        <v>18649</v>
      </c>
      <c r="L1639" t="s">
        <v>18650</v>
      </c>
      <c r="M1639" t="s">
        <v>18651</v>
      </c>
      <c r="N1639" t="s">
        <v>18652</v>
      </c>
      <c r="O1639">
        <f>-688.083527292827 -118.100112838715 -511.269912124846</f>
        <v>-1317.4535522563879</v>
      </c>
      <c r="P1639">
        <f>-711.995745030241 -110.63478619907 -218.074346386523</f>
        <v>-1040.704877615834</v>
      </c>
      <c r="Q1639" t="s">
        <v>18653</v>
      </c>
      <c r="R1639" t="s">
        <v>18654</v>
      </c>
      <c r="S1639" t="s">
        <v>18655</v>
      </c>
      <c r="T1639" t="s">
        <v>18656</v>
      </c>
      <c r="U1639" t="s">
        <v>18657</v>
      </c>
      <c r="V1639">
        <f>-675.866720913318 -13.0725069067842 -92.3700055903054</f>
        <v>-781.3092334104075</v>
      </c>
      <c r="W1639" t="s">
        <v>18658</v>
      </c>
      <c r="X1639" t="s">
        <v>18659</v>
      </c>
      <c r="Y1639" t="s">
        <v>18660</v>
      </c>
    </row>
    <row r="1640" spans="1:25" x14ac:dyDescent="0.3">
      <c r="A1640">
        <v>81950</v>
      </c>
      <c r="B1640" t="s">
        <v>18661</v>
      </c>
      <c r="C1640" t="s">
        <v>18662</v>
      </c>
      <c r="D1640" t="s">
        <v>18663</v>
      </c>
      <c r="E1640" t="s">
        <v>18664</v>
      </c>
      <c r="F1640" t="s">
        <v>18665</v>
      </c>
      <c r="G1640" t="s">
        <v>18666</v>
      </c>
      <c r="H1640" t="s">
        <v>18667</v>
      </c>
      <c r="I1640" t="s">
        <v>18668</v>
      </c>
      <c r="J1640" t="s">
        <v>18669</v>
      </c>
      <c r="K1640" t="s">
        <v>18670</v>
      </c>
      <c r="L1640" t="s">
        <v>18671</v>
      </c>
      <c r="M1640" t="s">
        <v>18672</v>
      </c>
      <c r="N1640" t="s">
        <v>18673</v>
      </c>
      <c r="O1640">
        <f>-688.27422021036 -117.845423533744 -511.15534916697</f>
        <v>-1317.2749929110739</v>
      </c>
      <c r="P1640">
        <f>-712.361731494577 -110.233753953308 -217.977879407453</f>
        <v>-1040.573364855338</v>
      </c>
      <c r="Q1640" t="s">
        <v>18674</v>
      </c>
      <c r="R1640" t="s">
        <v>18675</v>
      </c>
      <c r="S1640" t="s">
        <v>18676</v>
      </c>
      <c r="T1640" t="s">
        <v>18677</v>
      </c>
      <c r="U1640" t="s">
        <v>18678</v>
      </c>
      <c r="V1640">
        <f>-676.001794182296 -12.6816408299485 -92.2946768585342</f>
        <v>-780.97811187077866</v>
      </c>
      <c r="W1640" t="s">
        <v>18679</v>
      </c>
      <c r="X1640" t="s">
        <v>18680</v>
      </c>
      <c r="Y1640" t="s">
        <v>18681</v>
      </c>
    </row>
    <row r="1641" spans="1:25" x14ac:dyDescent="0.3">
      <c r="A1641">
        <v>82000</v>
      </c>
      <c r="B1641" t="s">
        <v>18682</v>
      </c>
      <c r="C1641" t="s">
        <v>18683</v>
      </c>
      <c r="D1641" t="s">
        <v>18684</v>
      </c>
      <c r="E1641" t="s">
        <v>18685</v>
      </c>
      <c r="F1641" t="s">
        <v>18686</v>
      </c>
      <c r="G1641" t="s">
        <v>18687</v>
      </c>
      <c r="H1641" t="s">
        <v>18688</v>
      </c>
      <c r="I1641" t="s">
        <v>18689</v>
      </c>
      <c r="J1641" t="s">
        <v>18690</v>
      </c>
      <c r="K1641" t="s">
        <v>18691</v>
      </c>
      <c r="L1641" t="s">
        <v>18692</v>
      </c>
      <c r="M1641" t="s">
        <v>18693</v>
      </c>
      <c r="N1641" t="s">
        <v>18694</v>
      </c>
      <c r="O1641">
        <f>-688.362757898047 -117.359561712142 -510.741125227544</f>
        <v>-1316.4634448377328</v>
      </c>
      <c r="P1641">
        <f>-712.811151647902 -109.275034376212 -217.606085333688</f>
        <v>-1039.6922713578019</v>
      </c>
      <c r="Q1641" t="s">
        <v>18695</v>
      </c>
      <c r="R1641" t="s">
        <v>18696</v>
      </c>
      <c r="S1641" t="s">
        <v>18697</v>
      </c>
      <c r="T1641" t="s">
        <v>18698</v>
      </c>
      <c r="U1641" t="s">
        <v>18699</v>
      </c>
      <c r="V1641">
        <f>-676.056197603139 -12.216242467096 -92.1036990778609</f>
        <v>-780.37613914809594</v>
      </c>
      <c r="W1641" t="s">
        <v>18700</v>
      </c>
      <c r="X1641" t="s">
        <v>18701</v>
      </c>
      <c r="Y1641" t="s">
        <v>18702</v>
      </c>
    </row>
    <row r="1642" spans="1:25" x14ac:dyDescent="0.3">
      <c r="A1642">
        <v>82050</v>
      </c>
      <c r="B1642" t="s">
        <v>18703</v>
      </c>
      <c r="C1642" t="s">
        <v>18704</v>
      </c>
      <c r="D1642" t="s">
        <v>18705</v>
      </c>
      <c r="E1642" t="s">
        <v>18706</v>
      </c>
      <c r="F1642" t="s">
        <v>18707</v>
      </c>
      <c r="G1642" t="s">
        <v>18708</v>
      </c>
      <c r="H1642" t="s">
        <v>18709</v>
      </c>
      <c r="I1642" t="s">
        <v>18710</v>
      </c>
      <c r="J1642" t="s">
        <v>18711</v>
      </c>
      <c r="K1642" t="s">
        <v>18712</v>
      </c>
      <c r="L1642" t="s">
        <v>18713</v>
      </c>
      <c r="M1642" t="s">
        <v>18714</v>
      </c>
      <c r="N1642" t="s">
        <v>18715</v>
      </c>
      <c r="O1642">
        <f>-687.993022185079 -117.210109608077 -510.576865050512</f>
        <v>-1315.779996843668</v>
      </c>
      <c r="P1642">
        <f>-712.677327097538 -108.999072099176 -217.465260619372</f>
        <v>-1039.1416598160861</v>
      </c>
      <c r="Q1642" t="s">
        <v>18716</v>
      </c>
      <c r="R1642" t="s">
        <v>18717</v>
      </c>
      <c r="S1642" t="s">
        <v>18718</v>
      </c>
      <c r="T1642" t="s">
        <v>18719</v>
      </c>
      <c r="U1642" t="s">
        <v>18720</v>
      </c>
      <c r="V1642">
        <f>-675.982205301128 -12.2527821358406 -92.020843176423</f>
        <v>-780.25583061339159</v>
      </c>
      <c r="W1642" t="s">
        <v>18721</v>
      </c>
      <c r="X1642" t="s">
        <v>18722</v>
      </c>
      <c r="Y1642" t="s">
        <v>18723</v>
      </c>
    </row>
    <row r="1643" spans="1:25" x14ac:dyDescent="0.3">
      <c r="A1643">
        <v>82100</v>
      </c>
      <c r="B1643" t="s">
        <v>18724</v>
      </c>
      <c r="C1643" t="s">
        <v>18725</v>
      </c>
      <c r="D1643" t="s">
        <v>18726</v>
      </c>
      <c r="E1643" t="s">
        <v>18727</v>
      </c>
      <c r="F1643" t="s">
        <v>18728</v>
      </c>
      <c r="G1643" t="s">
        <v>18729</v>
      </c>
      <c r="H1643" t="s">
        <v>18730</v>
      </c>
      <c r="I1643" t="s">
        <v>18731</v>
      </c>
      <c r="J1643" t="s">
        <v>18732</v>
      </c>
      <c r="K1643" t="s">
        <v>18733</v>
      </c>
      <c r="L1643" t="s">
        <v>18734</v>
      </c>
      <c r="M1643" t="s">
        <v>18735</v>
      </c>
      <c r="N1643" t="s">
        <v>18736</v>
      </c>
      <c r="O1643">
        <f>-686.633452811244 -116.764377806827 -510.217882233327</f>
        <v>-1313.615712851398</v>
      </c>
      <c r="P1643">
        <f>-711.961836387192 -108.661044930396 -217.158116919101</f>
        <v>-1037.7809982366889</v>
      </c>
      <c r="Q1643" t="s">
        <v>18737</v>
      </c>
      <c r="R1643" t="s">
        <v>18738</v>
      </c>
      <c r="S1643" t="s">
        <v>18739</v>
      </c>
      <c r="T1643" t="s">
        <v>18740</v>
      </c>
      <c r="U1643" t="s">
        <v>18741</v>
      </c>
      <c r="V1643">
        <f>-675.465756000187 -11.7010531702192 -91.8795328676983</f>
        <v>-779.04634203810451</v>
      </c>
      <c r="W1643" t="s">
        <v>18742</v>
      </c>
      <c r="X1643" t="s">
        <v>18743</v>
      </c>
      <c r="Y1643" t="s">
        <v>18744</v>
      </c>
    </row>
    <row r="1644" spans="1:25" x14ac:dyDescent="0.3">
      <c r="A1644">
        <v>82150</v>
      </c>
      <c r="B1644" t="s">
        <v>18745</v>
      </c>
      <c r="C1644" t="s">
        <v>18746</v>
      </c>
      <c r="D1644" t="s">
        <v>18747</v>
      </c>
      <c r="E1644" t="s">
        <v>18748</v>
      </c>
      <c r="F1644" t="s">
        <v>18749</v>
      </c>
      <c r="G1644" t="s">
        <v>18750</v>
      </c>
      <c r="H1644" t="s">
        <v>18751</v>
      </c>
      <c r="I1644" t="s">
        <v>18752</v>
      </c>
      <c r="J1644" t="s">
        <v>18753</v>
      </c>
      <c r="K1644" t="s">
        <v>18754</v>
      </c>
      <c r="L1644" t="s">
        <v>18755</v>
      </c>
      <c r="M1644" t="s">
        <v>18756</v>
      </c>
      <c r="N1644" t="s">
        <v>18757</v>
      </c>
      <c r="O1644">
        <f>-685.905350324289 -116.660929172085 -510.00735172672</f>
        <v>-1312.573631223094</v>
      </c>
      <c r="P1644">
        <f>-711.426862164062 -108.463254097859 -216.966966459318</f>
        <v>-1036.8570827212391</v>
      </c>
      <c r="Q1644" t="s">
        <v>18758</v>
      </c>
      <c r="R1644" t="s">
        <v>18759</v>
      </c>
      <c r="S1644" t="s">
        <v>18760</v>
      </c>
      <c r="T1644" t="s">
        <v>18761</v>
      </c>
      <c r="U1644" t="s">
        <v>18762</v>
      </c>
      <c r="V1644">
        <f>-675.193203141715 -11.561566393088 -91.8416343582639</f>
        <v>-778.59640389306696</v>
      </c>
      <c r="W1644" t="s">
        <v>18763</v>
      </c>
      <c r="X1644" t="s">
        <v>18764</v>
      </c>
      <c r="Y1644" t="s">
        <v>18765</v>
      </c>
    </row>
    <row r="1645" spans="1:25" x14ac:dyDescent="0.3">
      <c r="A1645">
        <v>82200</v>
      </c>
      <c r="B1645" t="s">
        <v>18766</v>
      </c>
      <c r="C1645" t="s">
        <v>18767</v>
      </c>
      <c r="D1645" t="s">
        <v>18768</v>
      </c>
      <c r="E1645" t="s">
        <v>18769</v>
      </c>
      <c r="F1645" t="s">
        <v>18770</v>
      </c>
      <c r="G1645" t="s">
        <v>18771</v>
      </c>
      <c r="H1645" t="s">
        <v>18772</v>
      </c>
      <c r="I1645" t="s">
        <v>18773</v>
      </c>
      <c r="J1645" t="s">
        <v>18774</v>
      </c>
      <c r="K1645" t="s">
        <v>18775</v>
      </c>
      <c r="L1645" t="s">
        <v>18776</v>
      </c>
      <c r="M1645" t="s">
        <v>18777</v>
      </c>
      <c r="N1645" t="s">
        <v>18778</v>
      </c>
      <c r="O1645">
        <f>-684.38088497762 -116.704089111816 -509.421658865596</f>
        <v>-1310.5066329550318</v>
      </c>
      <c r="P1645">
        <f>-710.080909950328 -107.985765446882 -216.411937957149</f>
        <v>-1034.4786133543589</v>
      </c>
      <c r="Q1645" t="s">
        <v>18779</v>
      </c>
      <c r="R1645" t="s">
        <v>18780</v>
      </c>
      <c r="S1645" t="s">
        <v>18781</v>
      </c>
      <c r="T1645" t="s">
        <v>18782</v>
      </c>
      <c r="U1645" t="s">
        <v>18783</v>
      </c>
      <c r="V1645">
        <f>-674.472458341965 -11.1573650157918 -91.8137020287371</f>
        <v>-777.44352538649389</v>
      </c>
      <c r="W1645" t="s">
        <v>18784</v>
      </c>
      <c r="X1645" t="s">
        <v>18785</v>
      </c>
      <c r="Y1645" t="s">
        <v>18786</v>
      </c>
    </row>
    <row r="1646" spans="1:25" x14ac:dyDescent="0.3">
      <c r="A1646">
        <v>82250</v>
      </c>
      <c r="B1646" t="s">
        <v>18787</v>
      </c>
      <c r="C1646" t="s">
        <v>18788</v>
      </c>
      <c r="D1646" t="s">
        <v>18789</v>
      </c>
      <c r="E1646" t="s">
        <v>18790</v>
      </c>
      <c r="F1646" t="s">
        <v>18791</v>
      </c>
      <c r="G1646" t="s">
        <v>18792</v>
      </c>
      <c r="H1646" t="s">
        <v>18793</v>
      </c>
      <c r="I1646" t="s">
        <v>18794</v>
      </c>
      <c r="J1646" t="s">
        <v>18795</v>
      </c>
      <c r="K1646" t="s">
        <v>18796</v>
      </c>
      <c r="L1646" t="s">
        <v>18797</v>
      </c>
      <c r="M1646" t="s">
        <v>18798</v>
      </c>
      <c r="N1646" t="s">
        <v>18799</v>
      </c>
      <c r="O1646">
        <f>-683.522691584232 -116.531167279049 -509.081260240818</f>
        <v>-1309.135119104099</v>
      </c>
      <c r="P1646">
        <f>-709.451292401038 -107.516506982483 -216.10059875949</f>
        <v>-1033.0683981430109</v>
      </c>
      <c r="Q1646" t="s">
        <v>18800</v>
      </c>
      <c r="R1646" t="s">
        <v>18801</v>
      </c>
      <c r="S1646" t="s">
        <v>18802</v>
      </c>
      <c r="T1646" t="s">
        <v>18803</v>
      </c>
      <c r="U1646" t="s">
        <v>18804</v>
      </c>
      <c r="V1646">
        <f>-674.062991705881 -10.7648144086529 -91.767033215502</f>
        <v>-776.59483933003594</v>
      </c>
      <c r="W1646" t="s">
        <v>18805</v>
      </c>
      <c r="X1646" t="s">
        <v>18806</v>
      </c>
      <c r="Y1646" t="s">
        <v>18807</v>
      </c>
    </row>
    <row r="1647" spans="1:25" x14ac:dyDescent="0.3">
      <c r="A1647">
        <v>82300</v>
      </c>
      <c r="B1647" t="s">
        <v>18808</v>
      </c>
      <c r="C1647" t="s">
        <v>18809</v>
      </c>
      <c r="D1647" t="s">
        <v>18810</v>
      </c>
      <c r="E1647" t="s">
        <v>18811</v>
      </c>
      <c r="F1647" t="s">
        <v>18812</v>
      </c>
      <c r="G1647" t="s">
        <v>18813</v>
      </c>
      <c r="H1647" t="s">
        <v>18814</v>
      </c>
      <c r="I1647" t="s">
        <v>18815</v>
      </c>
      <c r="J1647" t="s">
        <v>18816</v>
      </c>
      <c r="K1647" t="s">
        <v>18817</v>
      </c>
      <c r="L1647" t="s">
        <v>18818</v>
      </c>
      <c r="M1647" t="s">
        <v>18819</v>
      </c>
      <c r="N1647" t="s">
        <v>18820</v>
      </c>
      <c r="O1647">
        <f>-681.916416802756 -116.378859497316 -508.457746411466</f>
        <v>-1306.7530227115381</v>
      </c>
      <c r="P1647">
        <f>-708.284619388714 -107.269541066566 -215.519260852113</f>
        <v>-1031.0734213073929</v>
      </c>
      <c r="Q1647" t="s">
        <v>18821</v>
      </c>
      <c r="R1647" t="s">
        <v>18822</v>
      </c>
      <c r="S1647" t="s">
        <v>18823</v>
      </c>
      <c r="T1647" t="s">
        <v>18824</v>
      </c>
      <c r="U1647" t="s">
        <v>18825</v>
      </c>
      <c r="V1647">
        <f>-672.992373635778 -9.9941520819641 -91.7071847323945</f>
        <v>-774.69371045013656</v>
      </c>
      <c r="W1647" t="s">
        <v>18826</v>
      </c>
      <c r="X1647" t="s">
        <v>18827</v>
      </c>
      <c r="Y1647" t="s">
        <v>18828</v>
      </c>
    </row>
    <row r="1648" spans="1:25" x14ac:dyDescent="0.3">
      <c r="A1648">
        <v>82350</v>
      </c>
      <c r="B1648" t="s">
        <v>18829</v>
      </c>
      <c r="C1648" t="s">
        <v>18830</v>
      </c>
      <c r="D1648" t="s">
        <v>18831</v>
      </c>
      <c r="E1648" t="s">
        <v>18832</v>
      </c>
      <c r="F1648" t="s">
        <v>18833</v>
      </c>
      <c r="G1648" t="s">
        <v>18834</v>
      </c>
      <c r="H1648" t="s">
        <v>18835</v>
      </c>
      <c r="I1648" t="s">
        <v>18836</v>
      </c>
      <c r="J1648" t="s">
        <v>18837</v>
      </c>
      <c r="K1648" t="s">
        <v>18838</v>
      </c>
      <c r="L1648" t="s">
        <v>18839</v>
      </c>
      <c r="M1648" t="s">
        <v>18840</v>
      </c>
      <c r="N1648" t="s">
        <v>18841</v>
      </c>
      <c r="O1648">
        <f>-680.902015956357 -116.243114723936 -508.165883705574</f>
        <v>-1305.3110143858671</v>
      </c>
      <c r="P1648">
        <f>-707.485726023975 -106.868806076071 -215.255171529907</f>
        <v>-1029.6097036299529</v>
      </c>
      <c r="Q1648" t="s">
        <v>18842</v>
      </c>
      <c r="R1648" t="s">
        <v>18843</v>
      </c>
      <c r="S1648" t="s">
        <v>18844</v>
      </c>
      <c r="T1648" t="s">
        <v>18845</v>
      </c>
      <c r="U1648" t="s">
        <v>18846</v>
      </c>
      <c r="V1648">
        <f>-672.299663785868 -9.47850701305697 -91.6921118640973</f>
        <v>-773.47028266302232</v>
      </c>
      <c r="W1648" t="s">
        <v>18847</v>
      </c>
      <c r="X1648" t="s">
        <v>18848</v>
      </c>
      <c r="Y1648" t="s">
        <v>18849</v>
      </c>
    </row>
    <row r="1649" spans="1:25" x14ac:dyDescent="0.3">
      <c r="A1649">
        <v>82400</v>
      </c>
      <c r="B1649" t="s">
        <v>18850</v>
      </c>
      <c r="C1649" t="s">
        <v>18851</v>
      </c>
      <c r="D1649" t="s">
        <v>18852</v>
      </c>
      <c r="E1649" t="s">
        <v>18853</v>
      </c>
      <c r="F1649" t="s">
        <v>18854</v>
      </c>
      <c r="G1649" t="s">
        <v>18855</v>
      </c>
      <c r="H1649" t="s">
        <v>18856</v>
      </c>
      <c r="I1649" t="s">
        <v>18857</v>
      </c>
      <c r="J1649" t="s">
        <v>18858</v>
      </c>
      <c r="K1649" t="s">
        <v>18859</v>
      </c>
      <c r="L1649" t="s">
        <v>18860</v>
      </c>
      <c r="M1649" t="s">
        <v>18861</v>
      </c>
      <c r="N1649" t="s">
        <v>18862</v>
      </c>
      <c r="O1649">
        <f>-678.570213486546 -116.257892476063 -507.364243034609</f>
        <v>-1302.192348997218</v>
      </c>
      <c r="P1649">
        <f>-705.71774244805 -105.762408354119 -214.543183553788</f>
        <v>-1026.0233343559569</v>
      </c>
      <c r="Q1649" t="s">
        <v>18863</v>
      </c>
      <c r="R1649" t="s">
        <v>18864</v>
      </c>
      <c r="S1649" t="s">
        <v>18865</v>
      </c>
      <c r="T1649" t="s">
        <v>18866</v>
      </c>
      <c r="U1649" t="s">
        <v>18867</v>
      </c>
      <c r="V1649">
        <f>-670.669610700652 -8.54927838546405 -91.5974630585869</f>
        <v>-770.81635214470293</v>
      </c>
      <c r="W1649" t="s">
        <v>18868</v>
      </c>
      <c r="X1649" t="s">
        <v>18869</v>
      </c>
      <c r="Y1649" t="s">
        <v>18870</v>
      </c>
    </row>
    <row r="1650" spans="1:25" x14ac:dyDescent="0.3">
      <c r="A1650">
        <v>82450</v>
      </c>
      <c r="B1650" t="s">
        <v>18871</v>
      </c>
      <c r="C1650" t="s">
        <v>18872</v>
      </c>
      <c r="D1650" t="s">
        <v>18873</v>
      </c>
      <c r="E1650" t="s">
        <v>18874</v>
      </c>
      <c r="F1650" t="s">
        <v>18875</v>
      </c>
      <c r="G1650" t="s">
        <v>18876</v>
      </c>
      <c r="H1650" t="s">
        <v>18877</v>
      </c>
      <c r="I1650" t="s">
        <v>18878</v>
      </c>
      <c r="J1650" t="s">
        <v>18879</v>
      </c>
      <c r="K1650" t="s">
        <v>18880</v>
      </c>
      <c r="L1650" t="s">
        <v>18881</v>
      </c>
      <c r="M1650" t="s">
        <v>18882</v>
      </c>
      <c r="N1650" t="s">
        <v>18883</v>
      </c>
      <c r="O1650">
        <f>-677.237340404879 -116.425168132796 -506.86253847508</f>
        <v>-1300.5250470127548</v>
      </c>
      <c r="P1650">
        <f>-704.562157529359 -105.287308375814 -214.081755565042</f>
        <v>-1023.931221470215</v>
      </c>
      <c r="Q1650" t="s">
        <v>18884</v>
      </c>
      <c r="R1650" t="s">
        <v>18885</v>
      </c>
      <c r="S1650" t="s">
        <v>18886</v>
      </c>
      <c r="T1650" t="s">
        <v>18887</v>
      </c>
      <c r="U1650" t="s">
        <v>18888</v>
      </c>
      <c r="V1650">
        <f>-669.664409183705 -8.14925641980403 -91.6011776602737</f>
        <v>-769.4148432637827</v>
      </c>
      <c r="W1650" t="s">
        <v>18889</v>
      </c>
      <c r="X1650" t="s">
        <v>18890</v>
      </c>
      <c r="Y1650" t="s">
        <v>18891</v>
      </c>
    </row>
    <row r="1651" spans="1:25" x14ac:dyDescent="0.3">
      <c r="A1651">
        <v>82500</v>
      </c>
      <c r="B1651" t="s">
        <v>18892</v>
      </c>
      <c r="C1651" t="s">
        <v>18893</v>
      </c>
      <c r="D1651" t="s">
        <v>18894</v>
      </c>
      <c r="E1651" t="s">
        <v>18895</v>
      </c>
      <c r="F1651" t="s">
        <v>18896</v>
      </c>
      <c r="G1651" t="s">
        <v>18897</v>
      </c>
      <c r="H1651" t="s">
        <v>18898</v>
      </c>
      <c r="I1651" t="s">
        <v>18899</v>
      </c>
      <c r="J1651" t="s">
        <v>18900</v>
      </c>
      <c r="K1651" t="s">
        <v>18901</v>
      </c>
      <c r="L1651" t="s">
        <v>18902</v>
      </c>
      <c r="M1651" t="s">
        <v>18903</v>
      </c>
      <c r="N1651" t="s">
        <v>18904</v>
      </c>
      <c r="O1651">
        <f>-674.430414592019 -117.078574433593 -505.676305722073</f>
        <v>-1297.185294747685</v>
      </c>
      <c r="P1651">
        <f>-702.618682043381 -104.114697292233 -213.05263642402</f>
        <v>-1019.786015759634</v>
      </c>
      <c r="Q1651" t="s">
        <v>18905</v>
      </c>
      <c r="R1651" t="s">
        <v>18906</v>
      </c>
      <c r="S1651" t="s">
        <v>18907</v>
      </c>
      <c r="T1651" t="s">
        <v>18908</v>
      </c>
      <c r="U1651" t="s">
        <v>18909</v>
      </c>
      <c r="V1651">
        <f>-668.541440752453 -7.68766119352972 -91.6484477189591</f>
        <v>-767.87754966494185</v>
      </c>
      <c r="W1651" t="s">
        <v>18910</v>
      </c>
      <c r="X1651" t="s">
        <v>18911</v>
      </c>
      <c r="Y1651" t="s">
        <v>18912</v>
      </c>
    </row>
    <row r="1652" spans="1:25" x14ac:dyDescent="0.3">
      <c r="A1652">
        <v>82550</v>
      </c>
      <c r="B1652" t="s">
        <v>18913</v>
      </c>
      <c r="C1652" t="s">
        <v>18914</v>
      </c>
      <c r="D1652" t="s">
        <v>18915</v>
      </c>
      <c r="E1652" t="s">
        <v>18916</v>
      </c>
      <c r="F1652" t="s">
        <v>18917</v>
      </c>
      <c r="G1652" t="s">
        <v>18918</v>
      </c>
      <c r="H1652" t="s">
        <v>18919</v>
      </c>
      <c r="I1652" t="s">
        <v>18920</v>
      </c>
      <c r="J1652" t="s">
        <v>18921</v>
      </c>
      <c r="K1652" t="s">
        <v>18922</v>
      </c>
      <c r="L1652" t="s">
        <v>18923</v>
      </c>
      <c r="M1652" t="s">
        <v>18924</v>
      </c>
      <c r="N1652" t="s">
        <v>18925</v>
      </c>
      <c r="O1652">
        <f>-673.147282715366 -117.493361524705 -504.996133702188</f>
        <v>-1295.636777942259</v>
      </c>
      <c r="P1652">
        <f>-701.855965753176 -103.632174975661 -212.464277711441</f>
        <v>-1017.9524184402779</v>
      </c>
      <c r="Q1652" t="s">
        <v>18926</v>
      </c>
      <c r="R1652" t="s">
        <v>18927</v>
      </c>
      <c r="S1652" t="s">
        <v>18928</v>
      </c>
      <c r="T1652" t="s">
        <v>18929</v>
      </c>
      <c r="U1652" t="s">
        <v>18930</v>
      </c>
      <c r="V1652">
        <f>-668.377863931638 -7.34938129480111 -91.6214298786181</f>
        <v>-767.34867510505717</v>
      </c>
      <c r="W1652" t="s">
        <v>18931</v>
      </c>
      <c r="X1652" t="s">
        <v>18932</v>
      </c>
      <c r="Y1652" t="s">
        <v>18933</v>
      </c>
    </row>
    <row r="1653" spans="1:25" x14ac:dyDescent="0.3">
      <c r="A1653">
        <v>82600</v>
      </c>
      <c r="B1653" t="s">
        <v>18934</v>
      </c>
      <c r="C1653" t="s">
        <v>18935</v>
      </c>
      <c r="D1653" t="s">
        <v>18936</v>
      </c>
      <c r="E1653" t="s">
        <v>18937</v>
      </c>
      <c r="F1653" t="s">
        <v>18938</v>
      </c>
      <c r="G1653" t="s">
        <v>18939</v>
      </c>
      <c r="H1653" t="s">
        <v>18940</v>
      </c>
      <c r="I1653" t="s">
        <v>18941</v>
      </c>
      <c r="J1653" t="s">
        <v>18942</v>
      </c>
      <c r="K1653" t="s">
        <v>18943</v>
      </c>
      <c r="L1653" t="s">
        <v>18944</v>
      </c>
      <c r="M1653" t="s">
        <v>18945</v>
      </c>
      <c r="N1653" t="s">
        <v>18946</v>
      </c>
      <c r="O1653">
        <f>-670.738560904269 -118.372242205143 -503.498225054686</f>
        <v>-1292.6090281640979</v>
      </c>
      <c r="P1653">
        <f>-700.330045943391 -102.444161121276 -211.159598656414</f>
        <v>-1013.9338057210811</v>
      </c>
      <c r="Q1653" t="s">
        <v>18947</v>
      </c>
      <c r="R1653" t="s">
        <v>18948</v>
      </c>
      <c r="S1653" t="s">
        <v>18949</v>
      </c>
      <c r="T1653" t="s">
        <v>18950</v>
      </c>
      <c r="U1653" t="s">
        <v>18951</v>
      </c>
      <c r="V1653">
        <f>-668.450715388728 -6.35059060690423 -91.6639155685707</f>
        <v>-766.46522156420292</v>
      </c>
      <c r="W1653" t="s">
        <v>18952</v>
      </c>
      <c r="X1653" t="s">
        <v>18953</v>
      </c>
      <c r="Y1653" t="s">
        <v>18954</v>
      </c>
    </row>
    <row r="1654" spans="1:25" x14ac:dyDescent="0.3">
      <c r="A1654">
        <v>82650</v>
      </c>
      <c r="B1654" t="s">
        <v>18955</v>
      </c>
      <c r="C1654" t="s">
        <v>18956</v>
      </c>
      <c r="D1654" t="s">
        <v>18957</v>
      </c>
      <c r="E1654" t="s">
        <v>18958</v>
      </c>
      <c r="F1654" t="s">
        <v>18959</v>
      </c>
      <c r="G1654" t="s">
        <v>18960</v>
      </c>
      <c r="H1654" t="s">
        <v>18961</v>
      </c>
      <c r="I1654" t="s">
        <v>18962</v>
      </c>
      <c r="J1654" t="s">
        <v>18963</v>
      </c>
      <c r="K1654" t="s">
        <v>18964</v>
      </c>
      <c r="L1654" t="s">
        <v>18965</v>
      </c>
      <c r="M1654" t="s">
        <v>18966</v>
      </c>
      <c r="N1654" t="s">
        <v>18967</v>
      </c>
      <c r="O1654">
        <f>-669.550969795452 -118.621000206622 -502.60018564657</f>
        <v>-1290.772155648644</v>
      </c>
      <c r="P1654">
        <f>-699.784340637581 -101.447747158884 -210.397817778942</f>
        <v>-1011.629905575407</v>
      </c>
      <c r="Q1654" t="s">
        <v>18968</v>
      </c>
      <c r="R1654" t="s">
        <v>18969</v>
      </c>
      <c r="S1654" t="s">
        <v>18970</v>
      </c>
      <c r="T1654" t="s">
        <v>18971</v>
      </c>
      <c r="U1654" t="s">
        <v>18972</v>
      </c>
      <c r="V1654">
        <f>-668.629423030919 -5.36433373532782 -91.657067192866</f>
        <v>-765.65082395911281</v>
      </c>
      <c r="W1654" t="s">
        <v>18973</v>
      </c>
      <c r="X1654" t="s">
        <v>18974</v>
      </c>
      <c r="Y1654" t="s">
        <v>18975</v>
      </c>
    </row>
    <row r="1655" spans="1:25" x14ac:dyDescent="0.3">
      <c r="A1655">
        <v>82700</v>
      </c>
      <c r="B1655" t="s">
        <v>18976</v>
      </c>
      <c r="C1655" t="s">
        <v>18977</v>
      </c>
      <c r="D1655" t="s">
        <v>18978</v>
      </c>
      <c r="E1655" t="s">
        <v>18979</v>
      </c>
      <c r="F1655" t="s">
        <v>18980</v>
      </c>
      <c r="G1655" t="s">
        <v>18981</v>
      </c>
      <c r="H1655" t="s">
        <v>18982</v>
      </c>
      <c r="I1655" t="s">
        <v>18983</v>
      </c>
      <c r="J1655" t="s">
        <v>18984</v>
      </c>
      <c r="K1655" t="s">
        <v>18985</v>
      </c>
      <c r="L1655" t="s">
        <v>18986</v>
      </c>
      <c r="M1655" t="s">
        <v>18987</v>
      </c>
      <c r="N1655" t="s">
        <v>18988</v>
      </c>
      <c r="O1655">
        <f>-667.446154483413 -118.663131902486 -500.764234882042</f>
        <v>-1286.873521267941</v>
      </c>
      <c r="P1655">
        <f>-699.236030806233 -99.263781183846 -208.866420439128</f>
        <v>-1007.366232429207</v>
      </c>
      <c r="Q1655" t="s">
        <v>18989</v>
      </c>
      <c r="R1655" t="s">
        <v>18990</v>
      </c>
      <c r="S1655" t="s">
        <v>18991</v>
      </c>
      <c r="T1655" t="s">
        <v>18992</v>
      </c>
      <c r="U1655" t="s">
        <v>18993</v>
      </c>
      <c r="V1655">
        <f>-669.232252904914 -3.4420940153218 -91.6192725517589</f>
        <v>-764.2936194719947</v>
      </c>
      <c r="W1655" t="s">
        <v>18994</v>
      </c>
      <c r="X1655" t="s">
        <v>18995</v>
      </c>
      <c r="Y1655" t="s">
        <v>18996</v>
      </c>
    </row>
    <row r="1656" spans="1:25" x14ac:dyDescent="0.3">
      <c r="A1656">
        <v>82750</v>
      </c>
      <c r="B1656" t="s">
        <v>18997</v>
      </c>
      <c r="C1656" t="s">
        <v>18998</v>
      </c>
      <c r="D1656" t="s">
        <v>18999</v>
      </c>
      <c r="E1656" t="s">
        <v>19000</v>
      </c>
      <c r="F1656" t="s">
        <v>19001</v>
      </c>
      <c r="G1656" t="s">
        <v>19002</v>
      </c>
      <c r="H1656" t="s">
        <v>19003</v>
      </c>
      <c r="I1656" t="s">
        <v>19004</v>
      </c>
      <c r="J1656" t="s">
        <v>19005</v>
      </c>
      <c r="K1656" t="s">
        <v>19006</v>
      </c>
      <c r="L1656" t="s">
        <v>19007</v>
      </c>
      <c r="M1656" t="s">
        <v>19008</v>
      </c>
      <c r="N1656" t="s">
        <v>19009</v>
      </c>
      <c r="O1656">
        <f>-666.694067750687 -118.649391907564 -499.992396207159</f>
        <v>-1285.3358558654099</v>
      </c>
      <c r="P1656">
        <f>-699.014577525536 -98.3241789638025 -208.215936368259</f>
        <v>-1005.5546928575975</v>
      </c>
      <c r="Q1656" t="s">
        <v>19010</v>
      </c>
      <c r="R1656" t="s">
        <v>19011</v>
      </c>
      <c r="S1656" t="s">
        <v>19012</v>
      </c>
      <c r="T1656" t="s">
        <v>19013</v>
      </c>
      <c r="U1656" t="s">
        <v>19014</v>
      </c>
      <c r="V1656">
        <f>-669.733664535422 -2.5413569867867 -91.6166544573755</f>
        <v>-763.89167597958419</v>
      </c>
      <c r="W1656" t="s">
        <v>19015</v>
      </c>
      <c r="X1656" t="s">
        <v>19016</v>
      </c>
      <c r="Y1656" t="s">
        <v>19017</v>
      </c>
    </row>
    <row r="1657" spans="1:25" x14ac:dyDescent="0.3">
      <c r="A1657">
        <v>82800</v>
      </c>
      <c r="B1657" t="s">
        <v>19018</v>
      </c>
      <c r="C1657" t="s">
        <v>19019</v>
      </c>
      <c r="D1657" t="s">
        <v>19020</v>
      </c>
      <c r="E1657" t="s">
        <v>19021</v>
      </c>
      <c r="F1657" t="s">
        <v>19022</v>
      </c>
      <c r="G1657" t="s">
        <v>19023</v>
      </c>
      <c r="H1657" t="s">
        <v>19024</v>
      </c>
      <c r="I1657" t="s">
        <v>19025</v>
      </c>
      <c r="J1657" t="s">
        <v>19026</v>
      </c>
      <c r="K1657" t="s">
        <v>19027</v>
      </c>
      <c r="L1657" t="s">
        <v>19028</v>
      </c>
      <c r="M1657" t="s">
        <v>19029</v>
      </c>
      <c r="N1657" t="s">
        <v>19030</v>
      </c>
      <c r="O1657">
        <f>-665.226510989327 -118.749612010606 -498.837500907394</f>
        <v>-1282.8136239073269</v>
      </c>
      <c r="P1657">
        <f>-698.150596111316 -97.2975557921393 -207.209433886848</f>
        <v>-1002.6575857903033</v>
      </c>
      <c r="Q1657" t="s">
        <v>19031</v>
      </c>
      <c r="R1657" t="s">
        <v>19032</v>
      </c>
      <c r="S1657" t="s">
        <v>19033</v>
      </c>
      <c r="T1657" t="s">
        <v>19034</v>
      </c>
      <c r="U1657" t="s">
        <v>19035</v>
      </c>
      <c r="V1657">
        <f>-670.447134573391 -1.32801186339748 -91.6426650892962</f>
        <v>-763.41781152608473</v>
      </c>
      <c r="W1657" t="s">
        <v>19036</v>
      </c>
      <c r="X1657" t="s">
        <v>19037</v>
      </c>
      <c r="Y1657" t="s">
        <v>19038</v>
      </c>
    </row>
    <row r="1658" spans="1:25" x14ac:dyDescent="0.3">
      <c r="A1658">
        <v>82850</v>
      </c>
      <c r="B1658" t="s">
        <v>19039</v>
      </c>
      <c r="C1658" t="s">
        <v>19040</v>
      </c>
      <c r="D1658" t="s">
        <v>19041</v>
      </c>
      <c r="E1658" t="s">
        <v>19042</v>
      </c>
      <c r="F1658" t="s">
        <v>19043</v>
      </c>
      <c r="G1658" t="s">
        <v>19044</v>
      </c>
      <c r="H1658" t="s">
        <v>19045</v>
      </c>
      <c r="I1658" t="s">
        <v>19046</v>
      </c>
      <c r="J1658" t="s">
        <v>19047</v>
      </c>
      <c r="K1658" t="s">
        <v>19048</v>
      </c>
      <c r="L1658" t="s">
        <v>19049</v>
      </c>
      <c r="M1658" t="s">
        <v>19050</v>
      </c>
      <c r="N1658" t="s">
        <v>19051</v>
      </c>
      <c r="O1658">
        <f>-664.480527124532 -118.951877332353 -498.37320394597</f>
        <v>-1281.8056084028549</v>
      </c>
      <c r="P1658">
        <f>-697.591518696609 -97.0880176463663 -206.796553996266</f>
        <v>-1001.4760903392413</v>
      </c>
      <c r="Q1658" t="s">
        <v>19052</v>
      </c>
      <c r="R1658" t="s">
        <v>19053</v>
      </c>
      <c r="S1658" t="s">
        <v>19054</v>
      </c>
      <c r="T1658" t="s">
        <v>19055</v>
      </c>
      <c r="U1658" t="s">
        <v>19056</v>
      </c>
      <c r="V1658">
        <f>-670.650091267116 -1.05293000643678 -91.6594550871502</f>
        <v>-763.36247636070289</v>
      </c>
      <c r="W1658" t="s">
        <v>19057</v>
      </c>
      <c r="X1658" t="s">
        <v>19058</v>
      </c>
      <c r="Y1658" t="s">
        <v>19059</v>
      </c>
    </row>
    <row r="1659" spans="1:25" x14ac:dyDescent="0.3">
      <c r="A1659">
        <v>82900</v>
      </c>
      <c r="B1659" t="s">
        <v>19060</v>
      </c>
      <c r="C1659" t="s">
        <v>19061</v>
      </c>
      <c r="D1659" t="s">
        <v>19062</v>
      </c>
      <c r="E1659" t="s">
        <v>19063</v>
      </c>
      <c r="F1659" t="s">
        <v>19064</v>
      </c>
      <c r="G1659" t="s">
        <v>19065</v>
      </c>
      <c r="H1659" t="s">
        <v>19066</v>
      </c>
      <c r="I1659" t="s">
        <v>19067</v>
      </c>
      <c r="J1659" t="s">
        <v>19068</v>
      </c>
      <c r="K1659" t="s">
        <v>19069</v>
      </c>
      <c r="L1659" t="s">
        <v>19070</v>
      </c>
      <c r="M1659" t="s">
        <v>19071</v>
      </c>
      <c r="N1659" t="s">
        <v>19072</v>
      </c>
      <c r="O1659">
        <f>-663.477386066871 -119.052748351292 -497.708261461221</f>
        <v>-1280.2383958793839</v>
      </c>
      <c r="P1659">
        <f>-697.015926756411 -96.4724530348853 -206.235327659496</f>
        <v>-999.72370745079229</v>
      </c>
      <c r="Q1659" t="s">
        <v>19073</v>
      </c>
      <c r="R1659" t="s">
        <v>19074</v>
      </c>
      <c r="S1659" t="s">
        <v>19075</v>
      </c>
      <c r="T1659" t="s">
        <v>19076</v>
      </c>
      <c r="U1659" t="s">
        <v>19077</v>
      </c>
      <c r="V1659">
        <f>-671.125962813384 -0.576542219629346 -91.6815197591962</f>
        <v>-763.38402479220963</v>
      </c>
      <c r="W1659" t="s">
        <v>19078</v>
      </c>
      <c r="X1659" t="s">
        <v>19079</v>
      </c>
      <c r="Y1659" t="s">
        <v>19080</v>
      </c>
    </row>
    <row r="1660" spans="1:25" x14ac:dyDescent="0.3">
      <c r="A1660">
        <v>82950</v>
      </c>
      <c r="B1660" t="s">
        <v>19081</v>
      </c>
      <c r="C1660" t="s">
        <v>19082</v>
      </c>
      <c r="D1660" t="s">
        <v>19083</v>
      </c>
      <c r="E1660" t="s">
        <v>19084</v>
      </c>
      <c r="F1660" t="s">
        <v>19085</v>
      </c>
      <c r="G1660" t="s">
        <v>19086</v>
      </c>
      <c r="H1660" t="s">
        <v>19087</v>
      </c>
      <c r="I1660" t="s">
        <v>19088</v>
      </c>
      <c r="J1660" t="s">
        <v>19089</v>
      </c>
      <c r="K1660" t="s">
        <v>19090</v>
      </c>
      <c r="L1660" t="s">
        <v>19091</v>
      </c>
      <c r="M1660" t="s">
        <v>19092</v>
      </c>
      <c r="N1660" t="s">
        <v>19093</v>
      </c>
      <c r="O1660">
        <f>-663.298410604501 -119.019372667606 -497.548064075134</f>
        <v>-1279.865847347241</v>
      </c>
      <c r="P1660">
        <f>-696.864208697513 -96.2480795540887 -206.093135705428</f>
        <v>-999.20542395702978</v>
      </c>
      <c r="Q1660" t="s">
        <v>19094</v>
      </c>
      <c r="R1660" t="s">
        <v>19095</v>
      </c>
      <c r="S1660" t="s">
        <v>19096</v>
      </c>
      <c r="T1660" t="s">
        <v>19097</v>
      </c>
      <c r="U1660" t="s">
        <v>19098</v>
      </c>
      <c r="V1660">
        <f>-671.518823715985 -0.527668049499198 -91.6875568876685</f>
        <v>-763.73404865315274</v>
      </c>
      <c r="W1660" t="s">
        <v>19099</v>
      </c>
      <c r="X1660" t="s">
        <v>19100</v>
      </c>
      <c r="Y1660" t="s">
        <v>19101</v>
      </c>
    </row>
    <row r="1661" spans="1:25" x14ac:dyDescent="0.3">
      <c r="A1661">
        <v>83000</v>
      </c>
      <c r="B1661" t="s">
        <v>19102</v>
      </c>
      <c r="C1661" t="s">
        <v>19103</v>
      </c>
      <c r="D1661" t="s">
        <v>19104</v>
      </c>
      <c r="E1661" t="s">
        <v>19105</v>
      </c>
      <c r="F1661" t="s">
        <v>19106</v>
      </c>
      <c r="G1661" t="s">
        <v>19107</v>
      </c>
      <c r="H1661" t="s">
        <v>19108</v>
      </c>
      <c r="I1661" t="s">
        <v>19109</v>
      </c>
      <c r="J1661" t="s">
        <v>19110</v>
      </c>
      <c r="K1661" t="s">
        <v>19111</v>
      </c>
      <c r="L1661" t="s">
        <v>19112</v>
      </c>
      <c r="M1661" t="s">
        <v>19113</v>
      </c>
      <c r="N1661" t="s">
        <v>19114</v>
      </c>
      <c r="O1661">
        <f>-663.228282857697 -118.501350705362 -497.512211028379</f>
        <v>-1279.2418445914379</v>
      </c>
      <c r="P1661">
        <f>-696.090724652334 -96.1270366519723 -205.946321943146</f>
        <v>-998.16408324745225</v>
      </c>
      <c r="Q1661" t="s">
        <v>19115</v>
      </c>
      <c r="R1661" t="s">
        <v>19116</v>
      </c>
      <c r="S1661" t="s">
        <v>19117</v>
      </c>
      <c r="T1661" t="s">
        <v>19118</v>
      </c>
      <c r="U1661" t="s">
        <v>19119</v>
      </c>
      <c r="V1661" t="s">
        <v>19120</v>
      </c>
      <c r="W1661" t="s">
        <v>19121</v>
      </c>
      <c r="X1661" t="s">
        <v>19122</v>
      </c>
      <c r="Y1661" t="s">
        <v>19123</v>
      </c>
    </row>
    <row r="1662" spans="1:25" x14ac:dyDescent="0.3">
      <c r="A1662">
        <v>83050</v>
      </c>
      <c r="B1662" t="s">
        <v>19124</v>
      </c>
      <c r="C1662" t="s">
        <v>19125</v>
      </c>
      <c r="D1662" t="s">
        <v>19126</v>
      </c>
      <c r="E1662" t="s">
        <v>19127</v>
      </c>
      <c r="F1662" t="s">
        <v>19128</v>
      </c>
      <c r="G1662" t="s">
        <v>19129</v>
      </c>
      <c r="H1662" t="s">
        <v>19130</v>
      </c>
      <c r="I1662" t="s">
        <v>19131</v>
      </c>
      <c r="J1662" t="s">
        <v>19132</v>
      </c>
      <c r="K1662" t="s">
        <v>19133</v>
      </c>
      <c r="L1662" t="s">
        <v>19134</v>
      </c>
      <c r="M1662" t="s">
        <v>19135</v>
      </c>
      <c r="N1662" t="s">
        <v>19136</v>
      </c>
      <c r="O1662">
        <f>-663.293383262992 -118.159169517895 -497.610047707018</f>
        <v>-1279.062600487905</v>
      </c>
      <c r="P1662">
        <f>-695.59297460018 -96.1431400493032 -205.954035676585</f>
        <v>-997.69015032606819</v>
      </c>
      <c r="Q1662" t="s">
        <v>19137</v>
      </c>
      <c r="R1662" t="s">
        <v>19138</v>
      </c>
      <c r="S1662" t="s">
        <v>19139</v>
      </c>
      <c r="T1662" t="s">
        <v>19140</v>
      </c>
      <c r="U1662" t="s">
        <v>19141</v>
      </c>
      <c r="V1662" t="s">
        <v>19142</v>
      </c>
      <c r="W1662" t="s">
        <v>19143</v>
      </c>
      <c r="X1662" t="s">
        <v>19144</v>
      </c>
      <c r="Y1662" t="s">
        <v>19145</v>
      </c>
    </row>
    <row r="1663" spans="1:25" x14ac:dyDescent="0.3">
      <c r="A1663">
        <v>83100</v>
      </c>
      <c r="B1663" t="s">
        <v>19146</v>
      </c>
      <c r="C1663" t="s">
        <v>19147</v>
      </c>
      <c r="D1663" t="s">
        <v>19148</v>
      </c>
      <c r="E1663" t="s">
        <v>19149</v>
      </c>
      <c r="F1663" t="s">
        <v>19150</v>
      </c>
      <c r="G1663" t="s">
        <v>19151</v>
      </c>
      <c r="H1663" t="s">
        <v>19152</v>
      </c>
      <c r="I1663" t="s">
        <v>19153</v>
      </c>
      <c r="J1663" t="s">
        <v>19154</v>
      </c>
      <c r="K1663" t="s">
        <v>19155</v>
      </c>
      <c r="L1663" t="s">
        <v>19156</v>
      </c>
      <c r="M1663" t="s">
        <v>19157</v>
      </c>
      <c r="N1663" t="s">
        <v>19158</v>
      </c>
      <c r="O1663">
        <f>-662.773979143676 -118.25264743129 -498.266999513642</f>
        <v>-1279.2936260886081</v>
      </c>
      <c r="P1663">
        <f>-693.946083125468 -96.9696567118626 -206.433945210302</f>
        <v>-997.34968504763265</v>
      </c>
      <c r="Q1663" t="s">
        <v>19159</v>
      </c>
      <c r="R1663" t="s">
        <v>19160</v>
      </c>
      <c r="S1663" t="s">
        <v>19161</v>
      </c>
      <c r="T1663" t="s">
        <v>19162</v>
      </c>
      <c r="U1663" t="s">
        <v>19163</v>
      </c>
      <c r="V1663">
        <f>-671.398644646036 -0.403238927055781 -91.8492919072843</f>
        <v>-763.65117548037608</v>
      </c>
      <c r="W1663" t="s">
        <v>19164</v>
      </c>
      <c r="X1663" t="s">
        <v>19165</v>
      </c>
      <c r="Y1663" t="s">
        <v>19166</v>
      </c>
    </row>
    <row r="1664" spans="1:25" x14ac:dyDescent="0.3">
      <c r="A1664">
        <v>83150</v>
      </c>
      <c r="B1664" t="s">
        <v>19167</v>
      </c>
      <c r="C1664" t="s">
        <v>19168</v>
      </c>
      <c r="D1664" t="s">
        <v>19169</v>
      </c>
      <c r="E1664" t="s">
        <v>19170</v>
      </c>
      <c r="F1664" t="s">
        <v>19171</v>
      </c>
      <c r="G1664" t="s">
        <v>19172</v>
      </c>
      <c r="H1664" t="s">
        <v>19173</v>
      </c>
      <c r="I1664" t="s">
        <v>19174</v>
      </c>
      <c r="J1664" t="s">
        <v>19175</v>
      </c>
      <c r="K1664" t="s">
        <v>19176</v>
      </c>
      <c r="L1664" t="s">
        <v>19177</v>
      </c>
      <c r="M1664" t="s">
        <v>19178</v>
      </c>
      <c r="N1664" t="s">
        <v>19179</v>
      </c>
      <c r="O1664">
        <f>-662.856505919404 -117.89172005353 -498.903381637345</f>
        <v>-1279.6516076102789</v>
      </c>
      <c r="P1664">
        <f>-693.439442278809 -97.2150468555958 -206.964317002517</f>
        <v>-997.61880613692176</v>
      </c>
      <c r="Q1664" t="s">
        <v>19180</v>
      </c>
      <c r="R1664" t="s">
        <v>19181</v>
      </c>
      <c r="S1664" t="s">
        <v>19182</v>
      </c>
      <c r="T1664" t="s">
        <v>19183</v>
      </c>
      <c r="U1664" t="s">
        <v>19184</v>
      </c>
      <c r="V1664">
        <f>-671.432215740126 -0.0683850599568814 -91.8719325601514</f>
        <v>-763.37253336023434</v>
      </c>
      <c r="W1664" t="s">
        <v>19185</v>
      </c>
      <c r="X1664" t="s">
        <v>19186</v>
      </c>
      <c r="Y1664" t="s">
        <v>19187</v>
      </c>
    </row>
    <row r="1665" spans="1:25" x14ac:dyDescent="0.3">
      <c r="A1665">
        <v>83200</v>
      </c>
      <c r="B1665" t="s">
        <v>19188</v>
      </c>
      <c r="C1665" t="s">
        <v>19189</v>
      </c>
      <c r="D1665" t="s">
        <v>19190</v>
      </c>
      <c r="E1665" t="s">
        <v>19191</v>
      </c>
      <c r="F1665" t="s">
        <v>19192</v>
      </c>
      <c r="G1665" t="s">
        <v>19193</v>
      </c>
      <c r="H1665" t="s">
        <v>19194</v>
      </c>
      <c r="I1665" t="s">
        <v>19195</v>
      </c>
      <c r="J1665" t="s">
        <v>19196</v>
      </c>
      <c r="K1665" t="s">
        <v>19197</v>
      </c>
      <c r="L1665" t="s">
        <v>19198</v>
      </c>
      <c r="M1665" t="s">
        <v>19199</v>
      </c>
      <c r="N1665" t="s">
        <v>19200</v>
      </c>
      <c r="O1665">
        <f>-662.941167120655 -116.871339380136 -500.549120711247</f>
        <v>-1280.361627212038</v>
      </c>
      <c r="P1665">
        <f>-692.003943214441 -98.0956484431442 -208.326464639931</f>
        <v>-998.42605629751631</v>
      </c>
      <c r="Q1665" t="s">
        <v>19201</v>
      </c>
      <c r="R1665" t="s">
        <v>19202</v>
      </c>
      <c r="S1665" t="s">
        <v>19203</v>
      </c>
      <c r="T1665" t="s">
        <v>19204</v>
      </c>
      <c r="U1665" t="s">
        <v>19205</v>
      </c>
      <c r="V1665" t="s">
        <v>19206</v>
      </c>
      <c r="W1665" t="s">
        <v>19207</v>
      </c>
      <c r="X1665" t="s">
        <v>19208</v>
      </c>
      <c r="Y1665" t="s">
        <v>19209</v>
      </c>
    </row>
    <row r="1666" spans="1:25" x14ac:dyDescent="0.3">
      <c r="A1666">
        <v>83250</v>
      </c>
      <c r="B1666" t="s">
        <v>19210</v>
      </c>
      <c r="C1666" t="s">
        <v>19211</v>
      </c>
      <c r="D1666" t="s">
        <v>19212</v>
      </c>
      <c r="E1666" t="s">
        <v>19213</v>
      </c>
      <c r="F1666" t="s">
        <v>19214</v>
      </c>
      <c r="G1666" t="s">
        <v>19215</v>
      </c>
      <c r="H1666" t="s">
        <v>19216</v>
      </c>
      <c r="I1666" t="s">
        <v>19217</v>
      </c>
      <c r="J1666" t="s">
        <v>19218</v>
      </c>
      <c r="K1666" t="s">
        <v>19219</v>
      </c>
      <c r="L1666" t="s">
        <v>19220</v>
      </c>
      <c r="M1666" t="s">
        <v>19221</v>
      </c>
      <c r="N1666" t="s">
        <v>19222</v>
      </c>
      <c r="O1666">
        <f>-662.719046675095 -116.417397163885 -501.412968776789</f>
        <v>-1280.5494126157689</v>
      </c>
      <c r="P1666">
        <f>-691.084570721052 -98.9344364274225 -209.041632242038</f>
        <v>-999.06063939051251</v>
      </c>
      <c r="Q1666" t="s">
        <v>19223</v>
      </c>
      <c r="R1666" t="s">
        <v>19224</v>
      </c>
      <c r="S1666" t="s">
        <v>19225</v>
      </c>
      <c r="T1666" t="s">
        <v>19226</v>
      </c>
      <c r="U1666" t="s">
        <v>19227</v>
      </c>
      <c r="V1666">
        <f>-671.406362313312 -0.277178227762761 -92.3028870386154</f>
        <v>-763.98642757969014</v>
      </c>
      <c r="W1666" t="s">
        <v>19228</v>
      </c>
      <c r="X1666" t="s">
        <v>19229</v>
      </c>
      <c r="Y1666" t="s">
        <v>19230</v>
      </c>
    </row>
    <row r="1667" spans="1:25" x14ac:dyDescent="0.3">
      <c r="A1667">
        <v>83300</v>
      </c>
      <c r="B1667" t="s">
        <v>19231</v>
      </c>
      <c r="C1667" t="s">
        <v>19232</v>
      </c>
      <c r="D1667" t="s">
        <v>19233</v>
      </c>
      <c r="E1667" t="s">
        <v>19234</v>
      </c>
      <c r="F1667" t="s">
        <v>19235</v>
      </c>
      <c r="G1667" t="s">
        <v>19236</v>
      </c>
      <c r="H1667" t="s">
        <v>19237</v>
      </c>
      <c r="I1667" t="s">
        <v>19238</v>
      </c>
      <c r="J1667" t="s">
        <v>19239</v>
      </c>
      <c r="K1667" t="s">
        <v>19240</v>
      </c>
      <c r="L1667" t="s">
        <v>19241</v>
      </c>
      <c r="M1667" t="s">
        <v>19242</v>
      </c>
      <c r="N1667" t="s">
        <v>19243</v>
      </c>
      <c r="O1667">
        <f>-662.655790418583 -115.737489343135 -503.190697121592</f>
        <v>-1281.58397688331</v>
      </c>
      <c r="P1667">
        <f>-689.934178941831 -100.212384638198 -210.605509676136</f>
        <v>-1000.752073256165</v>
      </c>
      <c r="Q1667" t="s">
        <v>19244</v>
      </c>
      <c r="R1667" t="s">
        <v>19245</v>
      </c>
      <c r="S1667" t="s">
        <v>19246</v>
      </c>
      <c r="T1667" t="s">
        <v>19247</v>
      </c>
      <c r="U1667" t="s">
        <v>19248</v>
      </c>
      <c r="V1667">
        <f>-672.417753931409 -1.80575409130665 -92.5467408901984</f>
        <v>-766.7702489129141</v>
      </c>
      <c r="W1667" t="s">
        <v>19249</v>
      </c>
      <c r="X1667" t="s">
        <v>19250</v>
      </c>
      <c r="Y1667" t="s">
        <v>19251</v>
      </c>
    </row>
    <row r="1668" spans="1:25" x14ac:dyDescent="0.3">
      <c r="A1668">
        <v>83350</v>
      </c>
      <c r="B1668" t="s">
        <v>19252</v>
      </c>
      <c r="C1668" t="s">
        <v>19253</v>
      </c>
      <c r="D1668" t="s">
        <v>19254</v>
      </c>
      <c r="E1668" t="s">
        <v>19255</v>
      </c>
      <c r="F1668" t="s">
        <v>19256</v>
      </c>
      <c r="G1668" t="s">
        <v>19257</v>
      </c>
      <c r="H1668" t="s">
        <v>19258</v>
      </c>
      <c r="I1668" t="s">
        <v>19259</v>
      </c>
      <c r="J1668" t="s">
        <v>19260</v>
      </c>
      <c r="K1668" t="s">
        <v>19261</v>
      </c>
      <c r="L1668" t="s">
        <v>19262</v>
      </c>
      <c r="M1668" t="s">
        <v>19263</v>
      </c>
      <c r="N1668" t="s">
        <v>19264</v>
      </c>
      <c r="O1668">
        <f>-662.690195244332 -115.77503027892 -503.845790928554</f>
        <v>-1282.3110164518059</v>
      </c>
      <c r="P1668">
        <f>-689.430630202532 -100.8410117167 -211.180177473156</f>
        <v>-1001.451819392388</v>
      </c>
      <c r="Q1668" t="s">
        <v>19265</v>
      </c>
      <c r="R1668" t="s">
        <v>19266</v>
      </c>
      <c r="S1668" t="s">
        <v>19267</v>
      </c>
      <c r="T1668" t="s">
        <v>19268</v>
      </c>
      <c r="U1668" t="s">
        <v>19269</v>
      </c>
      <c r="V1668">
        <f>-673.108300036352 -2.75865092936101 -92.627211765443</f>
        <v>-768.49416273115605</v>
      </c>
      <c r="W1668" t="s">
        <v>19270</v>
      </c>
      <c r="X1668" t="s">
        <v>19271</v>
      </c>
      <c r="Y1668" t="s">
        <v>19272</v>
      </c>
    </row>
    <row r="1669" spans="1:25" x14ac:dyDescent="0.3">
      <c r="A1669">
        <v>83400</v>
      </c>
      <c r="B1669" t="s">
        <v>19273</v>
      </c>
      <c r="C1669" t="s">
        <v>19274</v>
      </c>
      <c r="D1669" t="s">
        <v>19275</v>
      </c>
      <c r="E1669" t="s">
        <v>19276</v>
      </c>
      <c r="F1669" t="s">
        <v>19277</v>
      </c>
      <c r="G1669" t="s">
        <v>19278</v>
      </c>
      <c r="H1669" t="s">
        <v>19279</v>
      </c>
      <c r="I1669" t="s">
        <v>19280</v>
      </c>
      <c r="J1669" t="s">
        <v>19281</v>
      </c>
      <c r="K1669" t="s">
        <v>19282</v>
      </c>
      <c r="L1669" t="s">
        <v>19283</v>
      </c>
      <c r="M1669" t="s">
        <v>19284</v>
      </c>
      <c r="N1669" t="s">
        <v>19285</v>
      </c>
      <c r="O1669">
        <f>-663.328881230858 -115.168834376079 -504.83759193521</f>
        <v>-1283.3353075421469</v>
      </c>
      <c r="P1669">
        <f>-689.082447831041 -101.144567756148 -212.038613113316</f>
        <v>-1002.265628700505</v>
      </c>
      <c r="Q1669" t="s">
        <v>19286</v>
      </c>
      <c r="R1669" t="s">
        <v>19287</v>
      </c>
      <c r="S1669" t="s">
        <v>19288</v>
      </c>
      <c r="T1669" t="s">
        <v>19289</v>
      </c>
      <c r="U1669" t="s">
        <v>19290</v>
      </c>
      <c r="V1669">
        <f>-674.37142341314 -3.33929915529666 -92.5700609193221</f>
        <v>-770.28078348775875</v>
      </c>
      <c r="W1669" t="s">
        <v>19291</v>
      </c>
      <c r="X1669" t="s">
        <v>19292</v>
      </c>
      <c r="Y1669" t="s">
        <v>19293</v>
      </c>
    </row>
    <row r="1670" spans="1:25" x14ac:dyDescent="0.3">
      <c r="A1670">
        <v>83450</v>
      </c>
      <c r="B1670" t="s">
        <v>19294</v>
      </c>
      <c r="C1670" t="s">
        <v>19295</v>
      </c>
      <c r="D1670" t="s">
        <v>19296</v>
      </c>
      <c r="E1670" t="s">
        <v>19297</v>
      </c>
      <c r="F1670" t="s">
        <v>19298</v>
      </c>
      <c r="G1670" t="s">
        <v>19299</v>
      </c>
      <c r="H1670" t="s">
        <v>19300</v>
      </c>
      <c r="I1670" t="s">
        <v>19301</v>
      </c>
      <c r="J1670" t="s">
        <v>19302</v>
      </c>
      <c r="K1670" t="s">
        <v>19303</v>
      </c>
      <c r="L1670" t="s">
        <v>19304</v>
      </c>
      <c r="M1670" t="s">
        <v>19305</v>
      </c>
      <c r="N1670" t="s">
        <v>19306</v>
      </c>
      <c r="O1670">
        <f>-663.789659861217 -114.602911745614 -505.2074704177</f>
        <v>-1283.6000420245311</v>
      </c>
      <c r="P1670">
        <f>-689.026633369768 -100.573449818416 -212.363623990208</f>
        <v>-1001.9637071783919</v>
      </c>
      <c r="Q1670" t="s">
        <v>19307</v>
      </c>
      <c r="R1670" t="s">
        <v>19308</v>
      </c>
      <c r="S1670" t="s">
        <v>19309</v>
      </c>
      <c r="T1670" t="s">
        <v>19310</v>
      </c>
      <c r="U1670" t="s">
        <v>19311</v>
      </c>
      <c r="V1670">
        <f>-674.934655097083 -3.79102893091499 -92.4719084874127</f>
        <v>-771.19759251541075</v>
      </c>
      <c r="W1670" t="s">
        <v>19312</v>
      </c>
      <c r="X1670" t="s">
        <v>19313</v>
      </c>
      <c r="Y1670" t="s">
        <v>19314</v>
      </c>
    </row>
    <row r="1671" spans="1:25" x14ac:dyDescent="0.3">
      <c r="A1671">
        <v>83500</v>
      </c>
      <c r="B1671" t="s">
        <v>19315</v>
      </c>
      <c r="C1671" t="s">
        <v>19316</v>
      </c>
      <c r="D1671" t="s">
        <v>19317</v>
      </c>
      <c r="E1671" t="s">
        <v>19318</v>
      </c>
      <c r="F1671" t="s">
        <v>19319</v>
      </c>
      <c r="G1671" t="s">
        <v>19320</v>
      </c>
      <c r="H1671" t="s">
        <v>19321</v>
      </c>
      <c r="I1671" t="s">
        <v>19322</v>
      </c>
      <c r="J1671" t="s">
        <v>19323</v>
      </c>
      <c r="K1671" t="s">
        <v>19324</v>
      </c>
      <c r="L1671" t="s">
        <v>19325</v>
      </c>
      <c r="M1671" t="s">
        <v>19326</v>
      </c>
      <c r="N1671" t="s">
        <v>19327</v>
      </c>
      <c r="O1671">
        <f>-664.255191672996 -113.881233228611 -506.051260437907</f>
        <v>-1284.187685339514</v>
      </c>
      <c r="P1671">
        <f>-689.114971751229 -100.815261520107 -213.130850973676</f>
        <v>-1003.0610842450119</v>
      </c>
      <c r="Q1671" t="s">
        <v>19328</v>
      </c>
      <c r="R1671" t="s">
        <v>19329</v>
      </c>
      <c r="S1671" t="s">
        <v>19330</v>
      </c>
      <c r="T1671" t="s">
        <v>19331</v>
      </c>
      <c r="U1671" t="s">
        <v>19332</v>
      </c>
      <c r="V1671">
        <f>-675.259142532096 -4.59544515985453 -92.3130699338561</f>
        <v>-772.16765762580667</v>
      </c>
      <c r="W1671" t="s">
        <v>19333</v>
      </c>
      <c r="X1671" t="s">
        <v>19334</v>
      </c>
      <c r="Y1671" t="s">
        <v>19335</v>
      </c>
    </row>
    <row r="1672" spans="1:25" x14ac:dyDescent="0.3">
      <c r="A1672">
        <v>83550</v>
      </c>
      <c r="B1672" t="s">
        <v>19336</v>
      </c>
      <c r="C1672" t="s">
        <v>19337</v>
      </c>
      <c r="D1672" t="s">
        <v>19338</v>
      </c>
      <c r="E1672" t="s">
        <v>19339</v>
      </c>
      <c r="F1672" t="s">
        <v>19340</v>
      </c>
      <c r="G1672" t="s">
        <v>19341</v>
      </c>
      <c r="H1672" t="s">
        <v>19342</v>
      </c>
      <c r="I1672" t="s">
        <v>19343</v>
      </c>
      <c r="J1672" t="s">
        <v>19344</v>
      </c>
      <c r="K1672" t="s">
        <v>19345</v>
      </c>
      <c r="L1672" t="s">
        <v>19346</v>
      </c>
      <c r="M1672" t="s">
        <v>19347</v>
      </c>
      <c r="N1672" t="s">
        <v>19348</v>
      </c>
      <c r="O1672">
        <f>-664.460162880897 -113.603476502929 -506.467394461097</f>
        <v>-1284.5310338449231</v>
      </c>
      <c r="P1672">
        <f>-688.937459554404 -101.02363816044 -213.493500805689</f>
        <v>-1003.454598520533</v>
      </c>
      <c r="Q1672" t="s">
        <v>19349</v>
      </c>
      <c r="R1672" t="s">
        <v>19350</v>
      </c>
      <c r="S1672" t="s">
        <v>19351</v>
      </c>
      <c r="T1672" t="s">
        <v>19352</v>
      </c>
      <c r="U1672" t="s">
        <v>19353</v>
      </c>
      <c r="V1672">
        <f>-675.198659019682 -4.80895265348522 -92.2827858808345</f>
        <v>-772.29039755400174</v>
      </c>
      <c r="W1672" t="s">
        <v>19354</v>
      </c>
      <c r="X1672" t="s">
        <v>19355</v>
      </c>
      <c r="Y1672" t="s">
        <v>19356</v>
      </c>
    </row>
    <row r="1673" spans="1:25" x14ac:dyDescent="0.3">
      <c r="A1673">
        <v>83600</v>
      </c>
      <c r="B1673" t="s">
        <v>19357</v>
      </c>
      <c r="C1673" t="s">
        <v>19358</v>
      </c>
      <c r="D1673" t="s">
        <v>19359</v>
      </c>
      <c r="E1673" t="s">
        <v>19360</v>
      </c>
      <c r="F1673" t="s">
        <v>19361</v>
      </c>
      <c r="G1673" t="s">
        <v>19362</v>
      </c>
      <c r="H1673" t="s">
        <v>19363</v>
      </c>
      <c r="I1673" t="s">
        <v>19364</v>
      </c>
      <c r="J1673" t="s">
        <v>19365</v>
      </c>
      <c r="K1673" t="s">
        <v>19366</v>
      </c>
      <c r="L1673" t="s">
        <v>19367</v>
      </c>
      <c r="M1673" t="s">
        <v>19368</v>
      </c>
      <c r="N1673" t="s">
        <v>19369</v>
      </c>
      <c r="O1673">
        <f>-665.440828537075 -112.919698797278 -507.243020178025</f>
        <v>-1285.6035475123781</v>
      </c>
      <c r="P1673">
        <f>-688.602074138693 -100.992635880878 -214.134598900517</f>
        <v>-1003.729308920088</v>
      </c>
      <c r="Q1673" t="s">
        <v>19370</v>
      </c>
      <c r="R1673" t="s">
        <v>19371</v>
      </c>
      <c r="S1673" t="s">
        <v>19372</v>
      </c>
      <c r="T1673" t="s">
        <v>19373</v>
      </c>
      <c r="U1673" t="s">
        <v>19374</v>
      </c>
      <c r="V1673">
        <f>-675.053837020225 -5.08369511915862 -92.2124734394146</f>
        <v>-772.35000557879823</v>
      </c>
      <c r="W1673" t="s">
        <v>19375</v>
      </c>
      <c r="X1673" t="s">
        <v>19376</v>
      </c>
      <c r="Y1673" t="s">
        <v>19377</v>
      </c>
    </row>
    <row r="1674" spans="1:25" x14ac:dyDescent="0.3">
      <c r="A1674">
        <v>83650</v>
      </c>
      <c r="B1674" t="s">
        <v>19378</v>
      </c>
      <c r="C1674" t="s">
        <v>19379</v>
      </c>
      <c r="D1674" t="s">
        <v>19380</v>
      </c>
      <c r="E1674" t="s">
        <v>19381</v>
      </c>
      <c r="F1674" t="s">
        <v>19382</v>
      </c>
      <c r="G1674" t="s">
        <v>19383</v>
      </c>
      <c r="H1674" t="s">
        <v>19384</v>
      </c>
      <c r="I1674" t="s">
        <v>19385</v>
      </c>
      <c r="J1674" t="s">
        <v>19386</v>
      </c>
      <c r="K1674" t="s">
        <v>19387</v>
      </c>
      <c r="L1674" t="s">
        <v>19388</v>
      </c>
      <c r="M1674" t="s">
        <v>19389</v>
      </c>
      <c r="N1674" t="s">
        <v>19390</v>
      </c>
      <c r="O1674">
        <f>-666.037136913475 -112.743025937555 -507.588641614286</f>
        <v>-1286.3688044653161</v>
      </c>
      <c r="P1674">
        <f>-688.342772543363 -100.951835291572 -214.408444695766</f>
        <v>-1003.703052530701</v>
      </c>
      <c r="Q1674" t="s">
        <v>19391</v>
      </c>
      <c r="R1674" t="s">
        <v>19392</v>
      </c>
      <c r="S1674" t="s">
        <v>19393</v>
      </c>
      <c r="T1674" t="s">
        <v>19394</v>
      </c>
      <c r="U1674" t="s">
        <v>19395</v>
      </c>
      <c r="V1674">
        <f>-675.0019547302 -5.57572345264612 -92.2278107001521</f>
        <v>-772.80548888299825</v>
      </c>
      <c r="W1674" t="s">
        <v>19396</v>
      </c>
      <c r="X1674" t="s">
        <v>19397</v>
      </c>
      <c r="Y1674" t="s">
        <v>19398</v>
      </c>
    </row>
    <row r="1675" spans="1:25" x14ac:dyDescent="0.3">
      <c r="A1675">
        <v>83700</v>
      </c>
      <c r="B1675" t="s">
        <v>19399</v>
      </c>
      <c r="C1675" t="s">
        <v>19400</v>
      </c>
      <c r="D1675" t="s">
        <v>19401</v>
      </c>
      <c r="E1675" t="s">
        <v>19402</v>
      </c>
      <c r="F1675" t="s">
        <v>19403</v>
      </c>
      <c r="G1675" t="s">
        <v>19404</v>
      </c>
      <c r="H1675" t="s">
        <v>19405</v>
      </c>
      <c r="I1675" t="s">
        <v>19406</v>
      </c>
      <c r="J1675" t="s">
        <v>19407</v>
      </c>
      <c r="K1675" t="s">
        <v>19408</v>
      </c>
      <c r="L1675" t="s">
        <v>19409</v>
      </c>
      <c r="M1675" t="s">
        <v>19410</v>
      </c>
      <c r="N1675" t="s">
        <v>19411</v>
      </c>
      <c r="O1675">
        <f>-667.172506861532 -112.312603794014 -508.284866068127</f>
        <v>-1287.7699767236729</v>
      </c>
      <c r="P1675">
        <f>-688.618544840987 -100.777401487442 -215.030344912002</f>
        <v>-1004.4262912404311</v>
      </c>
      <c r="Q1675" t="s">
        <v>19412</v>
      </c>
      <c r="R1675" t="s">
        <v>19413</v>
      </c>
      <c r="S1675" t="s">
        <v>19414</v>
      </c>
      <c r="T1675" t="s">
        <v>19415</v>
      </c>
      <c r="U1675" t="s">
        <v>19416</v>
      </c>
      <c r="V1675">
        <f>-675.219775299266 -5.79800456742805 -92.2384151911435</f>
        <v>-773.25619505783754</v>
      </c>
      <c r="W1675" t="s">
        <v>19417</v>
      </c>
      <c r="X1675" t="s">
        <v>19418</v>
      </c>
      <c r="Y1675" t="s">
        <v>19419</v>
      </c>
    </row>
    <row r="1676" spans="1:25" x14ac:dyDescent="0.3">
      <c r="A1676">
        <v>83750</v>
      </c>
      <c r="B1676" t="s">
        <v>19399</v>
      </c>
      <c r="C1676" t="s">
        <v>19400</v>
      </c>
      <c r="D1676" t="s">
        <v>19401</v>
      </c>
      <c r="E1676" t="s">
        <v>19402</v>
      </c>
      <c r="F1676" t="s">
        <v>19403</v>
      </c>
      <c r="G1676" t="s">
        <v>19404</v>
      </c>
      <c r="H1676" t="s">
        <v>19405</v>
      </c>
      <c r="I1676" t="s">
        <v>19406</v>
      </c>
      <c r="J1676" t="s">
        <v>19407</v>
      </c>
      <c r="K1676" t="s">
        <v>19408</v>
      </c>
      <c r="L1676" t="s">
        <v>19409</v>
      </c>
      <c r="M1676" t="s">
        <v>19410</v>
      </c>
      <c r="N1676" t="s">
        <v>19411</v>
      </c>
      <c r="O1676">
        <f>-667.172506861532 -112.312603794014 -508.284866068127</f>
        <v>-1287.7699767236729</v>
      </c>
      <c r="P1676">
        <f>-688.618544840987 -100.777401487442 -215.030344912002</f>
        <v>-1004.4262912404311</v>
      </c>
      <c r="Q1676" t="s">
        <v>19412</v>
      </c>
      <c r="R1676" t="s">
        <v>19413</v>
      </c>
      <c r="S1676" t="s">
        <v>19414</v>
      </c>
      <c r="T1676" t="s">
        <v>19415</v>
      </c>
      <c r="U1676" t="s">
        <v>19416</v>
      </c>
      <c r="V1676">
        <f>-675.219775299266 -5.79800456742805 -92.2384151911435</f>
        <v>-773.25619505783754</v>
      </c>
      <c r="W1676" t="s">
        <v>19417</v>
      </c>
      <c r="X1676" t="s">
        <v>19418</v>
      </c>
      <c r="Y1676" t="s">
        <v>19419</v>
      </c>
    </row>
    <row r="1677" spans="1:25" x14ac:dyDescent="0.3">
      <c r="A1677">
        <v>83800</v>
      </c>
      <c r="B1677" t="s">
        <v>19420</v>
      </c>
      <c r="C1677" t="s">
        <v>19421</v>
      </c>
      <c r="D1677" t="s">
        <v>19422</v>
      </c>
      <c r="E1677" t="s">
        <v>19423</v>
      </c>
      <c r="F1677" t="s">
        <v>19424</v>
      </c>
      <c r="G1677" t="s">
        <v>19425</v>
      </c>
      <c r="H1677" t="s">
        <v>19426</v>
      </c>
      <c r="I1677" t="s">
        <v>19427</v>
      </c>
      <c r="J1677" t="s">
        <v>19428</v>
      </c>
      <c r="K1677" t="s">
        <v>19429</v>
      </c>
      <c r="L1677" t="s">
        <v>19430</v>
      </c>
      <c r="M1677" t="s">
        <v>19431</v>
      </c>
      <c r="N1677" t="s">
        <v>19432</v>
      </c>
      <c r="O1677">
        <f>-668.177886835861 -110.907017433702 -508.555291236503</f>
        <v>-1287.640195506066</v>
      </c>
      <c r="P1677">
        <f>-689.547701288074 -100.179162793583 -215.26441975826</f>
        <v>-1004.9912838399171</v>
      </c>
      <c r="Q1677" t="s">
        <v>19433</v>
      </c>
      <c r="R1677" t="s">
        <v>19434</v>
      </c>
      <c r="S1677" t="s">
        <v>19435</v>
      </c>
      <c r="T1677" t="s">
        <v>19436</v>
      </c>
      <c r="U1677" t="s">
        <v>19437</v>
      </c>
      <c r="V1677">
        <f>-675.575834278492 -4.33702876414281 -92.1359759287604</f>
        <v>-772.0488389713953</v>
      </c>
      <c r="W1677" t="s">
        <v>19438</v>
      </c>
      <c r="X1677" t="s">
        <v>19439</v>
      </c>
      <c r="Y1677" t="s">
        <v>19440</v>
      </c>
    </row>
    <row r="1678" spans="1:25" x14ac:dyDescent="0.3">
      <c r="A1678">
        <v>83850</v>
      </c>
      <c r="B1678" t="s">
        <v>19441</v>
      </c>
      <c r="C1678" t="s">
        <v>19442</v>
      </c>
      <c r="D1678" t="s">
        <v>19443</v>
      </c>
      <c r="E1678" t="s">
        <v>19444</v>
      </c>
      <c r="F1678" t="s">
        <v>19445</v>
      </c>
      <c r="G1678" t="s">
        <v>19446</v>
      </c>
      <c r="H1678" t="s">
        <v>19447</v>
      </c>
      <c r="I1678" t="s">
        <v>19448</v>
      </c>
      <c r="J1678" t="s">
        <v>19449</v>
      </c>
      <c r="K1678" t="s">
        <v>19450</v>
      </c>
      <c r="L1678" t="s">
        <v>19451</v>
      </c>
      <c r="M1678" t="s">
        <v>19452</v>
      </c>
      <c r="N1678" t="s">
        <v>19453</v>
      </c>
      <c r="O1678">
        <f>-668.884675006084 -110.17070213357 -508.780347045126</f>
        <v>-1287.83572418478</v>
      </c>
      <c r="P1678">
        <f>-690.474004057985 -99.8494185357747 -215.491062328155</f>
        <v>-1005.8144849219148</v>
      </c>
      <c r="Q1678" t="s">
        <v>19454</v>
      </c>
      <c r="R1678" t="s">
        <v>19455</v>
      </c>
      <c r="S1678" t="s">
        <v>19456</v>
      </c>
      <c r="T1678" t="s">
        <v>19457</v>
      </c>
      <c r="U1678" t="s">
        <v>19458</v>
      </c>
      <c r="V1678">
        <f>-675.6864084792 -4.18523774048913 -92.090916169941</f>
        <v>-771.96256238963019</v>
      </c>
      <c r="W1678" t="s">
        <v>19459</v>
      </c>
      <c r="X1678" t="s">
        <v>19460</v>
      </c>
      <c r="Y1678" t="s">
        <v>19461</v>
      </c>
    </row>
    <row r="1679" spans="1:25" x14ac:dyDescent="0.3">
      <c r="A1679">
        <v>83900</v>
      </c>
      <c r="B1679" t="s">
        <v>19462</v>
      </c>
      <c r="C1679" t="s">
        <v>19463</v>
      </c>
      <c r="D1679" t="s">
        <v>19464</v>
      </c>
      <c r="E1679" t="s">
        <v>19465</v>
      </c>
      <c r="F1679" t="s">
        <v>19466</v>
      </c>
      <c r="G1679" t="s">
        <v>19467</v>
      </c>
      <c r="H1679" t="s">
        <v>19468</v>
      </c>
      <c r="I1679" t="s">
        <v>19469</v>
      </c>
      <c r="J1679" t="s">
        <v>19470</v>
      </c>
      <c r="K1679" t="s">
        <v>19471</v>
      </c>
      <c r="L1679" t="s">
        <v>19472</v>
      </c>
      <c r="M1679" t="s">
        <v>19473</v>
      </c>
      <c r="N1679" t="s">
        <v>19474</v>
      </c>
      <c r="O1679">
        <f>-669.877600075388 -109.642657916922 -509.538058299851</f>
        <v>-1289.058316292161</v>
      </c>
      <c r="P1679">
        <f>-691.975921569265 -100.685021953143 -216.241805875513</f>
        <v>-1008.902749397921</v>
      </c>
      <c r="Q1679" t="s">
        <v>19475</v>
      </c>
      <c r="R1679" t="s">
        <v>19476</v>
      </c>
      <c r="S1679" t="s">
        <v>19477</v>
      </c>
      <c r="T1679" t="s">
        <v>19478</v>
      </c>
      <c r="U1679" t="s">
        <v>19479</v>
      </c>
      <c r="V1679">
        <f>-675.628708738023 -4.91843408679802 -92.0852966186208</f>
        <v>-772.63243944344174</v>
      </c>
      <c r="W1679" t="s">
        <v>19480</v>
      </c>
      <c r="X1679" t="s">
        <v>19481</v>
      </c>
      <c r="Y1679" t="s">
        <v>19482</v>
      </c>
    </row>
    <row r="1680" spans="1:25" x14ac:dyDescent="0.3">
      <c r="A1680">
        <v>83950</v>
      </c>
      <c r="B1680" t="s">
        <v>19483</v>
      </c>
      <c r="C1680" t="s">
        <v>19484</v>
      </c>
      <c r="D1680" t="s">
        <v>19485</v>
      </c>
      <c r="E1680" t="s">
        <v>19486</v>
      </c>
      <c r="F1680" t="s">
        <v>19487</v>
      </c>
      <c r="G1680" t="s">
        <v>19488</v>
      </c>
      <c r="H1680" t="s">
        <v>19489</v>
      </c>
      <c r="I1680" t="s">
        <v>19490</v>
      </c>
      <c r="J1680" t="s">
        <v>19491</v>
      </c>
      <c r="K1680" t="s">
        <v>19492</v>
      </c>
      <c r="L1680" t="s">
        <v>19493</v>
      </c>
      <c r="M1680" t="s">
        <v>19494</v>
      </c>
      <c r="N1680" t="s">
        <v>19495</v>
      </c>
      <c r="O1680">
        <f>-670.559940640863 -109.486332920444 -509.959350212865</f>
        <v>-1290.0056237741721</v>
      </c>
      <c r="P1680">
        <f>-692.561557854739 -101.186557972651 -216.636610565841</f>
        <v>-1010.3847263932311</v>
      </c>
      <c r="Q1680" t="s">
        <v>19496</v>
      </c>
      <c r="R1680" t="s">
        <v>19497</v>
      </c>
      <c r="S1680" t="s">
        <v>19498</v>
      </c>
      <c r="T1680" t="s">
        <v>19499</v>
      </c>
      <c r="U1680" t="s">
        <v>19500</v>
      </c>
      <c r="V1680">
        <f>-675.475558661037 -5.25225538336872 -92.1184810988882</f>
        <v>-772.8462951432939</v>
      </c>
      <c r="W1680" t="s">
        <v>19501</v>
      </c>
      <c r="X1680" t="s">
        <v>19502</v>
      </c>
      <c r="Y1680" t="s">
        <v>19503</v>
      </c>
    </row>
    <row r="1681" spans="1:25" x14ac:dyDescent="0.3">
      <c r="A1681">
        <v>84000</v>
      </c>
      <c r="B1681" t="s">
        <v>19504</v>
      </c>
      <c r="C1681" t="s">
        <v>19505</v>
      </c>
      <c r="D1681" t="s">
        <v>19506</v>
      </c>
      <c r="E1681" t="s">
        <v>19507</v>
      </c>
      <c r="F1681" t="s">
        <v>19508</v>
      </c>
      <c r="G1681" t="s">
        <v>19509</v>
      </c>
      <c r="H1681" t="s">
        <v>19510</v>
      </c>
      <c r="I1681" t="s">
        <v>19511</v>
      </c>
      <c r="J1681" t="s">
        <v>19512</v>
      </c>
      <c r="K1681" t="s">
        <v>19513</v>
      </c>
      <c r="L1681" t="s">
        <v>19514</v>
      </c>
      <c r="M1681" t="s">
        <v>19515</v>
      </c>
      <c r="N1681" t="s">
        <v>19516</v>
      </c>
      <c r="O1681">
        <f>-672.152561798179 -109.371810773879 -510.485023606665</f>
        <v>-1292.0093961787229</v>
      </c>
      <c r="P1681">
        <f>-693.335525977496 -101.658670131032 -217.086032449865</f>
        <v>-1012.0802285583929</v>
      </c>
      <c r="Q1681" t="s">
        <v>19517</v>
      </c>
      <c r="R1681" t="s">
        <v>19518</v>
      </c>
      <c r="S1681" t="s">
        <v>19519</v>
      </c>
      <c r="T1681" t="s">
        <v>19520</v>
      </c>
      <c r="U1681" t="s">
        <v>19521</v>
      </c>
      <c r="V1681">
        <f>-675.406744112482 -6.01366072902943 -92.1512927099616</f>
        <v>-773.57169755147299</v>
      </c>
      <c r="W1681" t="s">
        <v>19522</v>
      </c>
      <c r="X1681" t="s">
        <v>19523</v>
      </c>
      <c r="Y1681" t="s">
        <v>19524</v>
      </c>
    </row>
    <row r="1682" spans="1:25" x14ac:dyDescent="0.3">
      <c r="A1682">
        <v>84050</v>
      </c>
      <c r="B1682" t="s">
        <v>19525</v>
      </c>
      <c r="C1682" t="s">
        <v>19526</v>
      </c>
      <c r="D1682" t="s">
        <v>19527</v>
      </c>
      <c r="E1682" t="s">
        <v>19528</v>
      </c>
      <c r="F1682" t="s">
        <v>19529</v>
      </c>
      <c r="G1682" t="s">
        <v>19530</v>
      </c>
      <c r="H1682" t="s">
        <v>19531</v>
      </c>
      <c r="I1682" t="s">
        <v>19532</v>
      </c>
      <c r="J1682" t="s">
        <v>19533</v>
      </c>
      <c r="K1682" t="s">
        <v>19534</v>
      </c>
      <c r="L1682" t="s">
        <v>19535</v>
      </c>
      <c r="M1682" t="s">
        <v>19536</v>
      </c>
      <c r="N1682" t="s">
        <v>19537</v>
      </c>
      <c r="O1682">
        <f>-672.804304889754 -109.333761325552 -510.728922978761</f>
        <v>-1292.8669891940669</v>
      </c>
      <c r="P1682">
        <f>-693.707069095424 -101.951360551602 -217.301103324039</f>
        <v>-1012.959532971065</v>
      </c>
      <c r="Q1682" t="s">
        <v>19538</v>
      </c>
      <c r="R1682" t="s">
        <v>19539</v>
      </c>
      <c r="S1682" t="s">
        <v>19540</v>
      </c>
      <c r="T1682" t="s">
        <v>19541</v>
      </c>
      <c r="U1682" t="s">
        <v>19542</v>
      </c>
      <c r="V1682">
        <f>-675.549135816303 -6.47178117524436 -92.161158046642</f>
        <v>-774.18207503818928</v>
      </c>
      <c r="W1682" t="s">
        <v>19543</v>
      </c>
      <c r="X1682" t="s">
        <v>19544</v>
      </c>
      <c r="Y1682" t="s">
        <v>19545</v>
      </c>
    </row>
    <row r="1683" spans="1:25" x14ac:dyDescent="0.3">
      <c r="A1683">
        <v>84100</v>
      </c>
      <c r="B1683" t="s">
        <v>19546</v>
      </c>
      <c r="C1683" t="s">
        <v>19547</v>
      </c>
      <c r="D1683" t="s">
        <v>19548</v>
      </c>
      <c r="E1683" t="s">
        <v>19549</v>
      </c>
      <c r="F1683" t="s">
        <v>19550</v>
      </c>
      <c r="G1683" t="s">
        <v>19551</v>
      </c>
      <c r="H1683" t="s">
        <v>19552</v>
      </c>
      <c r="I1683" t="s">
        <v>19553</v>
      </c>
      <c r="J1683" t="s">
        <v>19554</v>
      </c>
      <c r="K1683" t="s">
        <v>19555</v>
      </c>
      <c r="L1683" t="s">
        <v>19556</v>
      </c>
      <c r="M1683" t="s">
        <v>19557</v>
      </c>
      <c r="N1683" t="s">
        <v>19558</v>
      </c>
      <c r="O1683">
        <f>-674.275626849364 -108.731081207866 -511.409671858258</f>
        <v>-1294.4163799154881</v>
      </c>
      <c r="P1683">
        <f>-694.80549187229 -102.594628228072 -217.926956274801</f>
        <v>-1015.327076375163</v>
      </c>
      <c r="Q1683" t="s">
        <v>19559</v>
      </c>
      <c r="R1683" t="s">
        <v>19560</v>
      </c>
      <c r="S1683" t="s">
        <v>19561</v>
      </c>
      <c r="T1683" t="s">
        <v>19562</v>
      </c>
      <c r="U1683" t="s">
        <v>19563</v>
      </c>
      <c r="V1683">
        <f>-675.908538146392 -6.77263050732495 -92.128059676879</f>
        <v>-774.80922833059594</v>
      </c>
      <c r="W1683" t="s">
        <v>19564</v>
      </c>
      <c r="X1683" t="s">
        <v>19565</v>
      </c>
      <c r="Y1683" t="s">
        <v>19566</v>
      </c>
    </row>
    <row r="1684" spans="1:25" x14ac:dyDescent="0.3">
      <c r="A1684">
        <v>84150</v>
      </c>
      <c r="B1684" t="s">
        <v>19567</v>
      </c>
      <c r="C1684" t="s">
        <v>19568</v>
      </c>
      <c r="D1684" t="s">
        <v>19569</v>
      </c>
      <c r="E1684" t="s">
        <v>19570</v>
      </c>
      <c r="F1684" t="s">
        <v>19571</v>
      </c>
      <c r="G1684" t="s">
        <v>19572</v>
      </c>
      <c r="H1684" t="s">
        <v>19573</v>
      </c>
      <c r="I1684" t="s">
        <v>19574</v>
      </c>
      <c r="J1684" t="s">
        <v>19575</v>
      </c>
      <c r="K1684" t="s">
        <v>19576</v>
      </c>
      <c r="L1684" t="s">
        <v>19577</v>
      </c>
      <c r="M1684" t="s">
        <v>19578</v>
      </c>
      <c r="N1684" t="s">
        <v>19579</v>
      </c>
      <c r="O1684">
        <f>-675.245689340038 -108.219741663444 -511.804285242398</f>
        <v>-1295.2697162458799</v>
      </c>
      <c r="P1684">
        <f>-695.548880120264 -102.697099331005 -218.29373494965</f>
        <v>-1016.539714400919</v>
      </c>
      <c r="Q1684" t="s">
        <v>19580</v>
      </c>
      <c r="R1684" t="s">
        <v>19581</v>
      </c>
      <c r="S1684" t="s">
        <v>19582</v>
      </c>
      <c r="T1684" t="s">
        <v>19583</v>
      </c>
      <c r="U1684" t="s">
        <v>19584</v>
      </c>
      <c r="V1684">
        <f>-676.174197908593 -6.80382987944904 -92.1178319488336</f>
        <v>-775.09585973687558</v>
      </c>
      <c r="W1684" t="s">
        <v>19585</v>
      </c>
      <c r="X1684" t="s">
        <v>19586</v>
      </c>
      <c r="Y1684" t="s">
        <v>19587</v>
      </c>
    </row>
    <row r="1685" spans="1:25" x14ac:dyDescent="0.3">
      <c r="A1685">
        <v>84200</v>
      </c>
      <c r="B1685" t="s">
        <v>19588</v>
      </c>
      <c r="C1685" t="s">
        <v>19589</v>
      </c>
      <c r="D1685" t="s">
        <v>19590</v>
      </c>
      <c r="E1685" t="s">
        <v>19591</v>
      </c>
      <c r="F1685" t="s">
        <v>19592</v>
      </c>
      <c r="G1685" t="s">
        <v>19593</v>
      </c>
      <c r="H1685" t="s">
        <v>19594</v>
      </c>
      <c r="I1685" t="s">
        <v>19595</v>
      </c>
      <c r="J1685" t="s">
        <v>19596</v>
      </c>
      <c r="K1685" t="s">
        <v>19597</v>
      </c>
      <c r="L1685" t="s">
        <v>19598</v>
      </c>
      <c r="M1685" t="s">
        <v>19599</v>
      </c>
      <c r="N1685" t="s">
        <v>19600</v>
      </c>
      <c r="O1685">
        <f>-677.304420902462 -107.066741324828 -512.607821676798</f>
        <v>-1296.978983904088</v>
      </c>
      <c r="P1685">
        <f>-697.107744928433 -102.633986481427 -219.044634916701</f>
        <v>-1018.7863663265609</v>
      </c>
      <c r="Q1685" t="s">
        <v>19601</v>
      </c>
      <c r="R1685" t="s">
        <v>19602</v>
      </c>
      <c r="S1685" t="s">
        <v>19603</v>
      </c>
      <c r="T1685" t="s">
        <v>19604</v>
      </c>
      <c r="U1685" t="s">
        <v>19605</v>
      </c>
      <c r="V1685">
        <f>-676.930730810046 -6.70172535846496 -92.1897405293049</f>
        <v>-775.82219669781591</v>
      </c>
      <c r="W1685" t="s">
        <v>19606</v>
      </c>
      <c r="X1685" t="s">
        <v>19607</v>
      </c>
      <c r="Y1685" t="s">
        <v>19608</v>
      </c>
    </row>
    <row r="1686" spans="1:25" x14ac:dyDescent="0.3">
      <c r="A1686">
        <v>84250</v>
      </c>
      <c r="B1686" t="s">
        <v>19609</v>
      </c>
      <c r="C1686" t="s">
        <v>19610</v>
      </c>
      <c r="D1686" t="s">
        <v>19611</v>
      </c>
      <c r="E1686" t="s">
        <v>19612</v>
      </c>
      <c r="F1686" t="s">
        <v>19613</v>
      </c>
      <c r="G1686" t="s">
        <v>19614</v>
      </c>
      <c r="H1686" t="s">
        <v>19615</v>
      </c>
      <c r="I1686" t="s">
        <v>19616</v>
      </c>
      <c r="J1686" t="s">
        <v>19617</v>
      </c>
      <c r="K1686" t="s">
        <v>19618</v>
      </c>
      <c r="L1686" t="s">
        <v>19619</v>
      </c>
      <c r="M1686" t="s">
        <v>19620</v>
      </c>
      <c r="N1686" t="s">
        <v>19621</v>
      </c>
      <c r="O1686">
        <f>-678.309309852056 -106.483088267205 -512.951056477986</f>
        <v>-1297.7434545972469</v>
      </c>
      <c r="P1686">
        <f>-698.022798994672 -102.473484764998 -219.375669285971</f>
        <v>-1019.871953045641</v>
      </c>
      <c r="Q1686" t="s">
        <v>19622</v>
      </c>
      <c r="R1686" t="s">
        <v>19623</v>
      </c>
      <c r="S1686" t="s">
        <v>19624</v>
      </c>
      <c r="T1686" t="s">
        <v>19625</v>
      </c>
      <c r="U1686" t="s">
        <v>19626</v>
      </c>
      <c r="V1686">
        <f>-677.425556125181 -6.62075713155332 -92.2264148021013</f>
        <v>-776.27272805883558</v>
      </c>
      <c r="W1686" t="s">
        <v>19627</v>
      </c>
      <c r="X1686" t="s">
        <v>19628</v>
      </c>
      <c r="Y1686" t="s">
        <v>19629</v>
      </c>
    </row>
    <row r="1687" spans="1:25" x14ac:dyDescent="0.3">
      <c r="A1687">
        <v>84300</v>
      </c>
      <c r="B1687" t="s">
        <v>19630</v>
      </c>
      <c r="C1687" t="s">
        <v>19631</v>
      </c>
      <c r="D1687" t="s">
        <v>19632</v>
      </c>
      <c r="E1687" t="s">
        <v>19633</v>
      </c>
      <c r="F1687" t="s">
        <v>19634</v>
      </c>
      <c r="G1687" t="s">
        <v>19635</v>
      </c>
      <c r="H1687" t="s">
        <v>19636</v>
      </c>
      <c r="I1687" t="s">
        <v>19637</v>
      </c>
      <c r="J1687" t="s">
        <v>19638</v>
      </c>
      <c r="K1687" t="s">
        <v>19639</v>
      </c>
      <c r="L1687" t="s">
        <v>19640</v>
      </c>
      <c r="M1687" t="s">
        <v>19641</v>
      </c>
      <c r="N1687" t="s">
        <v>19642</v>
      </c>
      <c r="O1687">
        <f>-680.793761051324 -105.636739456882 -513.609683469825</f>
        <v>-1300.0401839780311</v>
      </c>
      <c r="P1687">
        <f>-700.215668432556 -102.826731115378 -220.000904907012</f>
        <v>-1023.043304454946</v>
      </c>
      <c r="Q1687" t="s">
        <v>19643</v>
      </c>
      <c r="R1687" t="s">
        <v>19644</v>
      </c>
      <c r="S1687" t="s">
        <v>19645</v>
      </c>
      <c r="T1687" t="s">
        <v>19646</v>
      </c>
      <c r="U1687" t="s">
        <v>19647</v>
      </c>
      <c r="V1687">
        <f>-678.644547956151 -6.65816168639708 -92.2906708595328</f>
        <v>-777.59338050208089</v>
      </c>
      <c r="W1687" t="s">
        <v>19648</v>
      </c>
      <c r="X1687" t="s">
        <v>19649</v>
      </c>
      <c r="Y1687" t="s">
        <v>19650</v>
      </c>
    </row>
    <row r="1688" spans="1:25" x14ac:dyDescent="0.3">
      <c r="A1688">
        <v>84350</v>
      </c>
      <c r="B1688" t="s">
        <v>19651</v>
      </c>
      <c r="C1688" t="s">
        <v>19652</v>
      </c>
      <c r="D1688" t="s">
        <v>19653</v>
      </c>
      <c r="E1688" t="s">
        <v>19654</v>
      </c>
      <c r="F1688" t="s">
        <v>19655</v>
      </c>
      <c r="G1688" t="s">
        <v>19656</v>
      </c>
      <c r="H1688" t="s">
        <v>19657</v>
      </c>
      <c r="I1688" t="s">
        <v>19658</v>
      </c>
      <c r="J1688" t="s">
        <v>19659</v>
      </c>
      <c r="K1688" t="s">
        <v>19660</v>
      </c>
      <c r="L1688" t="s">
        <v>19661</v>
      </c>
      <c r="M1688" t="s">
        <v>19662</v>
      </c>
      <c r="N1688" t="s">
        <v>19663</v>
      </c>
      <c r="O1688">
        <f>-683.925853926133 -104.783317325502 -514.187083793631</f>
        <v>-1302.8962550452661</v>
      </c>
      <c r="P1688">
        <f>-703.11619488 -102.656534012454 -220.557377408343</f>
        <v>-1026.3301063007971</v>
      </c>
      <c r="Q1688" t="s">
        <v>19664</v>
      </c>
      <c r="R1688" t="s">
        <v>19665</v>
      </c>
      <c r="S1688" t="s">
        <v>19666</v>
      </c>
      <c r="T1688" t="s">
        <v>19667</v>
      </c>
      <c r="U1688" t="s">
        <v>19668</v>
      </c>
      <c r="V1688">
        <f>-679.911151657408 -6.55554255192123 -92.31135231743</f>
        <v>-778.77804652675923</v>
      </c>
      <c r="W1688" t="s">
        <v>19669</v>
      </c>
      <c r="X1688" t="s">
        <v>19670</v>
      </c>
      <c r="Y1688" t="s">
        <v>19671</v>
      </c>
    </row>
    <row r="1689" spans="1:25" x14ac:dyDescent="0.3">
      <c r="A1689">
        <v>84400</v>
      </c>
      <c r="B1689" t="s">
        <v>19672</v>
      </c>
      <c r="C1689" t="s">
        <v>19673</v>
      </c>
      <c r="D1689" t="s">
        <v>19674</v>
      </c>
      <c r="E1689" t="s">
        <v>19675</v>
      </c>
      <c r="F1689" t="s">
        <v>19676</v>
      </c>
      <c r="G1689" t="s">
        <v>19677</v>
      </c>
      <c r="H1689" t="s">
        <v>19678</v>
      </c>
      <c r="I1689" t="s">
        <v>19679</v>
      </c>
      <c r="J1689" t="s">
        <v>19680</v>
      </c>
      <c r="K1689" t="s">
        <v>19681</v>
      </c>
      <c r="L1689" t="s">
        <v>19682</v>
      </c>
      <c r="M1689" t="s">
        <v>19683</v>
      </c>
      <c r="N1689" t="s">
        <v>19684</v>
      </c>
      <c r="O1689">
        <f>-685.166198707945 -104.394358927123 -514.372431403479</f>
        <v>-1303.932989038547</v>
      </c>
      <c r="P1689">
        <f>-704.282299291295 -102.712357430715 -220.734949779845</f>
        <v>-1027.729606501855</v>
      </c>
      <c r="Q1689" t="s">
        <v>19685</v>
      </c>
      <c r="R1689" t="s">
        <v>19686</v>
      </c>
      <c r="S1689" t="s">
        <v>19687</v>
      </c>
      <c r="T1689" t="s">
        <v>19688</v>
      </c>
      <c r="U1689" t="s">
        <v>19689</v>
      </c>
      <c r="V1689">
        <f>-680.410355845008 -6.36224542684317 -92.3231861076526</f>
        <v>-779.0957873795038</v>
      </c>
      <c r="W1689" t="s">
        <v>19690</v>
      </c>
      <c r="X1689" t="s">
        <v>19691</v>
      </c>
      <c r="Y1689" t="s">
        <v>19692</v>
      </c>
    </row>
    <row r="1690" spans="1:25" x14ac:dyDescent="0.3">
      <c r="A1690">
        <v>84450</v>
      </c>
      <c r="B1690" t="s">
        <v>19693</v>
      </c>
      <c r="C1690" t="s">
        <v>19694</v>
      </c>
      <c r="D1690" t="s">
        <v>19695</v>
      </c>
      <c r="E1690" t="s">
        <v>19696</v>
      </c>
      <c r="F1690" t="s">
        <v>19697</v>
      </c>
      <c r="G1690" t="s">
        <v>19698</v>
      </c>
      <c r="H1690" t="s">
        <v>19699</v>
      </c>
      <c r="I1690" t="s">
        <v>19700</v>
      </c>
      <c r="J1690" t="s">
        <v>19701</v>
      </c>
      <c r="K1690" t="s">
        <v>19702</v>
      </c>
      <c r="L1690" t="s">
        <v>19703</v>
      </c>
      <c r="M1690" t="s">
        <v>19704</v>
      </c>
      <c r="N1690" t="s">
        <v>19705</v>
      </c>
      <c r="O1690">
        <f>-686.293748426266 -104.06152610755 -514.526872565741</f>
        <v>-1304.882147099557</v>
      </c>
      <c r="P1690">
        <f>-705.412656168425 -102.595224257239 -220.888425670413</f>
        <v>-1028.8963060960771</v>
      </c>
      <c r="Q1690" t="s">
        <v>19706</v>
      </c>
      <c r="R1690" t="s">
        <v>19707</v>
      </c>
      <c r="S1690" t="s">
        <v>19708</v>
      </c>
      <c r="T1690" t="s">
        <v>19709</v>
      </c>
      <c r="U1690" t="s">
        <v>19710</v>
      </c>
      <c r="V1690">
        <f>-680.925465534464 -6.2099922067448 -92.3413428326666</f>
        <v>-779.47680057387538</v>
      </c>
      <c r="W1690" t="s">
        <v>19711</v>
      </c>
      <c r="X1690" t="s">
        <v>19712</v>
      </c>
      <c r="Y1690" t="s">
        <v>19713</v>
      </c>
    </row>
    <row r="1691" spans="1:25" x14ac:dyDescent="0.3">
      <c r="A1691">
        <v>84500</v>
      </c>
      <c r="B1691" t="s">
        <v>19714</v>
      </c>
      <c r="C1691" t="s">
        <v>19715</v>
      </c>
      <c r="D1691" t="s">
        <v>19716</v>
      </c>
      <c r="E1691" t="s">
        <v>19717</v>
      </c>
      <c r="F1691" t="s">
        <v>19718</v>
      </c>
      <c r="G1691" t="s">
        <v>19719</v>
      </c>
      <c r="H1691" t="s">
        <v>19720</v>
      </c>
      <c r="I1691" t="s">
        <v>19721</v>
      </c>
      <c r="J1691" t="s">
        <v>19722</v>
      </c>
      <c r="K1691" t="s">
        <v>19723</v>
      </c>
      <c r="L1691" t="s">
        <v>19724</v>
      </c>
      <c r="M1691" t="s">
        <v>19725</v>
      </c>
      <c r="N1691" t="s">
        <v>19726</v>
      </c>
      <c r="O1691">
        <f>-688.585434156536 -103.568393122362 -514.777360129833</f>
        <v>-1306.9311874087311</v>
      </c>
      <c r="P1691">
        <f>-707.663800768848 -102.34035424652 -221.135124222936</f>
        <v>-1031.139279238304</v>
      </c>
      <c r="Q1691" t="s">
        <v>19727</v>
      </c>
      <c r="R1691" t="s">
        <v>19728</v>
      </c>
      <c r="S1691" t="s">
        <v>19729</v>
      </c>
      <c r="T1691" t="s">
        <v>19730</v>
      </c>
      <c r="U1691" t="s">
        <v>19731</v>
      </c>
      <c r="V1691">
        <f>-682.080158446002 -6.07271436439987 -92.3620157613753</f>
        <v>-780.51488857177719</v>
      </c>
      <c r="W1691" t="s">
        <v>19732</v>
      </c>
      <c r="X1691" t="s">
        <v>19733</v>
      </c>
      <c r="Y1691" t="s">
        <v>19734</v>
      </c>
    </row>
    <row r="1692" spans="1:25" x14ac:dyDescent="0.3">
      <c r="A1692">
        <v>84550</v>
      </c>
      <c r="B1692" t="s">
        <v>19735</v>
      </c>
      <c r="C1692" t="s">
        <v>19736</v>
      </c>
      <c r="D1692" t="s">
        <v>19737</v>
      </c>
      <c r="E1692" t="s">
        <v>19738</v>
      </c>
      <c r="F1692" t="s">
        <v>19739</v>
      </c>
      <c r="G1692" t="s">
        <v>19740</v>
      </c>
      <c r="H1692" t="s">
        <v>19741</v>
      </c>
      <c r="I1692" t="s">
        <v>19742</v>
      </c>
      <c r="J1692" t="s">
        <v>19743</v>
      </c>
      <c r="K1692" t="s">
        <v>19744</v>
      </c>
      <c r="L1692" t="s">
        <v>19745</v>
      </c>
      <c r="M1692" t="s">
        <v>19746</v>
      </c>
      <c r="N1692" t="s">
        <v>19747</v>
      </c>
      <c r="O1692">
        <f>-689.580785069728 -103.344981122091 -514.889275500626</f>
        <v>-1307.815041692445</v>
      </c>
      <c r="P1692">
        <f>-708.652186045344 -102.146470793157 -221.246562133359</f>
        <v>-1032.0452189718601</v>
      </c>
      <c r="Q1692">
        <f>-509.659766599715 -0.143944553286929 -310.959191221836</f>
        <v>-820.76290237483795</v>
      </c>
      <c r="R1692" t="s">
        <v>19748</v>
      </c>
      <c r="S1692" t="s">
        <v>19749</v>
      </c>
      <c r="T1692" t="s">
        <v>19750</v>
      </c>
      <c r="U1692" t="s">
        <v>19751</v>
      </c>
      <c r="V1692">
        <f>-682.727562881419 -6.02793267363063 -92.4063427097359</f>
        <v>-781.1618382647855</v>
      </c>
      <c r="W1692" t="s">
        <v>19752</v>
      </c>
      <c r="X1692" t="s">
        <v>19753</v>
      </c>
      <c r="Y1692" t="s">
        <v>19754</v>
      </c>
    </row>
    <row r="1693" spans="1:25" x14ac:dyDescent="0.3">
      <c r="A1693">
        <v>84600</v>
      </c>
      <c r="B1693" t="s">
        <v>19755</v>
      </c>
      <c r="C1693" t="s">
        <v>19756</v>
      </c>
      <c r="D1693" t="s">
        <v>19757</v>
      </c>
      <c r="E1693" t="s">
        <v>19758</v>
      </c>
      <c r="F1693" t="s">
        <v>19759</v>
      </c>
      <c r="G1693" t="s">
        <v>19760</v>
      </c>
      <c r="H1693" t="s">
        <v>19761</v>
      </c>
      <c r="I1693" t="s">
        <v>19762</v>
      </c>
      <c r="J1693" t="s">
        <v>19763</v>
      </c>
      <c r="K1693" t="s">
        <v>19764</v>
      </c>
      <c r="L1693" t="s">
        <v>19765</v>
      </c>
      <c r="M1693" t="s">
        <v>19766</v>
      </c>
      <c r="N1693" t="s">
        <v>19767</v>
      </c>
      <c r="O1693">
        <f>-691.464668276956 -102.297428728251 -515.275433260511</f>
        <v>-1309.037530265718</v>
      </c>
      <c r="P1693">
        <f>-710.514680975233 -101.301552331625 -221.630597590966</f>
        <v>-1033.4468308978239</v>
      </c>
      <c r="Q1693">
        <f>-510.769828211014 -0.799519363765285 -311.364410952467</f>
        <v>-822.93375852724625</v>
      </c>
      <c r="R1693" t="s">
        <v>19768</v>
      </c>
      <c r="S1693" t="s">
        <v>19769</v>
      </c>
      <c r="T1693" t="s">
        <v>19770</v>
      </c>
      <c r="U1693" t="s">
        <v>19771</v>
      </c>
      <c r="V1693">
        <f>-684.125875950656 -4.67149414167147 -92.5453382795135</f>
        <v>-781.34270837184101</v>
      </c>
      <c r="W1693" t="s">
        <v>19772</v>
      </c>
      <c r="X1693" t="s">
        <v>19773</v>
      </c>
      <c r="Y1693" t="s">
        <v>19774</v>
      </c>
    </row>
    <row r="1694" spans="1:25" x14ac:dyDescent="0.3">
      <c r="A1694">
        <v>84650</v>
      </c>
      <c r="B1694" t="s">
        <v>19775</v>
      </c>
      <c r="C1694" t="s">
        <v>19776</v>
      </c>
      <c r="D1694" t="s">
        <v>19777</v>
      </c>
      <c r="E1694" t="s">
        <v>19778</v>
      </c>
      <c r="F1694" t="s">
        <v>19779</v>
      </c>
      <c r="G1694" t="s">
        <v>19780</v>
      </c>
      <c r="H1694" t="s">
        <v>19781</v>
      </c>
      <c r="I1694" t="s">
        <v>19782</v>
      </c>
      <c r="J1694" t="s">
        <v>19783</v>
      </c>
      <c r="K1694" t="s">
        <v>19784</v>
      </c>
      <c r="L1694" t="s">
        <v>19785</v>
      </c>
      <c r="M1694" t="s">
        <v>19786</v>
      </c>
      <c r="N1694" t="s">
        <v>19787</v>
      </c>
      <c r="O1694">
        <f>-692.312819900992 -101.54858588608 -515.534098007245</f>
        <v>-1309.3955037943169</v>
      </c>
      <c r="P1694">
        <f>-711.3487595311 -100.851579454415 -221.887589618936</f>
        <v>-1034.087928604451</v>
      </c>
      <c r="Q1694">
        <f>-511.33198539106 -0.807998656456448 -311.528199070388</f>
        <v>-823.66818311790439</v>
      </c>
      <c r="R1694" t="s">
        <v>19788</v>
      </c>
      <c r="S1694" t="s">
        <v>19789</v>
      </c>
      <c r="T1694" t="s">
        <v>19790</v>
      </c>
      <c r="U1694" t="s">
        <v>19791</v>
      </c>
      <c r="V1694">
        <f>-684.895413522229 -3.68160041988835 -92.670415711028</f>
        <v>-781.24742965314533</v>
      </c>
      <c r="W1694" t="s">
        <v>19792</v>
      </c>
      <c r="X1694" t="s">
        <v>19793</v>
      </c>
      <c r="Y1694" t="s">
        <v>19794</v>
      </c>
    </row>
    <row r="1695" spans="1:25" x14ac:dyDescent="0.3">
      <c r="A1695">
        <v>84700</v>
      </c>
      <c r="B1695" t="s">
        <v>19795</v>
      </c>
      <c r="C1695" t="s">
        <v>19796</v>
      </c>
      <c r="D1695" t="s">
        <v>19797</v>
      </c>
      <c r="E1695" t="s">
        <v>19798</v>
      </c>
      <c r="F1695" t="s">
        <v>19799</v>
      </c>
      <c r="G1695" t="s">
        <v>19800</v>
      </c>
      <c r="H1695" t="s">
        <v>19801</v>
      </c>
      <c r="I1695" t="s">
        <v>19802</v>
      </c>
      <c r="J1695" t="s">
        <v>19803</v>
      </c>
      <c r="K1695" t="s">
        <v>19804</v>
      </c>
      <c r="L1695" t="s">
        <v>19805</v>
      </c>
      <c r="M1695" t="s">
        <v>19806</v>
      </c>
      <c r="N1695" t="s">
        <v>19807</v>
      </c>
      <c r="O1695">
        <f>-694.239036126779 -99.7374839096371 -516.001072860477</f>
        <v>-1309.9775928968932</v>
      </c>
      <c r="P1695">
        <f>-713.721734151856 -99.1938727063557 -222.383348286736</f>
        <v>-1035.2989551449477</v>
      </c>
      <c r="Q1695" t="s">
        <v>19808</v>
      </c>
      <c r="R1695" t="s">
        <v>19809</v>
      </c>
      <c r="S1695" t="s">
        <v>19810</v>
      </c>
      <c r="T1695" t="s">
        <v>19811</v>
      </c>
      <c r="U1695" t="s">
        <v>19812</v>
      </c>
      <c r="V1695">
        <f>-686.718970876933 -1.22784801033731 -92.9121817358614</f>
        <v>-780.85900062313169</v>
      </c>
      <c r="W1695" t="s">
        <v>19813</v>
      </c>
      <c r="X1695" t="s">
        <v>19814</v>
      </c>
      <c r="Y1695" t="s">
        <v>19815</v>
      </c>
    </row>
    <row r="1696" spans="1:25" x14ac:dyDescent="0.3">
      <c r="A1696">
        <v>84750</v>
      </c>
      <c r="B1696" t="s">
        <v>19816</v>
      </c>
      <c r="C1696" t="s">
        <v>19817</v>
      </c>
      <c r="D1696" t="s">
        <v>19818</v>
      </c>
      <c r="E1696" t="s">
        <v>19819</v>
      </c>
      <c r="F1696" t="s">
        <v>19820</v>
      </c>
      <c r="G1696" t="s">
        <v>19821</v>
      </c>
      <c r="H1696" t="s">
        <v>19822</v>
      </c>
      <c r="I1696" t="s">
        <v>19823</v>
      </c>
      <c r="J1696" t="s">
        <v>19824</v>
      </c>
      <c r="K1696" t="s">
        <v>19825</v>
      </c>
      <c r="L1696" t="s">
        <v>19826</v>
      </c>
      <c r="M1696" t="s">
        <v>19827</v>
      </c>
      <c r="N1696" t="s">
        <v>19828</v>
      </c>
      <c r="O1696">
        <f>-695.523374754574 -98.9768826242371 -516.168542158148</f>
        <v>-1310.6687995369591</v>
      </c>
      <c r="P1696">
        <f>-715.357010318271 -98.3938873232323 -222.574460220855</f>
        <v>-1036.3253578623583</v>
      </c>
      <c r="Q1696" t="s">
        <v>19829</v>
      </c>
      <c r="R1696" t="s">
        <v>19830</v>
      </c>
      <c r="S1696" t="s">
        <v>19831</v>
      </c>
      <c r="T1696" t="s">
        <v>19832</v>
      </c>
      <c r="U1696" t="s">
        <v>19833</v>
      </c>
      <c r="V1696">
        <f>-687.629601655018 -0.291733805332342 -93.071030473782</f>
        <v>-780.99236593413229</v>
      </c>
      <c r="W1696" t="s">
        <v>19834</v>
      </c>
      <c r="X1696" t="s">
        <v>19835</v>
      </c>
      <c r="Y1696" t="s">
        <v>19836</v>
      </c>
    </row>
    <row r="1697" spans="1:25" x14ac:dyDescent="0.3">
      <c r="A1697">
        <v>84800</v>
      </c>
      <c r="B1697" t="s">
        <v>19837</v>
      </c>
      <c r="C1697" t="s">
        <v>19838</v>
      </c>
      <c r="D1697" t="s">
        <v>19839</v>
      </c>
      <c r="E1697" t="s">
        <v>19840</v>
      </c>
      <c r="F1697" t="s">
        <v>19841</v>
      </c>
      <c r="G1697" t="s">
        <v>19842</v>
      </c>
      <c r="H1697" t="s">
        <v>19843</v>
      </c>
      <c r="I1697" t="s">
        <v>19844</v>
      </c>
      <c r="J1697" t="s">
        <v>19845</v>
      </c>
      <c r="K1697" t="s">
        <v>19846</v>
      </c>
      <c r="L1697" t="s">
        <v>19847</v>
      </c>
      <c r="M1697" t="s">
        <v>19848</v>
      </c>
      <c r="N1697" t="s">
        <v>19849</v>
      </c>
      <c r="O1697">
        <f>-697.503874988115 -97.9054653908916 -516.557526806278</f>
        <v>-1311.9668671852846</v>
      </c>
      <c r="P1697">
        <f>-718.079249675793 -97.0470070961744 -223.015116396573</f>
        <v>-1038.1413731685404</v>
      </c>
      <c r="Q1697" t="s">
        <v>19850</v>
      </c>
      <c r="R1697" t="s">
        <v>19851</v>
      </c>
      <c r="S1697" t="s">
        <v>19852</v>
      </c>
      <c r="T1697" t="s">
        <v>19853</v>
      </c>
      <c r="U1697" t="s">
        <v>19854</v>
      </c>
      <c r="V1697" t="s">
        <v>19855</v>
      </c>
      <c r="W1697" t="s">
        <v>19856</v>
      </c>
      <c r="X1697" t="s">
        <v>19857</v>
      </c>
      <c r="Y1697" t="s">
        <v>19858</v>
      </c>
    </row>
    <row r="1698" spans="1:25" x14ac:dyDescent="0.3">
      <c r="A1698">
        <v>84850</v>
      </c>
      <c r="B1698" t="s">
        <v>19859</v>
      </c>
      <c r="C1698" t="s">
        <v>19860</v>
      </c>
      <c r="D1698" t="s">
        <v>19861</v>
      </c>
      <c r="E1698" t="s">
        <v>19862</v>
      </c>
      <c r="F1698" t="s">
        <v>19863</v>
      </c>
      <c r="G1698" t="s">
        <v>19864</v>
      </c>
      <c r="H1698" t="s">
        <v>19865</v>
      </c>
      <c r="I1698" t="s">
        <v>19866</v>
      </c>
      <c r="J1698" t="s">
        <v>19867</v>
      </c>
      <c r="K1698" t="s">
        <v>19868</v>
      </c>
      <c r="L1698" t="s">
        <v>19869</v>
      </c>
      <c r="M1698" t="s">
        <v>19870</v>
      </c>
      <c r="N1698" t="s">
        <v>19871</v>
      </c>
      <c r="O1698">
        <f>-698.315681956928 -97.7821714821137 -516.741955184214</f>
        <v>-1312.8398086232555</v>
      </c>
      <c r="P1698">
        <f>-719.316087130757 -96.9083627281284 -223.229664017067</f>
        <v>-1039.4541138759523</v>
      </c>
      <c r="Q1698" t="s">
        <v>19872</v>
      </c>
      <c r="R1698" t="s">
        <v>19873</v>
      </c>
      <c r="S1698" t="s">
        <v>19874</v>
      </c>
      <c r="T1698" t="s">
        <v>19875</v>
      </c>
      <c r="U1698" t="s">
        <v>19876</v>
      </c>
      <c r="V1698" t="s">
        <v>19877</v>
      </c>
      <c r="W1698" t="s">
        <v>19878</v>
      </c>
      <c r="X1698" t="s">
        <v>19879</v>
      </c>
      <c r="Y1698" t="s">
        <v>19880</v>
      </c>
    </row>
    <row r="1699" spans="1:25" x14ac:dyDescent="0.3">
      <c r="A1699">
        <v>84900</v>
      </c>
      <c r="B1699" t="s">
        <v>19881</v>
      </c>
      <c r="C1699" t="s">
        <v>19882</v>
      </c>
      <c r="D1699" t="s">
        <v>19883</v>
      </c>
      <c r="E1699" t="s">
        <v>19884</v>
      </c>
      <c r="F1699" t="s">
        <v>19885</v>
      </c>
      <c r="G1699" t="s">
        <v>19886</v>
      </c>
      <c r="H1699" t="s">
        <v>19887</v>
      </c>
      <c r="I1699" t="s">
        <v>19888</v>
      </c>
      <c r="J1699" t="s">
        <v>19889</v>
      </c>
      <c r="K1699" t="s">
        <v>19890</v>
      </c>
      <c r="L1699" t="s">
        <v>19891</v>
      </c>
      <c r="M1699" t="s">
        <v>19892</v>
      </c>
      <c r="N1699" t="s">
        <v>19893</v>
      </c>
      <c r="O1699">
        <f>-699.801150537726 -98.8455710407063 -516.906252356107</f>
        <v>-1315.5529739345393</v>
      </c>
      <c r="P1699">
        <f>-721.195183753867 -98.0916945405679 -223.422119523542</f>
        <v>-1042.708997817977</v>
      </c>
      <c r="Q1699">
        <f>-518.128869820658 -2.29887560699535 -310.821659995729</f>
        <v>-831.24940542338231</v>
      </c>
      <c r="R1699" t="s">
        <v>19894</v>
      </c>
      <c r="S1699" t="s">
        <v>19895</v>
      </c>
      <c r="T1699" t="s">
        <v>19896</v>
      </c>
      <c r="U1699" t="s">
        <v>19897</v>
      </c>
      <c r="V1699">
        <f>-690.587381728443 -0.562785335528815 -93.544354191111</f>
        <v>-784.6945212550828</v>
      </c>
      <c r="W1699" t="s">
        <v>19898</v>
      </c>
      <c r="X1699" t="s">
        <v>19899</v>
      </c>
      <c r="Y1699" t="s">
        <v>19900</v>
      </c>
    </row>
    <row r="1700" spans="1:25" x14ac:dyDescent="0.3">
      <c r="A1700">
        <v>84950</v>
      </c>
      <c r="B1700" t="s">
        <v>19901</v>
      </c>
      <c r="C1700" t="s">
        <v>19902</v>
      </c>
      <c r="D1700" t="s">
        <v>19903</v>
      </c>
      <c r="E1700" t="s">
        <v>19904</v>
      </c>
      <c r="F1700" t="s">
        <v>19905</v>
      </c>
      <c r="G1700" t="s">
        <v>19906</v>
      </c>
      <c r="H1700" t="s">
        <v>19907</v>
      </c>
      <c r="I1700" t="s">
        <v>19908</v>
      </c>
      <c r="J1700" t="s">
        <v>19909</v>
      </c>
      <c r="K1700" t="s">
        <v>19910</v>
      </c>
      <c r="L1700" t="s">
        <v>19911</v>
      </c>
      <c r="M1700" t="s">
        <v>19912</v>
      </c>
      <c r="N1700" t="s">
        <v>19913</v>
      </c>
      <c r="O1700">
        <f>-700.333067495995 -99.4949188271764 -516.86753750582</f>
        <v>-1316.6955238289916</v>
      </c>
      <c r="P1700">
        <f>-721.587286477737 -98.7359051907538 -223.373265074394</f>
        <v>-1043.6964567428849</v>
      </c>
      <c r="Q1700">
        <f>-518.178454188459 -3.80516142561282 -310.916333097602</f>
        <v>-832.8999487116738</v>
      </c>
      <c r="R1700" t="s">
        <v>19914</v>
      </c>
      <c r="S1700" t="s">
        <v>19915</v>
      </c>
      <c r="T1700" t="s">
        <v>19916</v>
      </c>
      <c r="U1700" t="s">
        <v>19917</v>
      </c>
      <c r="V1700">
        <f>-690.743841772045 -1.19091212843318 -93.4869598710976</f>
        <v>-785.42171377157581</v>
      </c>
      <c r="W1700" t="s">
        <v>19918</v>
      </c>
      <c r="X1700" t="s">
        <v>19919</v>
      </c>
      <c r="Y1700" t="s">
        <v>19920</v>
      </c>
    </row>
    <row r="1701" spans="1:25" x14ac:dyDescent="0.3">
      <c r="A1701">
        <v>85000</v>
      </c>
      <c r="B1701" t="s">
        <v>19921</v>
      </c>
      <c r="C1701" t="s">
        <v>19922</v>
      </c>
      <c r="D1701" t="s">
        <v>19923</v>
      </c>
      <c r="E1701" t="s">
        <v>19924</v>
      </c>
      <c r="F1701" t="s">
        <v>19925</v>
      </c>
      <c r="G1701" t="s">
        <v>19926</v>
      </c>
      <c r="H1701" t="s">
        <v>19927</v>
      </c>
      <c r="I1701" t="s">
        <v>19928</v>
      </c>
      <c r="J1701" t="s">
        <v>19929</v>
      </c>
      <c r="K1701" t="s">
        <v>19930</v>
      </c>
      <c r="L1701" t="s">
        <v>19931</v>
      </c>
      <c r="M1701" t="s">
        <v>19932</v>
      </c>
      <c r="N1701" t="s">
        <v>19933</v>
      </c>
      <c r="O1701">
        <f>-700.819360764186 -101.421019180992 -516.602048122384</f>
        <v>-1318.8424280675617</v>
      </c>
      <c r="P1701">
        <f>-721.527648786981 -100.76889740763 -223.068405616404</f>
        <v>-1045.3649518110151</v>
      </c>
      <c r="Q1701">
        <f>-517.892011507203 -7.03699640876243 -311.373191418705</f>
        <v>-836.30219933467049</v>
      </c>
      <c r="R1701" t="s">
        <v>19934</v>
      </c>
      <c r="S1701" t="s">
        <v>19935</v>
      </c>
      <c r="T1701" t="s">
        <v>19936</v>
      </c>
      <c r="U1701" t="s">
        <v>19937</v>
      </c>
      <c r="V1701">
        <f>-690.580951421472 -3.33934950645607 -93.4111244508351</f>
        <v>-787.33142537876324</v>
      </c>
      <c r="W1701" t="s">
        <v>19938</v>
      </c>
      <c r="X1701" t="s">
        <v>19939</v>
      </c>
      <c r="Y1701" t="s">
        <v>19940</v>
      </c>
    </row>
    <row r="1702" spans="1:25" x14ac:dyDescent="0.3">
      <c r="A1702">
        <v>85050</v>
      </c>
      <c r="B1702" t="s">
        <v>19941</v>
      </c>
      <c r="C1702" t="s">
        <v>19942</v>
      </c>
      <c r="D1702" t="s">
        <v>19943</v>
      </c>
      <c r="E1702" t="s">
        <v>19944</v>
      </c>
      <c r="F1702" t="s">
        <v>19945</v>
      </c>
      <c r="G1702" t="s">
        <v>19946</v>
      </c>
      <c r="H1702" t="s">
        <v>19947</v>
      </c>
      <c r="I1702" t="s">
        <v>19948</v>
      </c>
      <c r="J1702" t="s">
        <v>19949</v>
      </c>
      <c r="K1702" t="s">
        <v>19950</v>
      </c>
      <c r="L1702" t="s">
        <v>19951</v>
      </c>
      <c r="M1702" t="s">
        <v>19952</v>
      </c>
      <c r="N1702" t="s">
        <v>19953</v>
      </c>
      <c r="O1702">
        <f>-700.940842467561 -102.400900655264 -516.414557950188</f>
        <v>-1319.756301073013</v>
      </c>
      <c r="P1702">
        <f>-721.452852729551 -101.613971700368 -222.867483852929</f>
        <v>-1045.934308282848</v>
      </c>
      <c r="Q1702">
        <f>-517.833149260676 -8.2458237912133 -311.593521458066</f>
        <v>-837.6724945099553</v>
      </c>
      <c r="R1702" t="s">
        <v>19954</v>
      </c>
      <c r="S1702" t="s">
        <v>19955</v>
      </c>
      <c r="T1702" t="s">
        <v>19956</v>
      </c>
      <c r="U1702" t="s">
        <v>19957</v>
      </c>
      <c r="V1702">
        <f>-690.274912231609 -4.33120642453332 -93.4109225492571</f>
        <v>-788.01704120539944</v>
      </c>
      <c r="W1702" t="s">
        <v>19958</v>
      </c>
      <c r="X1702" t="s">
        <v>19959</v>
      </c>
      <c r="Y1702" t="s">
        <v>19960</v>
      </c>
    </row>
    <row r="1703" spans="1:25" x14ac:dyDescent="0.3">
      <c r="A1703">
        <v>85100</v>
      </c>
      <c r="B1703" t="s">
        <v>19961</v>
      </c>
      <c r="C1703" t="s">
        <v>19962</v>
      </c>
      <c r="D1703" t="s">
        <v>19963</v>
      </c>
      <c r="E1703" t="s">
        <v>19964</v>
      </c>
      <c r="F1703" t="s">
        <v>19965</v>
      </c>
      <c r="G1703" t="s">
        <v>19966</v>
      </c>
      <c r="H1703" t="s">
        <v>19967</v>
      </c>
      <c r="I1703" t="s">
        <v>19968</v>
      </c>
      <c r="J1703" t="s">
        <v>19969</v>
      </c>
      <c r="K1703" t="s">
        <v>19970</v>
      </c>
      <c r="L1703" t="s">
        <v>19971</v>
      </c>
      <c r="M1703" t="s">
        <v>19972</v>
      </c>
      <c r="N1703" t="s">
        <v>19973</v>
      </c>
      <c r="O1703">
        <f>-700.960411395179 -104.35877043975 -516.069055844245</f>
        <v>-1321.3882376791739</v>
      </c>
      <c r="P1703">
        <f>-721.147247798594 -103.140365272426 -222.500991827522</f>
        <v>-1046.788604898542</v>
      </c>
      <c r="Q1703">
        <f>-517.658568396809 -9.96816992670119 -311.731805809256</f>
        <v>-839.35854413276616</v>
      </c>
      <c r="R1703" t="s">
        <v>19974</v>
      </c>
      <c r="S1703" t="s">
        <v>19975</v>
      </c>
      <c r="T1703" t="s">
        <v>19976</v>
      </c>
      <c r="U1703" t="s">
        <v>19977</v>
      </c>
      <c r="V1703">
        <f>-689.368076937433 -6.0576557638783 -93.3778596705305</f>
        <v>-788.80359237184177</v>
      </c>
      <c r="W1703" t="s">
        <v>19978</v>
      </c>
      <c r="X1703" t="s">
        <v>19979</v>
      </c>
      <c r="Y1703" t="s">
        <v>19980</v>
      </c>
    </row>
    <row r="1704" spans="1:25" x14ac:dyDescent="0.3">
      <c r="A1704">
        <v>85150</v>
      </c>
      <c r="B1704" t="s">
        <v>19981</v>
      </c>
      <c r="C1704" t="s">
        <v>19982</v>
      </c>
      <c r="D1704" t="s">
        <v>19983</v>
      </c>
      <c r="E1704" t="s">
        <v>19984</v>
      </c>
      <c r="F1704" t="s">
        <v>19985</v>
      </c>
      <c r="G1704" t="s">
        <v>19986</v>
      </c>
      <c r="H1704" t="s">
        <v>19987</v>
      </c>
      <c r="I1704" t="s">
        <v>19988</v>
      </c>
      <c r="J1704" t="s">
        <v>19989</v>
      </c>
      <c r="K1704" t="s">
        <v>19990</v>
      </c>
      <c r="L1704" t="s">
        <v>19991</v>
      </c>
      <c r="M1704" t="s">
        <v>19992</v>
      </c>
      <c r="N1704" t="s">
        <v>19993</v>
      </c>
      <c r="O1704">
        <f>-700.82385110913 -105.062139363102 -515.977361239601</f>
        <v>-1321.863351711833</v>
      </c>
      <c r="P1704">
        <f>-720.83013818524 -103.764333551309 -222.397262336595</f>
        <v>-1046.991734073144</v>
      </c>
      <c r="Q1704">
        <f>-517.506732447716 -10.3823244239245 -311.785281321452</f>
        <v>-839.67433819309247</v>
      </c>
      <c r="R1704" t="s">
        <v>19994</v>
      </c>
      <c r="S1704" t="s">
        <v>19995</v>
      </c>
      <c r="T1704" t="s">
        <v>19996</v>
      </c>
      <c r="U1704" t="s">
        <v>19997</v>
      </c>
      <c r="V1704">
        <f>-688.785625296871 -6.59007811295487 -93.3615723163808</f>
        <v>-788.73727572620669</v>
      </c>
      <c r="W1704" t="s">
        <v>19998</v>
      </c>
      <c r="X1704" t="s">
        <v>19999</v>
      </c>
      <c r="Y1704" t="s">
        <v>20000</v>
      </c>
    </row>
    <row r="1705" spans="1:25" x14ac:dyDescent="0.3">
      <c r="A1705">
        <v>85200</v>
      </c>
      <c r="B1705" t="s">
        <v>20001</v>
      </c>
      <c r="C1705" t="s">
        <v>20002</v>
      </c>
      <c r="D1705" t="s">
        <v>20003</v>
      </c>
      <c r="E1705" t="s">
        <v>20004</v>
      </c>
      <c r="F1705" t="s">
        <v>20005</v>
      </c>
      <c r="G1705" t="s">
        <v>20006</v>
      </c>
      <c r="H1705" t="s">
        <v>20007</v>
      </c>
      <c r="I1705" t="s">
        <v>20008</v>
      </c>
      <c r="J1705" t="s">
        <v>20009</v>
      </c>
      <c r="K1705" t="s">
        <v>20010</v>
      </c>
      <c r="L1705" t="s">
        <v>20011</v>
      </c>
      <c r="M1705" t="s">
        <v>20012</v>
      </c>
      <c r="N1705" t="s">
        <v>20013</v>
      </c>
      <c r="O1705">
        <f>-700.543836042752 -105.981927730807 -516.096280704822</f>
        <v>-1322.622044478381</v>
      </c>
      <c r="P1705">
        <f>-719.823663336866 -104.936504388676 -222.4664947212</f>
        <v>-1047.226662446742</v>
      </c>
      <c r="Q1705">
        <f>-516.971279692685 -10.7785421168783 -312.110523659519</f>
        <v>-839.86034546908229</v>
      </c>
      <c r="R1705" t="s">
        <v>20014</v>
      </c>
      <c r="S1705" t="s">
        <v>20015</v>
      </c>
      <c r="T1705" t="s">
        <v>20016</v>
      </c>
      <c r="U1705" t="s">
        <v>20017</v>
      </c>
      <c r="V1705">
        <f>-687.604404892771 -7.69130457215078 -93.3820727762072</f>
        <v>-788.67778224112897</v>
      </c>
      <c r="W1705" t="s">
        <v>20018</v>
      </c>
      <c r="X1705" t="s">
        <v>20019</v>
      </c>
      <c r="Y1705" t="s">
        <v>20020</v>
      </c>
    </row>
    <row r="1706" spans="1:25" x14ac:dyDescent="0.3">
      <c r="A1706">
        <v>85250</v>
      </c>
      <c r="B1706" t="s">
        <v>20021</v>
      </c>
      <c r="C1706" t="s">
        <v>20022</v>
      </c>
      <c r="D1706" t="s">
        <v>20023</v>
      </c>
      <c r="E1706" t="s">
        <v>20024</v>
      </c>
      <c r="F1706" t="s">
        <v>20025</v>
      </c>
      <c r="G1706" t="s">
        <v>20026</v>
      </c>
      <c r="H1706" t="s">
        <v>20027</v>
      </c>
      <c r="I1706" t="s">
        <v>20028</v>
      </c>
      <c r="J1706" t="s">
        <v>20029</v>
      </c>
      <c r="K1706" t="s">
        <v>20030</v>
      </c>
      <c r="L1706" t="s">
        <v>20031</v>
      </c>
      <c r="M1706" t="s">
        <v>20032</v>
      </c>
      <c r="N1706" t="s">
        <v>20033</v>
      </c>
      <c r="O1706">
        <f>-700.340863773491 -106.661932777967 -516.194780779973</f>
        <v>-1323.1975773314311</v>
      </c>
      <c r="P1706">
        <f>-719.13392998274 -105.7537446773 -222.532957467055</f>
        <v>-1047.4206321270951</v>
      </c>
      <c r="Q1706">
        <f>-516.611964772368 -11.0705684711666 -312.370942084768</f>
        <v>-840.05347532830251</v>
      </c>
      <c r="R1706" t="s">
        <v>20034</v>
      </c>
      <c r="S1706" t="s">
        <v>20035</v>
      </c>
      <c r="T1706" t="s">
        <v>20036</v>
      </c>
      <c r="U1706" t="s">
        <v>20037</v>
      </c>
      <c r="V1706">
        <f>-686.997245809873 -8.65080279093831 -93.4076000743198</f>
        <v>-789.05564867513112</v>
      </c>
      <c r="W1706" t="s">
        <v>20038</v>
      </c>
      <c r="X1706" t="s">
        <v>20039</v>
      </c>
      <c r="Y1706" t="s">
        <v>20040</v>
      </c>
    </row>
    <row r="1707" spans="1:25" x14ac:dyDescent="0.3">
      <c r="A1707">
        <v>85300</v>
      </c>
      <c r="B1707" t="s">
        <v>20041</v>
      </c>
      <c r="C1707" t="s">
        <v>20042</v>
      </c>
      <c r="D1707" t="s">
        <v>20043</v>
      </c>
      <c r="E1707" t="s">
        <v>20044</v>
      </c>
      <c r="F1707" t="s">
        <v>20045</v>
      </c>
      <c r="G1707" t="s">
        <v>20046</v>
      </c>
      <c r="H1707" t="s">
        <v>20047</v>
      </c>
      <c r="I1707" t="s">
        <v>20048</v>
      </c>
      <c r="J1707" t="s">
        <v>20049</v>
      </c>
      <c r="K1707" t="s">
        <v>20050</v>
      </c>
      <c r="L1707" t="s">
        <v>20051</v>
      </c>
      <c r="M1707" t="s">
        <v>20052</v>
      </c>
      <c r="N1707" t="s">
        <v>20053</v>
      </c>
      <c r="O1707">
        <f>-699.95272013517 -108.219972979379 -516.348204049205</f>
        <v>-1324.5208971637539</v>
      </c>
      <c r="P1707">
        <f>-717.822554697975 -107.712435685227 -222.627853860497</f>
        <v>-1048.1628442436991</v>
      </c>
      <c r="Q1707">
        <f>-515.978859558408 -11.7427090111107 -312.626882930497</f>
        <v>-840.3484515000157</v>
      </c>
      <c r="R1707" t="s">
        <v>20054</v>
      </c>
      <c r="S1707" t="s">
        <v>20055</v>
      </c>
      <c r="T1707" t="s">
        <v>20056</v>
      </c>
      <c r="U1707" t="s">
        <v>20057</v>
      </c>
      <c r="V1707">
        <f>-685.750109043656 -10.9601319912856 -93.3729318761528</f>
        <v>-790.08317291109449</v>
      </c>
      <c r="W1707" t="s">
        <v>20058</v>
      </c>
      <c r="X1707" t="s">
        <v>20059</v>
      </c>
      <c r="Y1707" t="s">
        <v>20060</v>
      </c>
    </row>
    <row r="1708" spans="1:25" x14ac:dyDescent="0.3">
      <c r="A1708">
        <v>85350</v>
      </c>
      <c r="B1708" t="s">
        <v>20061</v>
      </c>
      <c r="C1708" t="s">
        <v>20062</v>
      </c>
      <c r="D1708" t="s">
        <v>20063</v>
      </c>
      <c r="E1708" t="s">
        <v>20064</v>
      </c>
      <c r="F1708" t="s">
        <v>20065</v>
      </c>
      <c r="G1708" t="s">
        <v>20066</v>
      </c>
      <c r="H1708" t="s">
        <v>20067</v>
      </c>
      <c r="I1708" t="s">
        <v>20068</v>
      </c>
      <c r="J1708" t="s">
        <v>20069</v>
      </c>
      <c r="K1708" t="s">
        <v>20070</v>
      </c>
      <c r="L1708" t="s">
        <v>20071</v>
      </c>
      <c r="M1708" t="s">
        <v>20072</v>
      </c>
      <c r="N1708" t="s">
        <v>20073</v>
      </c>
      <c r="O1708">
        <f>-699.731216898575 -108.96044885105 -516.462247691339</f>
        <v>-1325.1539134409641</v>
      </c>
      <c r="P1708">
        <f>-717.163640059552 -108.736175736881 -222.715200645258</f>
        <v>-1048.6150164416911</v>
      </c>
      <c r="Q1708">
        <f>-515.659602139291 -12.1500920794031 -312.815641535658</f>
        <v>-840.62533575435214</v>
      </c>
      <c r="R1708" t="s">
        <v>20074</v>
      </c>
      <c r="S1708" t="s">
        <v>20075</v>
      </c>
      <c r="T1708" t="s">
        <v>20076</v>
      </c>
      <c r="U1708" t="s">
        <v>20077</v>
      </c>
      <c r="V1708">
        <f>-685.020388761511 -12.1149675215104 -93.3731703763832</f>
        <v>-790.50852665940454</v>
      </c>
      <c r="W1708" t="s">
        <v>20078</v>
      </c>
      <c r="X1708" t="s">
        <v>20079</v>
      </c>
      <c r="Y1708" t="s">
        <v>20080</v>
      </c>
    </row>
    <row r="1709" spans="1:25" x14ac:dyDescent="0.3">
      <c r="A1709">
        <v>85400</v>
      </c>
      <c r="B1709" t="s">
        <v>20081</v>
      </c>
      <c r="C1709" t="s">
        <v>20082</v>
      </c>
      <c r="D1709" t="s">
        <v>20083</v>
      </c>
      <c r="E1709" t="s">
        <v>20084</v>
      </c>
      <c r="F1709" t="s">
        <v>20085</v>
      </c>
      <c r="G1709" t="s">
        <v>20086</v>
      </c>
      <c r="H1709" t="s">
        <v>20087</v>
      </c>
      <c r="I1709" t="s">
        <v>20088</v>
      </c>
      <c r="J1709" t="s">
        <v>20089</v>
      </c>
      <c r="K1709" t="s">
        <v>20090</v>
      </c>
      <c r="L1709" t="s">
        <v>20091</v>
      </c>
      <c r="M1709" t="s">
        <v>20092</v>
      </c>
      <c r="N1709" t="s">
        <v>20093</v>
      </c>
      <c r="O1709">
        <f>-699.666715609207 -110.26918080311 -516.741426461316</f>
        <v>-1326.6773228736329</v>
      </c>
      <c r="P1709">
        <f>-716.09587104223 -110.530085524509 -222.936707888442</f>
        <v>-1049.562664455181</v>
      </c>
      <c r="Q1709">
        <f>-515.509008543281 -12.4777509397561 -313.498829799812</f>
        <v>-841.48558928284911</v>
      </c>
      <c r="R1709" t="s">
        <v>20094</v>
      </c>
      <c r="S1709" t="s">
        <v>20095</v>
      </c>
      <c r="T1709" t="s">
        <v>20096</v>
      </c>
      <c r="U1709" t="s">
        <v>20097</v>
      </c>
      <c r="V1709">
        <f>-683.627539019255 -14.0526530000193 -93.3193109378228</f>
        <v>-790.99950295709709</v>
      </c>
      <c r="W1709" t="s">
        <v>20098</v>
      </c>
      <c r="X1709" t="s">
        <v>20099</v>
      </c>
      <c r="Y1709" t="s">
        <v>20100</v>
      </c>
    </row>
    <row r="1710" spans="1:25" x14ac:dyDescent="0.3">
      <c r="A1710">
        <v>85450</v>
      </c>
      <c r="B1710" t="s">
        <v>20101</v>
      </c>
      <c r="C1710" t="s">
        <v>20102</v>
      </c>
      <c r="D1710" t="s">
        <v>20103</v>
      </c>
      <c r="E1710" t="s">
        <v>20104</v>
      </c>
      <c r="F1710" t="s">
        <v>20105</v>
      </c>
      <c r="G1710" t="s">
        <v>20106</v>
      </c>
      <c r="H1710" t="s">
        <v>20107</v>
      </c>
      <c r="I1710" t="s">
        <v>20108</v>
      </c>
      <c r="J1710" t="s">
        <v>20109</v>
      </c>
      <c r="K1710" t="s">
        <v>20110</v>
      </c>
      <c r="L1710" t="s">
        <v>20111</v>
      </c>
      <c r="M1710" t="s">
        <v>20112</v>
      </c>
      <c r="N1710" t="s">
        <v>20113</v>
      </c>
      <c r="O1710">
        <f>-699.807542900443 -111.013750090615 -516.806910367533</f>
        <v>-1327.6282033585908</v>
      </c>
      <c r="P1710">
        <f>-715.68336343132 -111.476314405132 -222.972007609454</f>
        <v>-1050.131685445906</v>
      </c>
      <c r="Q1710">
        <f>-515.5363963987 -12.7852136420968 -313.813413941469</f>
        <v>-842.13502398226581</v>
      </c>
      <c r="R1710" t="s">
        <v>20114</v>
      </c>
      <c r="S1710" t="s">
        <v>20115</v>
      </c>
      <c r="T1710" t="s">
        <v>20116</v>
      </c>
      <c r="U1710" t="s">
        <v>20117</v>
      </c>
      <c r="V1710">
        <f>-683.052719456472 -14.9055672626425 -93.2747120033356</f>
        <v>-791.23299872245013</v>
      </c>
      <c r="W1710" t="s">
        <v>20118</v>
      </c>
      <c r="X1710" t="s">
        <v>20119</v>
      </c>
      <c r="Y1710" t="s">
        <v>20120</v>
      </c>
    </row>
    <row r="1711" spans="1:25" x14ac:dyDescent="0.3">
      <c r="A1711">
        <v>85500</v>
      </c>
      <c r="B1711" t="s">
        <v>20121</v>
      </c>
      <c r="C1711" t="s">
        <v>20122</v>
      </c>
      <c r="D1711" t="s">
        <v>20123</v>
      </c>
      <c r="E1711" t="s">
        <v>20124</v>
      </c>
      <c r="F1711" t="s">
        <v>20125</v>
      </c>
      <c r="G1711" t="s">
        <v>20126</v>
      </c>
      <c r="H1711" t="s">
        <v>20127</v>
      </c>
      <c r="I1711" t="s">
        <v>20128</v>
      </c>
      <c r="J1711" t="s">
        <v>20129</v>
      </c>
      <c r="K1711" t="s">
        <v>20130</v>
      </c>
      <c r="L1711" t="s">
        <v>20131</v>
      </c>
      <c r="M1711" t="s">
        <v>20132</v>
      </c>
      <c r="N1711" t="s">
        <v>20133</v>
      </c>
      <c r="O1711">
        <f>-700.000092295445 -112.12312608998 -516.800835021223</f>
        <v>-1328.924053406648</v>
      </c>
      <c r="P1711">
        <f>-715.387000965147 -112.523008486636 -222.939827955575</f>
        <v>-1050.8498374073581</v>
      </c>
      <c r="Q1711">
        <f>-515.765213202917 -13.1235042427031 -314.163459209461</f>
        <v>-843.05217665508121</v>
      </c>
      <c r="R1711" t="s">
        <v>20134</v>
      </c>
      <c r="S1711" t="s">
        <v>20135</v>
      </c>
      <c r="T1711" t="s">
        <v>20136</v>
      </c>
      <c r="U1711" t="s">
        <v>20137</v>
      </c>
      <c r="V1711">
        <f>-682.269754482969 -15.9384221397695 -93.2333599816084</f>
        <v>-791.44153660434688</v>
      </c>
      <c r="W1711" t="s">
        <v>20138</v>
      </c>
      <c r="X1711" t="s">
        <v>20139</v>
      </c>
      <c r="Y1711" t="s">
        <v>20140</v>
      </c>
    </row>
    <row r="1712" spans="1:25" x14ac:dyDescent="0.3">
      <c r="A1712">
        <v>85550</v>
      </c>
      <c r="B1712" t="s">
        <v>20141</v>
      </c>
      <c r="C1712" t="s">
        <v>20142</v>
      </c>
      <c r="D1712" t="s">
        <v>20143</v>
      </c>
      <c r="E1712" t="s">
        <v>20144</v>
      </c>
      <c r="F1712" t="s">
        <v>20145</v>
      </c>
      <c r="G1712" t="s">
        <v>20146</v>
      </c>
      <c r="H1712" t="s">
        <v>20147</v>
      </c>
      <c r="I1712" t="s">
        <v>20148</v>
      </c>
      <c r="J1712" t="s">
        <v>20149</v>
      </c>
      <c r="K1712" t="s">
        <v>20150</v>
      </c>
      <c r="L1712" t="s">
        <v>20151</v>
      </c>
      <c r="M1712" t="s">
        <v>20152</v>
      </c>
      <c r="N1712" t="s">
        <v>20153</v>
      </c>
      <c r="O1712">
        <f>-700.481544581467 -113.062450812802 -516.737377750555</f>
        <v>-1330.2813731448241</v>
      </c>
      <c r="P1712">
        <f>-715.491654697295 -113.359116210767 -222.856868541565</f>
        <v>-1051.7076394496269</v>
      </c>
      <c r="Q1712">
        <f>-516.2364057168 -13.4535262722227 -314.329051892061</f>
        <v>-844.01898388108373</v>
      </c>
      <c r="R1712" t="s">
        <v>20154</v>
      </c>
      <c r="S1712" t="s">
        <v>20155</v>
      </c>
      <c r="T1712" t="s">
        <v>20156</v>
      </c>
      <c r="U1712" t="s">
        <v>20157</v>
      </c>
      <c r="V1712">
        <f>-681.962889181054 -16.8005484366017 -93.1817389791155</f>
        <v>-791.94517659677126</v>
      </c>
      <c r="W1712" t="s">
        <v>20158</v>
      </c>
      <c r="X1712" t="s">
        <v>20159</v>
      </c>
      <c r="Y1712" t="s">
        <v>20160</v>
      </c>
    </row>
    <row r="1713" spans="1:25" x14ac:dyDescent="0.3">
      <c r="A1713">
        <v>85600</v>
      </c>
      <c r="B1713" t="s">
        <v>20161</v>
      </c>
      <c r="C1713" t="s">
        <v>20162</v>
      </c>
      <c r="D1713" t="s">
        <v>20163</v>
      </c>
      <c r="E1713" t="s">
        <v>20164</v>
      </c>
      <c r="F1713" t="s">
        <v>20165</v>
      </c>
      <c r="G1713" t="s">
        <v>20166</v>
      </c>
      <c r="H1713" t="s">
        <v>20167</v>
      </c>
      <c r="I1713" t="s">
        <v>20168</v>
      </c>
      <c r="J1713" t="s">
        <v>20169</v>
      </c>
      <c r="K1713" t="s">
        <v>20170</v>
      </c>
      <c r="L1713" t="s">
        <v>20171</v>
      </c>
      <c r="M1713" t="s">
        <v>20172</v>
      </c>
      <c r="N1713" t="s">
        <v>20173</v>
      </c>
      <c r="O1713">
        <f>-701.553887472472 -113.557130690183 -516.72143102243</f>
        <v>-1331.8324491850849</v>
      </c>
      <c r="P1713">
        <f>-716.123708234145 -113.691950195859 -222.818471674164</f>
        <v>-1052.634130104168</v>
      </c>
      <c r="Q1713">
        <f>-517.553345704779 -13.0584442538609 -314.979459861845</f>
        <v>-845.59124982048479</v>
      </c>
      <c r="R1713" t="s">
        <v>20174</v>
      </c>
      <c r="S1713" t="s">
        <v>20175</v>
      </c>
      <c r="T1713" t="s">
        <v>20176</v>
      </c>
      <c r="U1713" t="s">
        <v>20177</v>
      </c>
      <c r="V1713">
        <f>-682.414039563736 -17.0139086746194 -93.1585668110533</f>
        <v>-792.58651504940872</v>
      </c>
      <c r="W1713" t="s">
        <v>20178</v>
      </c>
      <c r="X1713" t="s">
        <v>20179</v>
      </c>
      <c r="Y1713" t="s">
        <v>20180</v>
      </c>
    </row>
    <row r="1714" spans="1:25" x14ac:dyDescent="0.3">
      <c r="A1714">
        <v>85650</v>
      </c>
      <c r="B1714" t="s">
        <v>20181</v>
      </c>
      <c r="C1714" t="s">
        <v>20182</v>
      </c>
      <c r="D1714" t="s">
        <v>20183</v>
      </c>
      <c r="E1714" t="s">
        <v>20184</v>
      </c>
      <c r="F1714" t="s">
        <v>20185</v>
      </c>
      <c r="G1714" t="s">
        <v>20186</v>
      </c>
      <c r="H1714" t="s">
        <v>20187</v>
      </c>
      <c r="I1714" t="s">
        <v>20188</v>
      </c>
      <c r="J1714" t="s">
        <v>20189</v>
      </c>
      <c r="K1714" t="s">
        <v>20190</v>
      </c>
      <c r="L1714" t="s">
        <v>20191</v>
      </c>
      <c r="M1714" t="s">
        <v>20192</v>
      </c>
      <c r="N1714" t="s">
        <v>20193</v>
      </c>
      <c r="O1714">
        <f>-702.186674782493 -113.542649797392 -516.765406838895</f>
        <v>-1332.49473141878</v>
      </c>
      <c r="P1714">
        <f>-716.701397017219 -113.510242840877 -222.859658093278</f>
        <v>-1053.0712979513742</v>
      </c>
      <c r="Q1714">
        <f>-518.577823699484 -12.4909313679327 -315.558036698578</f>
        <v>-846.62679176599477</v>
      </c>
      <c r="R1714" t="s">
        <v>20194</v>
      </c>
      <c r="S1714" t="s">
        <v>20195</v>
      </c>
      <c r="T1714" t="s">
        <v>20196</v>
      </c>
      <c r="U1714" t="s">
        <v>20197</v>
      </c>
      <c r="V1714">
        <f>-682.933365823045 -16.9527016775189 -93.1735593819215</f>
        <v>-793.05962688248542</v>
      </c>
      <c r="W1714" t="s">
        <v>20198</v>
      </c>
      <c r="X1714" t="s">
        <v>20199</v>
      </c>
      <c r="Y1714" t="s">
        <v>20200</v>
      </c>
    </row>
    <row r="1715" spans="1:25" x14ac:dyDescent="0.3">
      <c r="A1715">
        <v>85700</v>
      </c>
      <c r="B1715" t="s">
        <v>20201</v>
      </c>
      <c r="C1715" t="s">
        <v>20202</v>
      </c>
      <c r="D1715" t="s">
        <v>20203</v>
      </c>
      <c r="E1715" t="s">
        <v>20204</v>
      </c>
      <c r="F1715" t="s">
        <v>20205</v>
      </c>
      <c r="G1715" t="s">
        <v>20206</v>
      </c>
      <c r="H1715" t="s">
        <v>20207</v>
      </c>
      <c r="I1715" t="s">
        <v>20208</v>
      </c>
      <c r="J1715" t="s">
        <v>20209</v>
      </c>
      <c r="K1715" t="s">
        <v>20210</v>
      </c>
      <c r="L1715" t="s">
        <v>20211</v>
      </c>
      <c r="M1715" t="s">
        <v>20212</v>
      </c>
      <c r="N1715" t="s">
        <v>20213</v>
      </c>
      <c r="O1715">
        <f>-703.886141063074 -113.446184870098 -516.665126064734</f>
        <v>-1333.997451997906</v>
      </c>
      <c r="P1715">
        <f>-718.248120821105 -113.085153997011 -222.75233270138</f>
        <v>-1054.0856075194961</v>
      </c>
      <c r="Q1715">
        <f>-521.348738033091 -11.0451215771855 -316.929572301933</f>
        <v>-849.32343191220934</v>
      </c>
      <c r="R1715" t="s">
        <v>20214</v>
      </c>
      <c r="S1715" t="s">
        <v>20215</v>
      </c>
      <c r="T1715" t="s">
        <v>20216</v>
      </c>
      <c r="U1715" t="s">
        <v>20217</v>
      </c>
      <c r="V1715">
        <f>-684.238262118726 -16.3863816547844 -93.2390443938134</f>
        <v>-793.86368816732374</v>
      </c>
      <c r="W1715" t="s">
        <v>20218</v>
      </c>
      <c r="X1715" t="s">
        <v>20219</v>
      </c>
      <c r="Y1715" t="s">
        <v>20220</v>
      </c>
    </row>
    <row r="1716" spans="1:25" x14ac:dyDescent="0.3">
      <c r="A1716">
        <v>85750</v>
      </c>
      <c r="B1716" t="s">
        <v>20221</v>
      </c>
      <c r="C1716" t="s">
        <v>20222</v>
      </c>
      <c r="D1716" t="s">
        <v>20223</v>
      </c>
      <c r="E1716" t="s">
        <v>20224</v>
      </c>
      <c r="F1716" t="s">
        <v>20225</v>
      </c>
      <c r="G1716" t="s">
        <v>20226</v>
      </c>
      <c r="H1716" t="s">
        <v>20227</v>
      </c>
      <c r="I1716" t="s">
        <v>20228</v>
      </c>
      <c r="J1716" t="s">
        <v>20229</v>
      </c>
      <c r="K1716" t="s">
        <v>20230</v>
      </c>
      <c r="L1716" t="s">
        <v>20231</v>
      </c>
      <c r="M1716" t="s">
        <v>20232</v>
      </c>
      <c r="N1716" t="s">
        <v>20233</v>
      </c>
      <c r="O1716">
        <f>-704.736173408704 -113.723191253363 -516.523707874347</f>
        <v>-1334.9830725364141</v>
      </c>
      <c r="P1716">
        <f>-718.851787486515 -113.146886789207 -222.599120398724</f>
        <v>-1054.597794674446</v>
      </c>
      <c r="Q1716">
        <f>-522.457736978297 -10.8725319733664 -317.573872941212</f>
        <v>-850.90414189287549</v>
      </c>
      <c r="R1716" t="s">
        <v>20234</v>
      </c>
      <c r="S1716" t="s">
        <v>20235</v>
      </c>
      <c r="T1716" t="s">
        <v>20236</v>
      </c>
      <c r="U1716" t="s">
        <v>20237</v>
      </c>
      <c r="V1716">
        <f>-684.769250076605 -16.356171927617 -93.3160404234346</f>
        <v>-794.44146242765657</v>
      </c>
      <c r="W1716" t="s">
        <v>20238</v>
      </c>
      <c r="X1716" t="s">
        <v>20239</v>
      </c>
      <c r="Y1716" t="s">
        <v>20240</v>
      </c>
    </row>
    <row r="1717" spans="1:25" x14ac:dyDescent="0.3">
      <c r="A1717">
        <v>85800</v>
      </c>
      <c r="B1717" t="s">
        <v>20241</v>
      </c>
      <c r="C1717" t="s">
        <v>20242</v>
      </c>
      <c r="D1717" t="s">
        <v>20243</v>
      </c>
      <c r="E1717" t="s">
        <v>20244</v>
      </c>
      <c r="F1717" t="s">
        <v>20245</v>
      </c>
      <c r="G1717" t="s">
        <v>20246</v>
      </c>
      <c r="H1717" t="s">
        <v>20247</v>
      </c>
      <c r="I1717" t="s">
        <v>20248</v>
      </c>
      <c r="J1717" t="s">
        <v>20249</v>
      </c>
      <c r="K1717" t="s">
        <v>20250</v>
      </c>
      <c r="L1717" t="s">
        <v>20251</v>
      </c>
      <c r="M1717" t="s">
        <v>20252</v>
      </c>
      <c r="N1717" t="s">
        <v>20253</v>
      </c>
      <c r="O1717">
        <f>-706.920942302515 -113.860862350944 -516.287002987592</f>
        <v>-1337.0688076410511</v>
      </c>
      <c r="P1717">
        <f>-720.492766449551 -112.665221271115 -222.338744565707</f>
        <v>-1055.4967322863731</v>
      </c>
      <c r="Q1717">
        <f>-524.733141179689 -10.2138537989424 -318.425825707098</f>
        <v>-853.37282068572949</v>
      </c>
      <c r="R1717" t="s">
        <v>20254</v>
      </c>
      <c r="S1717" t="s">
        <v>20255</v>
      </c>
      <c r="T1717" t="s">
        <v>20256</v>
      </c>
      <c r="U1717" t="s">
        <v>20257</v>
      </c>
      <c r="V1717">
        <f>-685.61704332226 -15.7956621151839 -93.4217921410054</f>
        <v>-794.83449757844926</v>
      </c>
      <c r="W1717" t="s">
        <v>20258</v>
      </c>
      <c r="X1717" t="s">
        <v>20259</v>
      </c>
      <c r="Y1717" t="s">
        <v>20260</v>
      </c>
    </row>
    <row r="1718" spans="1:25" x14ac:dyDescent="0.3">
      <c r="A1718">
        <v>85850</v>
      </c>
      <c r="B1718" t="s">
        <v>20261</v>
      </c>
      <c r="C1718" t="s">
        <v>20262</v>
      </c>
      <c r="D1718" t="s">
        <v>20263</v>
      </c>
      <c r="E1718" t="s">
        <v>20264</v>
      </c>
      <c r="F1718" t="s">
        <v>20265</v>
      </c>
      <c r="G1718" t="s">
        <v>20266</v>
      </c>
      <c r="H1718" t="s">
        <v>20267</v>
      </c>
      <c r="I1718" t="s">
        <v>20268</v>
      </c>
      <c r="J1718" t="s">
        <v>20269</v>
      </c>
      <c r="K1718" t="s">
        <v>20270</v>
      </c>
      <c r="L1718" t="s">
        <v>20271</v>
      </c>
      <c r="M1718" t="s">
        <v>20272</v>
      </c>
      <c r="N1718" t="s">
        <v>20273</v>
      </c>
      <c r="O1718">
        <f>-708.07040406842 -113.893566823157 -516.099788707838</f>
        <v>-1338.0637595994149</v>
      </c>
      <c r="P1718">
        <f>-721.386494904619 -112.4564998598 -222.14082411825</f>
        <v>-1055.9838188826691</v>
      </c>
      <c r="Q1718">
        <f>-525.813725395093 -10.1015643981439 -318.709945834543</f>
        <v>-854.62523562777983</v>
      </c>
      <c r="R1718" t="s">
        <v>20274</v>
      </c>
      <c r="S1718" t="s">
        <v>20275</v>
      </c>
      <c r="T1718" t="s">
        <v>20276</v>
      </c>
      <c r="U1718" t="s">
        <v>20277</v>
      </c>
      <c r="V1718">
        <f>-686.008430430302 -15.5068380819794 -93.4661775708474</f>
        <v>-794.98144608312884</v>
      </c>
      <c r="W1718" t="s">
        <v>20278</v>
      </c>
      <c r="X1718" t="s">
        <v>20279</v>
      </c>
      <c r="Y1718" t="s">
        <v>20280</v>
      </c>
    </row>
    <row r="1719" spans="1:25" x14ac:dyDescent="0.3">
      <c r="A1719">
        <v>85900</v>
      </c>
      <c r="B1719" t="s">
        <v>20281</v>
      </c>
      <c r="C1719" t="s">
        <v>20282</v>
      </c>
      <c r="D1719" t="s">
        <v>20283</v>
      </c>
      <c r="E1719" t="s">
        <v>20284</v>
      </c>
      <c r="F1719" t="s">
        <v>20285</v>
      </c>
      <c r="G1719" t="s">
        <v>20286</v>
      </c>
      <c r="H1719" t="s">
        <v>20287</v>
      </c>
      <c r="I1719" t="s">
        <v>20288</v>
      </c>
      <c r="J1719" t="s">
        <v>20289</v>
      </c>
      <c r="K1719" t="s">
        <v>20290</v>
      </c>
      <c r="L1719" t="s">
        <v>20291</v>
      </c>
      <c r="M1719" t="s">
        <v>20292</v>
      </c>
      <c r="N1719" t="s">
        <v>20293</v>
      </c>
      <c r="O1719">
        <f>-710.419010060249 -113.965735488563 -515.627546890515</f>
        <v>-1340.012292439327</v>
      </c>
      <c r="P1719">
        <f>-723.063390661621 -111.721861054577 -221.644061110636</f>
        <v>-1056.4293128268339</v>
      </c>
      <c r="Q1719">
        <f>-527.316480391896 -10.2830976790117 -318.82527965506</f>
        <v>-856.42485772596774</v>
      </c>
      <c r="R1719" t="s">
        <v>20294</v>
      </c>
      <c r="S1719" t="s">
        <v>20295</v>
      </c>
      <c r="T1719" t="s">
        <v>20296</v>
      </c>
      <c r="U1719" t="s">
        <v>20297</v>
      </c>
      <c r="V1719">
        <f>-687.045326338344 -15.1794849820515 -93.4467343118156</f>
        <v>-795.67154563221106</v>
      </c>
      <c r="W1719" t="s">
        <v>20298</v>
      </c>
      <c r="X1719" t="s">
        <v>20299</v>
      </c>
      <c r="Y1719" t="s">
        <v>20300</v>
      </c>
    </row>
    <row r="1720" spans="1:25" x14ac:dyDescent="0.3">
      <c r="A1720">
        <v>85950</v>
      </c>
      <c r="B1720" t="s">
        <v>20301</v>
      </c>
      <c r="C1720" t="s">
        <v>20302</v>
      </c>
      <c r="D1720" t="s">
        <v>20303</v>
      </c>
      <c r="E1720" t="s">
        <v>20304</v>
      </c>
      <c r="F1720" t="s">
        <v>20305</v>
      </c>
      <c r="G1720" t="s">
        <v>20306</v>
      </c>
      <c r="H1720" t="s">
        <v>20307</v>
      </c>
      <c r="I1720" t="s">
        <v>20308</v>
      </c>
      <c r="J1720" t="s">
        <v>20309</v>
      </c>
      <c r="K1720" t="s">
        <v>20310</v>
      </c>
      <c r="L1720" t="s">
        <v>20311</v>
      </c>
      <c r="M1720" t="s">
        <v>20312</v>
      </c>
      <c r="N1720" t="s">
        <v>20313</v>
      </c>
      <c r="O1720">
        <f>-711.653054906552 -113.930694727485 -515.459068588909</f>
        <v>-1341.0428182229462</v>
      </c>
      <c r="P1720">
        <f>-723.902714633432 -111.39789048485 -221.461240575496</f>
        <v>-1056.761845693778</v>
      </c>
      <c r="Q1720">
        <f>-527.856761401678 -10.5289254688653 -318.632889329255</f>
        <v>-857.0185761997983</v>
      </c>
      <c r="R1720" t="s">
        <v>20314</v>
      </c>
      <c r="S1720" t="s">
        <v>20315</v>
      </c>
      <c r="T1720" t="s">
        <v>20316</v>
      </c>
      <c r="U1720" t="s">
        <v>20317</v>
      </c>
      <c r="V1720">
        <f>-687.529384849147 -15.0874379634572 -93.4434911164335</f>
        <v>-796.06031392903776</v>
      </c>
      <c r="W1720" t="s">
        <v>20318</v>
      </c>
      <c r="X1720" t="s">
        <v>20319</v>
      </c>
      <c r="Y1720" t="s">
        <v>20320</v>
      </c>
    </row>
    <row r="1721" spans="1:25" x14ac:dyDescent="0.3">
      <c r="A1721">
        <v>86000</v>
      </c>
      <c r="B1721" t="s">
        <v>20321</v>
      </c>
      <c r="C1721" t="s">
        <v>20322</v>
      </c>
      <c r="D1721" t="s">
        <v>20323</v>
      </c>
      <c r="E1721" t="s">
        <v>20324</v>
      </c>
      <c r="F1721" t="s">
        <v>20325</v>
      </c>
      <c r="G1721" t="s">
        <v>20326</v>
      </c>
      <c r="H1721" t="s">
        <v>20327</v>
      </c>
      <c r="I1721" t="s">
        <v>20328</v>
      </c>
      <c r="J1721" t="s">
        <v>20329</v>
      </c>
      <c r="K1721" t="s">
        <v>20330</v>
      </c>
      <c r="L1721" t="s">
        <v>20331</v>
      </c>
      <c r="M1721" t="s">
        <v>20332</v>
      </c>
      <c r="N1721" t="s">
        <v>20333</v>
      </c>
      <c r="O1721">
        <f>-713.976794499889 -113.465809279343 -515.36844944845</f>
        <v>-1342.8110532276819</v>
      </c>
      <c r="P1721">
        <f>-725.606815980861 -110.95012238127 -221.345304238017</f>
        <v>-1057.9022426001482</v>
      </c>
      <c r="Q1721">
        <f>-529.206891919764 -10.4227895972074 -318.155659948342</f>
        <v>-857.78534146531342</v>
      </c>
      <c r="R1721" t="s">
        <v>20334</v>
      </c>
      <c r="S1721" t="s">
        <v>20335</v>
      </c>
      <c r="T1721" t="s">
        <v>20336</v>
      </c>
      <c r="U1721" t="s">
        <v>20337</v>
      </c>
      <c r="V1721">
        <f>-688.501795752663 -14.68834104757 -93.4049603091668</f>
        <v>-796.59509710939983</v>
      </c>
      <c r="W1721" t="s">
        <v>20338</v>
      </c>
      <c r="X1721" t="s">
        <v>20339</v>
      </c>
      <c r="Y1721" t="s">
        <v>20340</v>
      </c>
    </row>
    <row r="1722" spans="1:25" x14ac:dyDescent="0.3">
      <c r="A1722">
        <v>86050</v>
      </c>
      <c r="B1722" t="s">
        <v>20341</v>
      </c>
      <c r="C1722" t="s">
        <v>20342</v>
      </c>
      <c r="D1722" t="s">
        <v>20343</v>
      </c>
      <c r="E1722" t="s">
        <v>20344</v>
      </c>
      <c r="F1722" t="s">
        <v>20345</v>
      </c>
      <c r="G1722" t="s">
        <v>20346</v>
      </c>
      <c r="H1722" t="s">
        <v>20347</v>
      </c>
      <c r="I1722" t="s">
        <v>20348</v>
      </c>
      <c r="J1722" t="s">
        <v>20349</v>
      </c>
      <c r="K1722" t="s">
        <v>20350</v>
      </c>
      <c r="L1722" t="s">
        <v>20351</v>
      </c>
      <c r="M1722" t="s">
        <v>20352</v>
      </c>
      <c r="N1722" t="s">
        <v>20353</v>
      </c>
      <c r="O1722">
        <f>-715.039701805892 -113.345851962483 -515.362705464562</f>
        <v>-1343.748259232937</v>
      </c>
      <c r="P1722">
        <f>-726.342929959716 -110.790483891654 -221.327145152979</f>
        <v>-1058.4605590043491</v>
      </c>
      <c r="Q1722">
        <f>-529.844912345562 -10.3273543418409 -318.00483969665</f>
        <v>-858.17710638405288</v>
      </c>
      <c r="R1722" t="s">
        <v>20354</v>
      </c>
      <c r="S1722" t="s">
        <v>20355</v>
      </c>
      <c r="T1722" t="s">
        <v>20356</v>
      </c>
      <c r="U1722" t="s">
        <v>20357</v>
      </c>
      <c r="V1722">
        <f>-688.854661599104 -14.5348103736719 -93.4133615051951</f>
        <v>-796.80283347797103</v>
      </c>
      <c r="W1722" t="s">
        <v>20358</v>
      </c>
      <c r="X1722" t="s">
        <v>20359</v>
      </c>
      <c r="Y1722" t="s">
        <v>20360</v>
      </c>
    </row>
    <row r="1723" spans="1:25" x14ac:dyDescent="0.3">
      <c r="A1723">
        <v>86100</v>
      </c>
      <c r="B1723" t="s">
        <v>20361</v>
      </c>
      <c r="C1723" t="s">
        <v>20362</v>
      </c>
      <c r="D1723" t="s">
        <v>20363</v>
      </c>
      <c r="E1723" t="s">
        <v>20364</v>
      </c>
      <c r="F1723" t="s">
        <v>20365</v>
      </c>
      <c r="G1723" t="s">
        <v>20366</v>
      </c>
      <c r="H1723" t="s">
        <v>20367</v>
      </c>
      <c r="I1723" t="s">
        <v>20368</v>
      </c>
      <c r="J1723" t="s">
        <v>20369</v>
      </c>
      <c r="K1723" t="s">
        <v>20370</v>
      </c>
      <c r="L1723" t="s">
        <v>20371</v>
      </c>
      <c r="M1723" t="s">
        <v>20372</v>
      </c>
      <c r="N1723" t="s">
        <v>20373</v>
      </c>
      <c r="O1723">
        <f>-717.077044302262 -113.58735126262 -515.316287606278</f>
        <v>-1345.9806831711601</v>
      </c>
      <c r="P1723">
        <f>-727.410398137099 -110.889746879159 -221.246246888974</f>
        <v>-1059.546391905232</v>
      </c>
      <c r="Q1723">
        <f>-531.256893604681 -10.0065746085504 -318.185824402045</f>
        <v>-859.44929261527636</v>
      </c>
      <c r="R1723" t="s">
        <v>20374</v>
      </c>
      <c r="S1723" t="s">
        <v>20375</v>
      </c>
      <c r="T1723" t="s">
        <v>20376</v>
      </c>
      <c r="U1723" t="s">
        <v>20377</v>
      </c>
      <c r="V1723">
        <f>-689.632752200201 -14.991587372361 -93.4251164310344</f>
        <v>-798.04945600359645</v>
      </c>
      <c r="W1723" t="s">
        <v>20378</v>
      </c>
      <c r="X1723" t="s">
        <v>20379</v>
      </c>
      <c r="Y1723" t="s">
        <v>20380</v>
      </c>
    </row>
    <row r="1724" spans="1:25" x14ac:dyDescent="0.3">
      <c r="A1724">
        <v>86150</v>
      </c>
      <c r="B1724" t="s">
        <v>20381</v>
      </c>
      <c r="C1724" t="s">
        <v>20382</v>
      </c>
      <c r="D1724" t="s">
        <v>20383</v>
      </c>
      <c r="E1724" t="s">
        <v>20384</v>
      </c>
      <c r="F1724" t="s">
        <v>20385</v>
      </c>
      <c r="G1724" t="s">
        <v>20386</v>
      </c>
      <c r="H1724" t="s">
        <v>20387</v>
      </c>
      <c r="I1724" t="s">
        <v>20388</v>
      </c>
      <c r="J1724" t="s">
        <v>20389</v>
      </c>
      <c r="K1724" t="s">
        <v>20390</v>
      </c>
      <c r="L1724" t="s">
        <v>20391</v>
      </c>
      <c r="M1724" t="s">
        <v>20392</v>
      </c>
      <c r="N1724" t="s">
        <v>20393</v>
      </c>
      <c r="O1724">
        <f>-717.804442644666 -113.71653851708 -515.334023417919</f>
        <v>-1346.8550045796651</v>
      </c>
      <c r="P1724">
        <f>-727.704068673062 -110.940975840924 -221.249762982849</f>
        <v>-1059.894807496835</v>
      </c>
      <c r="Q1724">
        <f>-531.920401497122 -9.58403536752758 -318.442364361856</f>
        <v>-859.94680122650561</v>
      </c>
      <c r="R1724" t="s">
        <v>20394</v>
      </c>
      <c r="S1724" t="s">
        <v>20395</v>
      </c>
      <c r="T1724" t="s">
        <v>20396</v>
      </c>
      <c r="U1724" t="s">
        <v>20397</v>
      </c>
      <c r="V1724">
        <f>-689.910872605496 -15.1164438474332 -93.4381915075307</f>
        <v>-798.46550796045995</v>
      </c>
      <c r="W1724" t="s">
        <v>20398</v>
      </c>
      <c r="X1724" t="s">
        <v>20399</v>
      </c>
      <c r="Y1724" t="s">
        <v>20400</v>
      </c>
    </row>
    <row r="1725" spans="1:25" x14ac:dyDescent="0.3">
      <c r="A1725">
        <v>86200</v>
      </c>
      <c r="B1725" t="s">
        <v>20401</v>
      </c>
      <c r="C1725" t="s">
        <v>20402</v>
      </c>
      <c r="D1725" t="s">
        <v>20403</v>
      </c>
      <c r="E1725" t="s">
        <v>20404</v>
      </c>
      <c r="F1725" t="s">
        <v>20405</v>
      </c>
      <c r="G1725" t="s">
        <v>20406</v>
      </c>
      <c r="H1725" t="s">
        <v>20407</v>
      </c>
      <c r="I1725" t="s">
        <v>20408</v>
      </c>
      <c r="J1725" t="s">
        <v>20409</v>
      </c>
      <c r="K1725" t="s">
        <v>20410</v>
      </c>
      <c r="L1725" t="s">
        <v>20411</v>
      </c>
      <c r="M1725" t="s">
        <v>20412</v>
      </c>
      <c r="N1725" t="s">
        <v>20413</v>
      </c>
      <c r="O1725">
        <f>-718.876429334126 -113.919301762301 -515.424548747719</f>
        <v>-1348.2202798441458</v>
      </c>
      <c r="P1725">
        <f>-727.685620540853 -111.526903198188 -221.302203833614</f>
        <v>-1060.5147275726549</v>
      </c>
      <c r="Q1725">
        <f>-532.87663783009 -8.74099622626545 -318.951489450125</f>
        <v>-860.56912350648042</v>
      </c>
      <c r="R1725" t="s">
        <v>20414</v>
      </c>
      <c r="S1725" t="s">
        <v>20415</v>
      </c>
      <c r="T1725" t="s">
        <v>20416</v>
      </c>
      <c r="U1725" t="s">
        <v>20417</v>
      </c>
      <c r="V1725">
        <f>-690.561385842119 -15.4791323511888 -93.4365413193624</f>
        <v>-799.47705951267017</v>
      </c>
      <c r="W1725" t="s">
        <v>20418</v>
      </c>
      <c r="X1725" t="s">
        <v>20419</v>
      </c>
      <c r="Y1725" t="s">
        <v>20420</v>
      </c>
    </row>
    <row r="1726" spans="1:25" x14ac:dyDescent="0.3">
      <c r="A1726">
        <v>86250</v>
      </c>
      <c r="B1726" t="s">
        <v>20421</v>
      </c>
      <c r="C1726" t="s">
        <v>20422</v>
      </c>
      <c r="D1726" t="s">
        <v>20423</v>
      </c>
      <c r="E1726" t="s">
        <v>20424</v>
      </c>
      <c r="F1726" t="s">
        <v>20425</v>
      </c>
      <c r="G1726" t="s">
        <v>20426</v>
      </c>
      <c r="H1726" t="s">
        <v>20427</v>
      </c>
      <c r="I1726" t="s">
        <v>20428</v>
      </c>
      <c r="J1726" t="s">
        <v>20429</v>
      </c>
      <c r="K1726" t="s">
        <v>20430</v>
      </c>
      <c r="L1726" t="s">
        <v>20431</v>
      </c>
      <c r="M1726" t="s">
        <v>20432</v>
      </c>
      <c r="N1726" t="s">
        <v>20433</v>
      </c>
      <c r="O1726">
        <f>-719.500840096633 -114.076735230472 -515.52070160458</f>
        <v>-1349.0982769316852</v>
      </c>
      <c r="P1726">
        <f>-727.803586211116 -111.849896227843 -221.38244362303</f>
        <v>-1061.0359260619891</v>
      </c>
      <c r="Q1726">
        <f>-533.413626225958 -8.55675415718838 -319.331257737175</f>
        <v>-861.30163812032129</v>
      </c>
      <c r="R1726" t="s">
        <v>20434</v>
      </c>
      <c r="S1726" t="s">
        <v>20435</v>
      </c>
      <c r="T1726" t="s">
        <v>20436</v>
      </c>
      <c r="U1726" t="s">
        <v>20437</v>
      </c>
      <c r="V1726">
        <f>-690.77373812749 -15.6625231310557 -93.4719894294709</f>
        <v>-799.90825068801655</v>
      </c>
      <c r="W1726" t="s">
        <v>20438</v>
      </c>
      <c r="X1726" t="s">
        <v>20439</v>
      </c>
      <c r="Y1726" t="s">
        <v>20440</v>
      </c>
    </row>
    <row r="1727" spans="1:25" x14ac:dyDescent="0.3">
      <c r="A1727">
        <v>86300</v>
      </c>
      <c r="B1727" t="s">
        <v>20441</v>
      </c>
      <c r="C1727" t="s">
        <v>20442</v>
      </c>
      <c r="D1727" t="s">
        <v>20443</v>
      </c>
      <c r="E1727" t="s">
        <v>20444</v>
      </c>
      <c r="F1727" t="s">
        <v>20445</v>
      </c>
      <c r="G1727" t="s">
        <v>20446</v>
      </c>
      <c r="H1727" t="s">
        <v>20447</v>
      </c>
      <c r="I1727" t="s">
        <v>20448</v>
      </c>
      <c r="J1727" t="s">
        <v>20449</v>
      </c>
      <c r="K1727" t="s">
        <v>20450</v>
      </c>
      <c r="L1727" t="s">
        <v>20451</v>
      </c>
      <c r="M1727" t="s">
        <v>20452</v>
      </c>
      <c r="N1727" t="s">
        <v>20453</v>
      </c>
      <c r="O1727">
        <f>-721.022039583251 -114.562077069385 -515.660107936403</f>
        <v>-1351.2442245890388</v>
      </c>
      <c r="P1727">
        <f>-728.35826664181 -112.561674009835 -221.494502298782</f>
        <v>-1062.414442950427</v>
      </c>
      <c r="Q1727">
        <f>-534.756247013345 -8.4270517739767 -320.110399664733</f>
        <v>-863.29369845205474</v>
      </c>
      <c r="R1727" t="s">
        <v>20454</v>
      </c>
      <c r="S1727" t="s">
        <v>20455</v>
      </c>
      <c r="T1727" t="s">
        <v>20456</v>
      </c>
      <c r="U1727" t="s">
        <v>20457</v>
      </c>
      <c r="V1727">
        <f>-691.511359920912 -16.3382730195256 -93.4970403677752</f>
        <v>-801.34667330821276</v>
      </c>
      <c r="W1727" t="s">
        <v>20458</v>
      </c>
      <c r="X1727" t="s">
        <v>20459</v>
      </c>
      <c r="Y1727" t="s">
        <v>20460</v>
      </c>
    </row>
    <row r="1728" spans="1:25" x14ac:dyDescent="0.3">
      <c r="A1728">
        <v>86350</v>
      </c>
      <c r="B1728" t="s">
        <v>20461</v>
      </c>
      <c r="C1728" t="s">
        <v>20462</v>
      </c>
      <c r="D1728" t="s">
        <v>20463</v>
      </c>
      <c r="E1728" t="s">
        <v>20464</v>
      </c>
      <c r="F1728" t="s">
        <v>20465</v>
      </c>
      <c r="G1728" t="s">
        <v>20466</v>
      </c>
      <c r="H1728" t="s">
        <v>20467</v>
      </c>
      <c r="I1728" t="s">
        <v>20468</v>
      </c>
      <c r="J1728" t="s">
        <v>20469</v>
      </c>
      <c r="K1728" t="s">
        <v>20470</v>
      </c>
      <c r="L1728" t="s">
        <v>20471</v>
      </c>
      <c r="M1728" t="s">
        <v>20472</v>
      </c>
      <c r="N1728" t="s">
        <v>20473</v>
      </c>
      <c r="O1728">
        <f>-721.607574610342 -114.818166811176 -515.751911899224</f>
        <v>-1352.1776533207419</v>
      </c>
      <c r="P1728">
        <f>-728.580596109192 -112.896215255198 -221.577044680038</f>
        <v>-1063.0538560444279</v>
      </c>
      <c r="Q1728">
        <f>-535.428052582111 -8.2193516080149 -320.499958421513</f>
        <v>-864.14736261163898</v>
      </c>
      <c r="R1728" t="s">
        <v>20474</v>
      </c>
      <c r="S1728" t="s">
        <v>20475</v>
      </c>
      <c r="T1728" t="s">
        <v>20476</v>
      </c>
      <c r="U1728" t="s">
        <v>20477</v>
      </c>
      <c r="V1728">
        <f>-691.767025358394 -16.6240791695436 -93.5145461716589</f>
        <v>-801.90565069959655</v>
      </c>
      <c r="W1728" t="s">
        <v>20478</v>
      </c>
      <c r="X1728" t="s">
        <v>20479</v>
      </c>
      <c r="Y1728" t="s">
        <v>20480</v>
      </c>
    </row>
    <row r="1729" spans="1:25" x14ac:dyDescent="0.3">
      <c r="A1729">
        <v>86400</v>
      </c>
      <c r="B1729" t="s">
        <v>20481</v>
      </c>
      <c r="C1729" t="s">
        <v>20482</v>
      </c>
      <c r="D1729" t="s">
        <v>20483</v>
      </c>
      <c r="E1729" t="s">
        <v>20484</v>
      </c>
      <c r="F1729" t="s">
        <v>20485</v>
      </c>
      <c r="G1729" t="s">
        <v>20486</v>
      </c>
      <c r="H1729" t="s">
        <v>20487</v>
      </c>
      <c r="I1729" t="s">
        <v>20488</v>
      </c>
      <c r="J1729" t="s">
        <v>20489</v>
      </c>
      <c r="K1729" t="s">
        <v>20490</v>
      </c>
      <c r="L1729" t="s">
        <v>20491</v>
      </c>
      <c r="M1729" t="s">
        <v>20492</v>
      </c>
      <c r="N1729" t="s">
        <v>20493</v>
      </c>
      <c r="O1729">
        <f>-722.752234049364 -115.397090253264 -515.923206099839</f>
        <v>-1354.072530402467</v>
      </c>
      <c r="P1729">
        <f>-728.960169965865 -113.800495381143 -221.729254034051</f>
        <v>-1064.4899193810591</v>
      </c>
      <c r="Q1729">
        <f>-536.814421860916 -7.39410645103908 -320.76770624484</f>
        <v>-864.97623455679513</v>
      </c>
      <c r="R1729" t="s">
        <v>20494</v>
      </c>
      <c r="S1729" t="s">
        <v>20495</v>
      </c>
      <c r="T1729" t="s">
        <v>20496</v>
      </c>
      <c r="U1729" t="s">
        <v>20497</v>
      </c>
      <c r="V1729">
        <f>-692.546362359739 -17.4293335432887 -93.5542215194486</f>
        <v>-803.52991742247627</v>
      </c>
      <c r="W1729" t="s">
        <v>20498</v>
      </c>
      <c r="X1729" t="s">
        <v>20499</v>
      </c>
      <c r="Y1729" t="s">
        <v>20500</v>
      </c>
    </row>
    <row r="1730" spans="1:25" x14ac:dyDescent="0.3">
      <c r="A1730">
        <v>86450</v>
      </c>
      <c r="B1730" t="s">
        <v>20501</v>
      </c>
      <c r="C1730" t="s">
        <v>20502</v>
      </c>
      <c r="D1730" t="s">
        <v>20503</v>
      </c>
      <c r="E1730" t="s">
        <v>20504</v>
      </c>
      <c r="F1730" t="s">
        <v>20505</v>
      </c>
      <c r="G1730" t="s">
        <v>20506</v>
      </c>
      <c r="H1730" t="s">
        <v>20507</v>
      </c>
      <c r="I1730" t="s">
        <v>20508</v>
      </c>
      <c r="J1730" t="s">
        <v>20509</v>
      </c>
      <c r="K1730" t="s">
        <v>20510</v>
      </c>
      <c r="L1730" t="s">
        <v>20511</v>
      </c>
      <c r="M1730" t="s">
        <v>20512</v>
      </c>
      <c r="N1730" t="s">
        <v>20513</v>
      </c>
      <c r="O1730">
        <f>-723.329982377346 -115.674860184008 -515.998624975001</f>
        <v>-1355.0034675363549</v>
      </c>
      <c r="P1730">
        <f>-729.097374854907 -114.182272705503 -221.795046206059</f>
        <v>-1065.074693766469</v>
      </c>
      <c r="Q1730">
        <f>-537.441877123611 -6.96078795398034 -320.904076684044</f>
        <v>-865.30674176163529</v>
      </c>
      <c r="R1730" t="s">
        <v>20514</v>
      </c>
      <c r="S1730" t="s">
        <v>20515</v>
      </c>
      <c r="T1730" t="s">
        <v>20516</v>
      </c>
      <c r="U1730" t="s">
        <v>20517</v>
      </c>
      <c r="V1730">
        <f>-692.807741054765 -17.6858068114032 -93.6010785218322</f>
        <v>-804.09462638800028</v>
      </c>
      <c r="W1730" t="s">
        <v>20518</v>
      </c>
      <c r="X1730" t="s">
        <v>20519</v>
      </c>
      <c r="Y1730" t="s">
        <v>20520</v>
      </c>
    </row>
    <row r="1731" spans="1:25" x14ac:dyDescent="0.3">
      <c r="A1731">
        <v>86500</v>
      </c>
      <c r="B1731" t="s">
        <v>20521</v>
      </c>
      <c r="C1731" t="s">
        <v>20522</v>
      </c>
      <c r="D1731" t="s">
        <v>20523</v>
      </c>
      <c r="E1731" t="s">
        <v>20524</v>
      </c>
      <c r="F1731" t="s">
        <v>20525</v>
      </c>
      <c r="G1731" t="s">
        <v>20526</v>
      </c>
      <c r="H1731" t="s">
        <v>20527</v>
      </c>
      <c r="I1731" t="s">
        <v>20528</v>
      </c>
      <c r="J1731" t="s">
        <v>20529</v>
      </c>
      <c r="K1731" t="s">
        <v>20530</v>
      </c>
      <c r="L1731" t="s">
        <v>20531</v>
      </c>
      <c r="M1731" t="s">
        <v>20532</v>
      </c>
      <c r="N1731" t="s">
        <v>20533</v>
      </c>
      <c r="O1731">
        <f>-724.837125434738 -116.459096968602 -516.106545194037</f>
        <v>-1357.4027675973771</v>
      </c>
      <c r="P1731">
        <f>-729.742681824649 -115.01939491589 -221.887193941945</f>
        <v>-1066.649270682484</v>
      </c>
      <c r="Q1731">
        <f>-538.945167362673 -6.50884923233843 -321.248062373635</f>
        <v>-866.70207896864645</v>
      </c>
      <c r="R1731" t="s">
        <v>20534</v>
      </c>
      <c r="S1731" t="s">
        <v>20535</v>
      </c>
      <c r="T1731" t="s">
        <v>20536</v>
      </c>
      <c r="U1731" t="s">
        <v>20537</v>
      </c>
      <c r="V1731">
        <f>-693.814218880602 -18.385126417742 -93.6398627197545</f>
        <v>-805.83920801809847</v>
      </c>
      <c r="W1731" t="s">
        <v>20538</v>
      </c>
      <c r="X1731" t="s">
        <v>20539</v>
      </c>
      <c r="Y1731" t="s">
        <v>20540</v>
      </c>
    </row>
    <row r="1732" spans="1:25" x14ac:dyDescent="0.3">
      <c r="A1732">
        <v>86550</v>
      </c>
      <c r="B1732" t="s">
        <v>20541</v>
      </c>
      <c r="C1732" t="s">
        <v>20542</v>
      </c>
      <c r="D1732" t="s">
        <v>20543</v>
      </c>
      <c r="E1732" t="s">
        <v>20544</v>
      </c>
      <c r="F1732" t="s">
        <v>20545</v>
      </c>
      <c r="G1732" t="s">
        <v>20546</v>
      </c>
      <c r="H1732" t="s">
        <v>20547</v>
      </c>
      <c r="I1732" t="s">
        <v>20548</v>
      </c>
      <c r="J1732" t="s">
        <v>20549</v>
      </c>
      <c r="K1732" t="s">
        <v>20550</v>
      </c>
      <c r="L1732" t="s">
        <v>20551</v>
      </c>
      <c r="M1732" t="s">
        <v>20552</v>
      </c>
      <c r="N1732" t="s">
        <v>20553</v>
      </c>
      <c r="O1732">
        <f>-725.52903237108 -116.799837611837 -516.193054467942</f>
        <v>-1358.5219244508589</v>
      </c>
      <c r="P1732">
        <f>-730.100538721137 -115.411452729115 -221.967872893015</f>
        <v>-1067.4798643432671</v>
      </c>
      <c r="Q1732">
        <f>-539.629212614075 -6.47723147534543 -321.491286922191</f>
        <v>-867.59773101161136</v>
      </c>
      <c r="R1732" t="s">
        <v>20554</v>
      </c>
      <c r="S1732" t="s">
        <v>20555</v>
      </c>
      <c r="T1732" t="s">
        <v>20556</v>
      </c>
      <c r="U1732" t="s">
        <v>20557</v>
      </c>
      <c r="V1732">
        <f>-694.241975620371 -18.7262160048385 -93.6543430672942</f>
        <v>-806.62253469250379</v>
      </c>
      <c r="W1732" t="s">
        <v>20558</v>
      </c>
      <c r="X1732" t="s">
        <v>20559</v>
      </c>
      <c r="Y1732" t="s">
        <v>20560</v>
      </c>
    </row>
    <row r="1733" spans="1:25" x14ac:dyDescent="0.3">
      <c r="A1733">
        <v>86600</v>
      </c>
      <c r="B1733" t="s">
        <v>20561</v>
      </c>
      <c r="C1733" t="s">
        <v>20562</v>
      </c>
      <c r="D1733" t="s">
        <v>20563</v>
      </c>
      <c r="E1733" t="s">
        <v>20564</v>
      </c>
      <c r="F1733" t="s">
        <v>20565</v>
      </c>
      <c r="G1733" t="s">
        <v>20566</v>
      </c>
      <c r="H1733" t="s">
        <v>20567</v>
      </c>
      <c r="I1733" t="s">
        <v>20568</v>
      </c>
      <c r="J1733" t="s">
        <v>20569</v>
      </c>
      <c r="K1733" t="s">
        <v>20570</v>
      </c>
      <c r="L1733" t="s">
        <v>20571</v>
      </c>
      <c r="M1733" t="s">
        <v>20572</v>
      </c>
      <c r="N1733" t="s">
        <v>20573</v>
      </c>
      <c r="O1733">
        <f>-726.930156731545 -117.673409222878 -516.314594317615</f>
        <v>-1360.9181602720382</v>
      </c>
      <c r="P1733">
        <f>-730.712249687939 -116.604418654896 -222.076943858032</f>
        <v>-1069.393612200867</v>
      </c>
      <c r="Q1733">
        <f>-540.938153271875 -6.918350126306 -322.10506644844</f>
        <v>-869.96156984662093</v>
      </c>
      <c r="R1733" t="s">
        <v>20574</v>
      </c>
      <c r="S1733" t="s">
        <v>20575</v>
      </c>
      <c r="T1733" t="s">
        <v>20576</v>
      </c>
      <c r="U1733" t="s">
        <v>20577</v>
      </c>
      <c r="V1733">
        <f>-695.442644819449 -19.7411454901821 -93.6865176883191</f>
        <v>-808.87030799795025</v>
      </c>
      <c r="W1733" t="s">
        <v>20578</v>
      </c>
      <c r="X1733" t="s">
        <v>20579</v>
      </c>
      <c r="Y1733" t="s">
        <v>20580</v>
      </c>
    </row>
    <row r="1734" spans="1:25" x14ac:dyDescent="0.3">
      <c r="A1734">
        <v>86650</v>
      </c>
      <c r="B1734" t="s">
        <v>20581</v>
      </c>
      <c r="C1734" t="s">
        <v>20582</v>
      </c>
      <c r="D1734" t="s">
        <v>20583</v>
      </c>
      <c r="E1734" t="s">
        <v>20584</v>
      </c>
      <c r="F1734" t="s">
        <v>20585</v>
      </c>
      <c r="G1734" t="s">
        <v>20586</v>
      </c>
      <c r="H1734" t="s">
        <v>20587</v>
      </c>
      <c r="I1734" t="s">
        <v>20588</v>
      </c>
      <c r="J1734" t="s">
        <v>20589</v>
      </c>
      <c r="K1734" t="s">
        <v>20590</v>
      </c>
      <c r="L1734" t="s">
        <v>20591</v>
      </c>
      <c r="M1734" t="s">
        <v>20592</v>
      </c>
      <c r="N1734" t="s">
        <v>20593</v>
      </c>
      <c r="O1734">
        <f>-727.642656412771 -118.026268125907 -516.350971370597</f>
        <v>-1362.019895909275</v>
      </c>
      <c r="P1734">
        <f>-731.093072709115 -117.046075426666 -222.108936293021</f>
        <v>-1070.248084428802</v>
      </c>
      <c r="Q1734">
        <f>-541.861215875553 -6.79537317547374 -322.54291306173</f>
        <v>-871.1995021127567</v>
      </c>
      <c r="R1734" t="s">
        <v>20594</v>
      </c>
      <c r="S1734" t="s">
        <v>20595</v>
      </c>
      <c r="T1734" t="s">
        <v>20596</v>
      </c>
      <c r="U1734" t="s">
        <v>20597</v>
      </c>
      <c r="V1734">
        <f>-696.073178045478 -20.0671805624982 -93.6716765221701</f>
        <v>-809.81203513014623</v>
      </c>
      <c r="W1734" t="s">
        <v>20598</v>
      </c>
      <c r="X1734" t="s">
        <v>20599</v>
      </c>
      <c r="Y1734" t="s">
        <v>20600</v>
      </c>
    </row>
    <row r="1735" spans="1:25" x14ac:dyDescent="0.3">
      <c r="A1735">
        <v>86700</v>
      </c>
      <c r="B1735" t="s">
        <v>20601</v>
      </c>
      <c r="C1735" t="s">
        <v>20602</v>
      </c>
      <c r="D1735" t="s">
        <v>20603</v>
      </c>
      <c r="E1735" t="s">
        <v>20604</v>
      </c>
      <c r="F1735" t="s">
        <v>20605</v>
      </c>
      <c r="G1735" t="s">
        <v>20606</v>
      </c>
      <c r="H1735" t="s">
        <v>20607</v>
      </c>
      <c r="I1735" t="s">
        <v>20608</v>
      </c>
      <c r="J1735" t="s">
        <v>20609</v>
      </c>
      <c r="K1735" t="s">
        <v>20610</v>
      </c>
      <c r="L1735" t="s">
        <v>20611</v>
      </c>
      <c r="M1735" t="s">
        <v>20612</v>
      </c>
      <c r="N1735" t="s">
        <v>20613</v>
      </c>
      <c r="O1735">
        <f>-729.180959212366 -118.711945824457 -516.452144879263</f>
        <v>-1364.3450499160858</v>
      </c>
      <c r="P1735">
        <f>-732.172734301536 -117.81082376346 -222.204900950785</f>
        <v>-1072.1884590157811</v>
      </c>
      <c r="Q1735">
        <f>-543.435264092574 -6.88443832254347 -322.825034715827</f>
        <v>-873.14473713094446</v>
      </c>
      <c r="R1735" t="s">
        <v>20614</v>
      </c>
      <c r="S1735" t="s">
        <v>20615</v>
      </c>
      <c r="T1735" t="s">
        <v>20616</v>
      </c>
      <c r="U1735" t="s">
        <v>20617</v>
      </c>
      <c r="V1735">
        <f>-697.256510378363 -20.7036562909911 -93.6785076538155</f>
        <v>-811.63867432316965</v>
      </c>
      <c r="W1735" t="s">
        <v>20618</v>
      </c>
      <c r="X1735" t="s">
        <v>20619</v>
      </c>
      <c r="Y1735" t="s">
        <v>20620</v>
      </c>
    </row>
    <row r="1736" spans="1:25" x14ac:dyDescent="0.3">
      <c r="A1736">
        <v>86750</v>
      </c>
      <c r="B1736" t="s">
        <v>20621</v>
      </c>
      <c r="C1736" t="s">
        <v>20622</v>
      </c>
      <c r="D1736" t="s">
        <v>20623</v>
      </c>
      <c r="E1736" t="s">
        <v>20624</v>
      </c>
      <c r="F1736" t="s">
        <v>20625</v>
      </c>
      <c r="G1736" t="s">
        <v>20626</v>
      </c>
      <c r="H1736" t="s">
        <v>20627</v>
      </c>
      <c r="I1736" t="s">
        <v>20628</v>
      </c>
      <c r="J1736" t="s">
        <v>20629</v>
      </c>
      <c r="K1736" t="s">
        <v>20630</v>
      </c>
      <c r="L1736" t="s">
        <v>20631</v>
      </c>
      <c r="M1736" t="s">
        <v>20632</v>
      </c>
      <c r="N1736" t="s">
        <v>20633</v>
      </c>
      <c r="O1736">
        <f>-729.996861313945 -119.157763254324 -516.501944095643</f>
        <v>-1365.6565686639119</v>
      </c>
      <c r="P1736">
        <f>-732.776703097136 -118.331992089049 -222.252324385394</f>
        <v>-1073.3610195715789</v>
      </c>
      <c r="Q1736">
        <f>-544.255913242348 -6.96616742551714 -322.792897838098</f>
        <v>-874.0149785059632</v>
      </c>
      <c r="R1736" t="s">
        <v>20634</v>
      </c>
      <c r="S1736" t="s">
        <v>20635</v>
      </c>
      <c r="T1736" t="s">
        <v>20636</v>
      </c>
      <c r="U1736" t="s">
        <v>20637</v>
      </c>
      <c r="V1736">
        <f>-697.90807819906 -21.2449319134635 -93.68107468193</f>
        <v>-812.83408479445347</v>
      </c>
      <c r="W1736" t="s">
        <v>20638</v>
      </c>
      <c r="X1736" t="s">
        <v>20639</v>
      </c>
      <c r="Y1736" t="s">
        <v>20640</v>
      </c>
    </row>
    <row r="1737" spans="1:25" x14ac:dyDescent="0.3">
      <c r="A1737">
        <v>86800</v>
      </c>
      <c r="B1737" t="s">
        <v>20641</v>
      </c>
      <c r="C1737" t="s">
        <v>20642</v>
      </c>
      <c r="D1737" t="s">
        <v>20643</v>
      </c>
      <c r="E1737" t="s">
        <v>20644</v>
      </c>
      <c r="F1737" t="s">
        <v>20645</v>
      </c>
      <c r="G1737" t="s">
        <v>20646</v>
      </c>
      <c r="H1737" t="s">
        <v>20647</v>
      </c>
      <c r="I1737" t="s">
        <v>20648</v>
      </c>
      <c r="J1737" t="s">
        <v>20649</v>
      </c>
      <c r="K1737" t="s">
        <v>20650</v>
      </c>
      <c r="L1737" t="s">
        <v>20651</v>
      </c>
      <c r="M1737" t="s">
        <v>20652</v>
      </c>
      <c r="N1737" t="s">
        <v>20653</v>
      </c>
      <c r="O1737">
        <f>-731.491926219302 -119.880071268373 -516.642954368732</f>
        <v>-1368.0149518564069</v>
      </c>
      <c r="P1737">
        <f>-733.97917273746 -119.398660690308 -222.390142633206</f>
        <v>-1075.767976060974</v>
      </c>
      <c r="Q1737">
        <f>-545.614836582874 -7.38540192042478 -322.503890314171</f>
        <v>-875.50412881746979</v>
      </c>
      <c r="R1737" t="s">
        <v>20654</v>
      </c>
      <c r="S1737" t="s">
        <v>20655</v>
      </c>
      <c r="T1737" t="s">
        <v>20656</v>
      </c>
      <c r="U1737" t="s">
        <v>20657</v>
      </c>
      <c r="V1737">
        <f>-699.059245251347 -21.9698312204755 -93.7104520972408</f>
        <v>-814.73952856906328</v>
      </c>
      <c r="W1737" t="s">
        <v>20658</v>
      </c>
      <c r="X1737" t="s">
        <v>20659</v>
      </c>
      <c r="Y1737" t="s">
        <v>20660</v>
      </c>
    </row>
    <row r="1738" spans="1:25" x14ac:dyDescent="0.3">
      <c r="A1738">
        <v>86850</v>
      </c>
      <c r="B1738" t="s">
        <v>20661</v>
      </c>
      <c r="C1738" t="s">
        <v>20662</v>
      </c>
      <c r="D1738" t="s">
        <v>20663</v>
      </c>
      <c r="E1738" t="s">
        <v>20664</v>
      </c>
      <c r="F1738" t="s">
        <v>20665</v>
      </c>
      <c r="G1738" t="s">
        <v>20666</v>
      </c>
      <c r="H1738" t="s">
        <v>20667</v>
      </c>
      <c r="I1738" t="s">
        <v>20668</v>
      </c>
      <c r="J1738" t="s">
        <v>20669</v>
      </c>
      <c r="K1738" t="s">
        <v>20670</v>
      </c>
      <c r="L1738" t="s">
        <v>20671</v>
      </c>
      <c r="M1738" t="s">
        <v>20672</v>
      </c>
      <c r="N1738" t="s">
        <v>20673</v>
      </c>
      <c r="O1738">
        <f>-732.251346059971 -120.266219226085 -516.708524175892</f>
        <v>-1369.226089461948</v>
      </c>
      <c r="P1738">
        <f>-734.650259365346 -119.857107854 -222.454712596665</f>
        <v>-1076.9620798160108</v>
      </c>
      <c r="Q1738">
        <f>-546.434442226237 -7.52748155423637 -322.493164486238</f>
        <v>-876.45508826671141</v>
      </c>
      <c r="R1738" t="s">
        <v>20674</v>
      </c>
      <c r="S1738" t="s">
        <v>20675</v>
      </c>
      <c r="T1738" t="s">
        <v>20676</v>
      </c>
      <c r="U1738" t="s">
        <v>20677</v>
      </c>
      <c r="V1738">
        <f>-699.746404278035 -22.3946450099745 -93.7096091431825</f>
        <v>-815.85065843119207</v>
      </c>
      <c r="W1738" t="s">
        <v>20678</v>
      </c>
      <c r="X1738" t="s">
        <v>20679</v>
      </c>
      <c r="Y1738" t="s">
        <v>20680</v>
      </c>
    </row>
    <row r="1739" spans="1:25" x14ac:dyDescent="0.3">
      <c r="A1739">
        <v>86900</v>
      </c>
      <c r="B1739" t="s">
        <v>20681</v>
      </c>
      <c r="C1739" t="s">
        <v>20682</v>
      </c>
      <c r="D1739" t="s">
        <v>20683</v>
      </c>
      <c r="E1739" t="s">
        <v>20684</v>
      </c>
      <c r="F1739" t="s">
        <v>20685</v>
      </c>
      <c r="G1739" t="s">
        <v>20686</v>
      </c>
      <c r="H1739" t="s">
        <v>20687</v>
      </c>
      <c r="I1739" t="s">
        <v>20688</v>
      </c>
      <c r="J1739" t="s">
        <v>20689</v>
      </c>
      <c r="K1739" t="s">
        <v>20690</v>
      </c>
      <c r="L1739" t="s">
        <v>20691</v>
      </c>
      <c r="M1739" t="s">
        <v>20692</v>
      </c>
      <c r="N1739" t="s">
        <v>20693</v>
      </c>
      <c r="O1739">
        <f>-733.84968752241 -121.000473904189 -516.783077312193</f>
        <v>-1371.633238738792</v>
      </c>
      <c r="P1739">
        <f>-735.92338512139 -120.617339651108 -222.526799852151</f>
        <v>-1079.067524624649</v>
      </c>
      <c r="Q1739">
        <f>-548.314698789031 -7.36955316867284 -322.670671930631</f>
        <v>-878.35492388833484</v>
      </c>
      <c r="R1739" t="s">
        <v>20694</v>
      </c>
      <c r="S1739" t="s">
        <v>20695</v>
      </c>
      <c r="T1739" t="s">
        <v>20696</v>
      </c>
      <c r="U1739" t="s">
        <v>20697</v>
      </c>
      <c r="V1739">
        <f>-701.103456390157 -23.0603074847688 -93.7164997070272</f>
        <v>-817.88026358195305</v>
      </c>
      <c r="W1739" t="s">
        <v>20698</v>
      </c>
      <c r="X1739" t="s">
        <v>20699</v>
      </c>
      <c r="Y1739" t="s">
        <v>20700</v>
      </c>
    </row>
    <row r="1740" spans="1:25" x14ac:dyDescent="0.3">
      <c r="A1740">
        <v>86950</v>
      </c>
      <c r="B1740" t="s">
        <v>20701</v>
      </c>
      <c r="C1740" t="s">
        <v>20702</v>
      </c>
      <c r="D1740" t="s">
        <v>20703</v>
      </c>
      <c r="E1740" t="s">
        <v>20704</v>
      </c>
      <c r="F1740" t="s">
        <v>20705</v>
      </c>
      <c r="G1740" t="s">
        <v>20706</v>
      </c>
      <c r="H1740" t="s">
        <v>20707</v>
      </c>
      <c r="I1740" t="s">
        <v>20708</v>
      </c>
      <c r="J1740" t="s">
        <v>20709</v>
      </c>
      <c r="K1740" t="s">
        <v>20710</v>
      </c>
      <c r="L1740" t="s">
        <v>20711</v>
      </c>
      <c r="M1740" t="s">
        <v>20712</v>
      </c>
      <c r="N1740" t="s">
        <v>20713</v>
      </c>
      <c r="O1740">
        <f>-734.628495009203 -121.416616079537 -516.819013594171</f>
        <v>-1372.8641246829111</v>
      </c>
      <c r="P1740">
        <f>-736.405572495709 -121.131951556614 -222.560555876732</f>
        <v>-1080.0980799290551</v>
      </c>
      <c r="Q1740">
        <f>-549.19581829024 -7.38419727083942 -322.884254797061</f>
        <v>-879.46427035814042</v>
      </c>
      <c r="R1740" t="s">
        <v>20714</v>
      </c>
      <c r="S1740" t="s">
        <v>20715</v>
      </c>
      <c r="T1740" t="s">
        <v>20716</v>
      </c>
      <c r="U1740" t="s">
        <v>20717</v>
      </c>
      <c r="V1740">
        <f>-701.816583511997 -23.4747875000735 -93.7159179922598</f>
        <v>-819.00728900433035</v>
      </c>
      <c r="W1740" t="s">
        <v>20718</v>
      </c>
      <c r="X1740" t="s">
        <v>20719</v>
      </c>
      <c r="Y1740" t="s">
        <v>20720</v>
      </c>
    </row>
    <row r="1741" spans="1:25" x14ac:dyDescent="0.3">
      <c r="A1741">
        <v>87000</v>
      </c>
      <c r="B1741" t="s">
        <v>20721</v>
      </c>
      <c r="C1741" t="s">
        <v>20722</v>
      </c>
      <c r="D1741" t="s">
        <v>20723</v>
      </c>
      <c r="E1741" t="s">
        <v>20724</v>
      </c>
      <c r="F1741" t="s">
        <v>20725</v>
      </c>
      <c r="G1741" t="s">
        <v>20726</v>
      </c>
      <c r="H1741" t="s">
        <v>20727</v>
      </c>
      <c r="I1741" t="s">
        <v>20728</v>
      </c>
      <c r="J1741" t="s">
        <v>20729</v>
      </c>
      <c r="K1741" t="s">
        <v>20730</v>
      </c>
      <c r="L1741" t="s">
        <v>20731</v>
      </c>
      <c r="M1741" t="s">
        <v>20732</v>
      </c>
      <c r="N1741" t="s">
        <v>20733</v>
      </c>
      <c r="O1741">
        <f>-735.793716452305 -122.355865618959 -516.861544141116</f>
        <v>-1375.0111262123801</v>
      </c>
      <c r="P1741">
        <f>-737.062924126771 -122.16154798526 -222.600422094551</f>
        <v>-1081.824894206582</v>
      </c>
      <c r="Q1741">
        <f>-550.64378774894 -7.35273158230189 -323.187164306729</f>
        <v>-881.18368363797094</v>
      </c>
      <c r="R1741" t="s">
        <v>20734</v>
      </c>
      <c r="S1741" t="s">
        <v>20735</v>
      </c>
      <c r="T1741" t="s">
        <v>20736</v>
      </c>
      <c r="U1741" t="s">
        <v>20737</v>
      </c>
      <c r="V1741">
        <f>-703.064962174626 -24.4215813814239 -93.7212701023878</f>
        <v>-821.20781365843777</v>
      </c>
      <c r="W1741" t="s">
        <v>20738</v>
      </c>
      <c r="X1741" t="s">
        <v>20739</v>
      </c>
      <c r="Y1741" t="s">
        <v>20740</v>
      </c>
    </row>
    <row r="1742" spans="1:25" x14ac:dyDescent="0.3">
      <c r="A1742">
        <v>87050</v>
      </c>
      <c r="B1742" t="s">
        <v>20741</v>
      </c>
      <c r="C1742" t="s">
        <v>20742</v>
      </c>
      <c r="D1742" t="s">
        <v>20743</v>
      </c>
      <c r="E1742" t="s">
        <v>20744</v>
      </c>
      <c r="F1742" t="s">
        <v>20745</v>
      </c>
      <c r="G1742" t="s">
        <v>20746</v>
      </c>
      <c r="H1742" t="s">
        <v>20747</v>
      </c>
      <c r="I1742" t="s">
        <v>20748</v>
      </c>
      <c r="J1742" t="s">
        <v>20749</v>
      </c>
      <c r="K1742" t="s">
        <v>20750</v>
      </c>
      <c r="L1742" t="s">
        <v>20751</v>
      </c>
      <c r="M1742" t="s">
        <v>20752</v>
      </c>
      <c r="N1742" t="s">
        <v>20753</v>
      </c>
      <c r="O1742">
        <f>-736.333361131107 -122.950891070712 -516.852353603205</f>
        <v>-1376.1366058050239</v>
      </c>
      <c r="P1742">
        <f>-737.33750342989 -122.780844459264 -222.590248777324</f>
        <v>-1082.7085966664781</v>
      </c>
      <c r="Q1742">
        <f>-551.347861953859 -7.48496538851759 -323.414692711468</f>
        <v>-882.2475200538446</v>
      </c>
      <c r="R1742" t="s">
        <v>20754</v>
      </c>
      <c r="S1742" t="s">
        <v>20755</v>
      </c>
      <c r="T1742" t="s">
        <v>20756</v>
      </c>
      <c r="U1742" t="s">
        <v>20757</v>
      </c>
      <c r="V1742">
        <f>-703.538615444267 -24.8531902311847 -93.736213276995</f>
        <v>-822.12801895244672</v>
      </c>
      <c r="W1742" t="s">
        <v>20758</v>
      </c>
      <c r="X1742" t="s">
        <v>20759</v>
      </c>
      <c r="Y1742" t="s">
        <v>20760</v>
      </c>
    </row>
    <row r="1743" spans="1:25" x14ac:dyDescent="0.3">
      <c r="A1743">
        <v>87100</v>
      </c>
      <c r="B1743" t="s">
        <v>20761</v>
      </c>
      <c r="C1743" t="s">
        <v>20762</v>
      </c>
      <c r="D1743" t="s">
        <v>20763</v>
      </c>
      <c r="E1743" t="s">
        <v>20764</v>
      </c>
      <c r="F1743" t="s">
        <v>20765</v>
      </c>
      <c r="G1743" t="s">
        <v>20766</v>
      </c>
      <c r="H1743" t="s">
        <v>20767</v>
      </c>
      <c r="I1743" t="s">
        <v>20768</v>
      </c>
      <c r="J1743" t="s">
        <v>20769</v>
      </c>
      <c r="K1743" t="s">
        <v>20770</v>
      </c>
      <c r="L1743" t="s">
        <v>20771</v>
      </c>
      <c r="M1743" t="s">
        <v>20772</v>
      </c>
      <c r="N1743" t="s">
        <v>20773</v>
      </c>
      <c r="O1743">
        <f>-737.779922417503 -123.95370868557 -516.706949826783</f>
        <v>-1378.440580929856</v>
      </c>
      <c r="P1743">
        <f>-738.427441893303 -123.74030365348 -222.443947384542</f>
        <v>-1084.611692931325</v>
      </c>
      <c r="Q1743">
        <f>-553.060478082392 -7.67670428265706 -323.534173713416</f>
        <v>-884.27135607846503</v>
      </c>
      <c r="R1743" t="s">
        <v>20774</v>
      </c>
      <c r="S1743" t="s">
        <v>20775</v>
      </c>
      <c r="T1743" t="s">
        <v>20776</v>
      </c>
      <c r="U1743" t="s">
        <v>20777</v>
      </c>
      <c r="V1743">
        <f>-704.604639809689 -25.4397715491284 -93.6394980599259</f>
        <v>-823.68390941874338</v>
      </c>
      <c r="W1743" t="s">
        <v>20778</v>
      </c>
      <c r="X1743" t="s">
        <v>20779</v>
      </c>
      <c r="Y1743" t="s">
        <v>20780</v>
      </c>
    </row>
    <row r="1744" spans="1:25" x14ac:dyDescent="0.3">
      <c r="A1744">
        <v>87150</v>
      </c>
      <c r="B1744" t="s">
        <v>20781</v>
      </c>
      <c r="C1744" t="s">
        <v>20782</v>
      </c>
      <c r="D1744" t="s">
        <v>20783</v>
      </c>
      <c r="E1744" t="s">
        <v>20784</v>
      </c>
      <c r="F1744" t="s">
        <v>20785</v>
      </c>
      <c r="G1744" t="s">
        <v>20786</v>
      </c>
      <c r="H1744" t="s">
        <v>20787</v>
      </c>
      <c r="I1744" t="s">
        <v>20788</v>
      </c>
      <c r="J1744" t="s">
        <v>20789</v>
      </c>
      <c r="K1744" t="s">
        <v>20790</v>
      </c>
      <c r="L1744" t="s">
        <v>20791</v>
      </c>
      <c r="M1744" t="s">
        <v>20792</v>
      </c>
      <c r="N1744" t="s">
        <v>20793</v>
      </c>
      <c r="O1744">
        <f>-738.698102491638 -124.40009549016 -516.657249087742</f>
        <v>-1379.75544706954</v>
      </c>
      <c r="P1744">
        <f>-739.133563012799 -124.209332252758 -222.393772905465</f>
        <v>-1085.7366681710221</v>
      </c>
      <c r="Q1744">
        <f>-554.004017766895 -7.8350196693566 -323.561850921347</f>
        <v>-885.40088835759866</v>
      </c>
      <c r="R1744" t="s">
        <v>20794</v>
      </c>
      <c r="S1744" t="s">
        <v>20795</v>
      </c>
      <c r="T1744" t="s">
        <v>20796</v>
      </c>
      <c r="U1744" t="s">
        <v>20797</v>
      </c>
      <c r="V1744">
        <f>-705.18393429912 -25.817008401212 -93.5729649084036</f>
        <v>-824.57390760873557</v>
      </c>
      <c r="W1744" t="s">
        <v>20798</v>
      </c>
      <c r="X1744" t="s">
        <v>20799</v>
      </c>
      <c r="Y1744" t="s">
        <v>20800</v>
      </c>
    </row>
    <row r="1745" spans="1:25" x14ac:dyDescent="0.3">
      <c r="A1745">
        <v>87200</v>
      </c>
      <c r="B1745" t="s">
        <v>20801</v>
      </c>
      <c r="C1745" t="s">
        <v>20802</v>
      </c>
      <c r="D1745" t="s">
        <v>20803</v>
      </c>
      <c r="E1745" t="s">
        <v>20804</v>
      </c>
      <c r="F1745" t="s">
        <v>20805</v>
      </c>
      <c r="G1745" t="s">
        <v>20806</v>
      </c>
      <c r="H1745" t="s">
        <v>20807</v>
      </c>
      <c r="I1745" t="s">
        <v>20808</v>
      </c>
      <c r="J1745" t="s">
        <v>20809</v>
      </c>
      <c r="K1745" t="s">
        <v>20810</v>
      </c>
      <c r="L1745" t="s">
        <v>20811</v>
      </c>
      <c r="M1745" t="s">
        <v>20812</v>
      </c>
      <c r="N1745" t="s">
        <v>20813</v>
      </c>
      <c r="O1745">
        <f>-740.719359129114 -125.675986386649 -516.689384607192</f>
        <v>-1383.0847301229551</v>
      </c>
      <c r="P1745">
        <f>-740.762375933554 -125.768879568903 -222.425610195091</f>
        <v>-1088.956865697548</v>
      </c>
      <c r="Q1745">
        <f>-556.108113797037 -8.62889466513343 -323.57830048583</f>
        <v>-888.31530894800051</v>
      </c>
      <c r="R1745" t="s">
        <v>20814</v>
      </c>
      <c r="S1745" t="s">
        <v>20815</v>
      </c>
      <c r="T1745" t="s">
        <v>20816</v>
      </c>
      <c r="U1745" t="s">
        <v>20817</v>
      </c>
      <c r="V1745">
        <f>-706.542948153513 -27.2251061791337 -93.5000220454057</f>
        <v>-827.26807637805234</v>
      </c>
      <c r="W1745" t="s">
        <v>20818</v>
      </c>
      <c r="X1745" t="s">
        <v>20819</v>
      </c>
      <c r="Y1745" t="s">
        <v>20820</v>
      </c>
    </row>
    <row r="1746" spans="1:25" x14ac:dyDescent="0.3">
      <c r="A1746">
        <v>87250</v>
      </c>
      <c r="B1746" t="s">
        <v>20821</v>
      </c>
      <c r="C1746" t="s">
        <v>20822</v>
      </c>
      <c r="D1746" t="s">
        <v>20823</v>
      </c>
      <c r="E1746" t="s">
        <v>20824</v>
      </c>
      <c r="F1746" t="s">
        <v>20825</v>
      </c>
      <c r="G1746" t="s">
        <v>20826</v>
      </c>
      <c r="H1746" t="s">
        <v>20827</v>
      </c>
      <c r="I1746" t="s">
        <v>20828</v>
      </c>
      <c r="J1746" t="s">
        <v>20829</v>
      </c>
      <c r="K1746" t="s">
        <v>20830</v>
      </c>
      <c r="L1746" t="s">
        <v>20831</v>
      </c>
      <c r="M1746" t="s">
        <v>20832</v>
      </c>
      <c r="N1746" t="s">
        <v>20833</v>
      </c>
      <c r="O1746">
        <f>-741.745224758353 -126.101527828596 -516.750913695082</f>
        <v>-1384.5976662820308</v>
      </c>
      <c r="P1746">
        <f>-741.549191923674 -126.437398059136 -222.487361403324</f>
        <v>-1090.4739513861341</v>
      </c>
      <c r="Q1746">
        <f>-557.218840307842 -8.8491882562771 -323.710785050693</f>
        <v>-889.77881361481218</v>
      </c>
      <c r="R1746" t="s">
        <v>20834</v>
      </c>
      <c r="S1746" t="s">
        <v>20835</v>
      </c>
      <c r="T1746" t="s">
        <v>20836</v>
      </c>
      <c r="U1746" t="s">
        <v>20837</v>
      </c>
      <c r="V1746">
        <f>-707.100097428829 -27.4943877880953 -93.5006156026625</f>
        <v>-828.09510081958683</v>
      </c>
      <c r="W1746" t="s">
        <v>20838</v>
      </c>
      <c r="X1746" t="s">
        <v>20839</v>
      </c>
      <c r="Y1746" t="s">
        <v>20840</v>
      </c>
    </row>
    <row r="1747" spans="1:25" x14ac:dyDescent="0.3">
      <c r="A1747">
        <v>87300</v>
      </c>
      <c r="B1747" t="s">
        <v>20841</v>
      </c>
      <c r="C1747" t="s">
        <v>20842</v>
      </c>
      <c r="D1747" t="s">
        <v>20843</v>
      </c>
      <c r="E1747" t="s">
        <v>20844</v>
      </c>
      <c r="F1747" t="s">
        <v>20845</v>
      </c>
      <c r="G1747" t="s">
        <v>20846</v>
      </c>
      <c r="H1747" t="s">
        <v>20847</v>
      </c>
      <c r="I1747" t="s">
        <v>20848</v>
      </c>
      <c r="J1747" t="s">
        <v>20849</v>
      </c>
      <c r="K1747" t="s">
        <v>20850</v>
      </c>
      <c r="L1747" t="s">
        <v>20851</v>
      </c>
      <c r="M1747" t="s">
        <v>20852</v>
      </c>
      <c r="N1747" t="s">
        <v>20853</v>
      </c>
      <c r="O1747">
        <f>-743.918484402241 -127.019825932009 -516.909748271123</f>
        <v>-1387.8480586053729</v>
      </c>
      <c r="P1747">
        <f>-743.21826929724 -127.711251289493 -222.647436059763</f>
        <v>-1093.576956646496</v>
      </c>
      <c r="Q1747">
        <f>-559.451112045576 -9.35756007730606 -324.002800490875</f>
        <v>-892.81147261375713</v>
      </c>
      <c r="R1747" t="s">
        <v>20854</v>
      </c>
      <c r="S1747" t="s">
        <v>20855</v>
      </c>
      <c r="T1747" t="s">
        <v>20856</v>
      </c>
      <c r="U1747" t="s">
        <v>20857</v>
      </c>
      <c r="V1747">
        <f>-708.603368626193 -28.6681140453377 -93.4868783315395</f>
        <v>-830.75836100307015</v>
      </c>
      <c r="W1747" t="s">
        <v>20858</v>
      </c>
      <c r="X1747" t="s">
        <v>20859</v>
      </c>
      <c r="Y1747" t="s">
        <v>20860</v>
      </c>
    </row>
    <row r="1748" spans="1:25" x14ac:dyDescent="0.3">
      <c r="A1748">
        <v>87350</v>
      </c>
      <c r="B1748" t="s">
        <v>20861</v>
      </c>
      <c r="C1748" t="s">
        <v>20862</v>
      </c>
      <c r="D1748" t="s">
        <v>20863</v>
      </c>
      <c r="E1748" t="s">
        <v>20864</v>
      </c>
      <c r="F1748" t="s">
        <v>20865</v>
      </c>
      <c r="G1748" t="s">
        <v>20866</v>
      </c>
      <c r="H1748" t="s">
        <v>20867</v>
      </c>
      <c r="I1748" t="s">
        <v>20868</v>
      </c>
      <c r="J1748" t="s">
        <v>20869</v>
      </c>
      <c r="K1748" t="s">
        <v>20870</v>
      </c>
      <c r="L1748" t="s">
        <v>20871</v>
      </c>
      <c r="M1748" t="s">
        <v>20872</v>
      </c>
      <c r="N1748" t="s">
        <v>20873</v>
      </c>
      <c r="O1748">
        <f>-745.036719118943 -127.471559058452 -517.019703893285</f>
        <v>-1389.5279820706801</v>
      </c>
      <c r="P1748">
        <f>-744.091640159818 -128.441437616099 -222.758905812751</f>
        <v>-1095.291983588668</v>
      </c>
      <c r="Q1748">
        <f>-560.683862049212 -9.56575328084841 -324.154164526228</f>
        <v>-894.40377985628845</v>
      </c>
      <c r="R1748" t="s">
        <v>20874</v>
      </c>
      <c r="S1748" t="s">
        <v>20875</v>
      </c>
      <c r="T1748" t="s">
        <v>20876</v>
      </c>
      <c r="U1748" t="s">
        <v>20877</v>
      </c>
      <c r="V1748">
        <f>-709.318611621489 -29.1755326432799 -93.4730186333003</f>
        <v>-831.9671628980692</v>
      </c>
      <c r="W1748" t="s">
        <v>20878</v>
      </c>
      <c r="X1748" t="s">
        <v>20879</v>
      </c>
      <c r="Y1748" t="s">
        <v>20880</v>
      </c>
    </row>
    <row r="1749" spans="1:25" x14ac:dyDescent="0.3">
      <c r="A1749">
        <v>87400</v>
      </c>
      <c r="B1749" t="s">
        <v>20881</v>
      </c>
      <c r="C1749" t="s">
        <v>20882</v>
      </c>
      <c r="D1749" t="s">
        <v>20883</v>
      </c>
      <c r="E1749" t="s">
        <v>20884</v>
      </c>
      <c r="F1749" t="s">
        <v>20885</v>
      </c>
      <c r="G1749" t="s">
        <v>20886</v>
      </c>
      <c r="H1749" t="s">
        <v>20887</v>
      </c>
      <c r="I1749" t="s">
        <v>20888</v>
      </c>
      <c r="J1749" t="s">
        <v>20889</v>
      </c>
      <c r="K1749" t="s">
        <v>20890</v>
      </c>
      <c r="L1749" t="s">
        <v>20891</v>
      </c>
      <c r="M1749" t="s">
        <v>20892</v>
      </c>
      <c r="N1749" t="s">
        <v>20893</v>
      </c>
      <c r="O1749">
        <f>-747.219154608751 -128.233697655552 -517.328647431384</f>
        <v>-1392.7814996956868</v>
      </c>
      <c r="P1749">
        <f>-745.936167756179 -129.757520568052 -223.071509657432</f>
        <v>-1098.7651979816628</v>
      </c>
      <c r="Q1749">
        <f>-562.994486377312 -10.084145378411 -324.370499725996</f>
        <v>-897.44913148171895</v>
      </c>
      <c r="R1749" t="s">
        <v>20894</v>
      </c>
      <c r="S1749" t="s">
        <v>20895</v>
      </c>
      <c r="T1749" t="s">
        <v>20896</v>
      </c>
      <c r="U1749" t="s">
        <v>20897</v>
      </c>
      <c r="V1749">
        <f>-710.618537097879 -30.1654963345152 -93.4868785474099</f>
        <v>-834.27091197980405</v>
      </c>
      <c r="W1749" t="s">
        <v>20898</v>
      </c>
      <c r="X1749" t="s">
        <v>20899</v>
      </c>
      <c r="Y1749" t="s">
        <v>20900</v>
      </c>
    </row>
    <row r="1750" spans="1:25" x14ac:dyDescent="0.3">
      <c r="A1750">
        <v>87450</v>
      </c>
      <c r="B1750" t="s">
        <v>20901</v>
      </c>
      <c r="C1750" t="s">
        <v>20902</v>
      </c>
      <c r="D1750" t="s">
        <v>20903</v>
      </c>
      <c r="E1750" t="s">
        <v>20904</v>
      </c>
      <c r="F1750" t="s">
        <v>20905</v>
      </c>
      <c r="G1750" t="s">
        <v>20906</v>
      </c>
      <c r="H1750" t="s">
        <v>20907</v>
      </c>
      <c r="I1750" t="s">
        <v>20908</v>
      </c>
      <c r="J1750" t="s">
        <v>20909</v>
      </c>
      <c r="K1750" t="s">
        <v>20910</v>
      </c>
      <c r="L1750" t="s">
        <v>20911</v>
      </c>
      <c r="M1750" t="s">
        <v>20912</v>
      </c>
      <c r="N1750" t="s">
        <v>20913</v>
      </c>
      <c r="O1750">
        <f>-748.184356897772 -128.673014391142 -517.441076787375</f>
        <v>-1394.2984480762889</v>
      </c>
      <c r="P1750">
        <f>-746.768523223063 -130.456320560539 -223.186034067828</f>
        <v>-1100.4108778514299</v>
      </c>
      <c r="Q1750">
        <f>-564.114126249 -10.3141706802287 -324.448431191144</f>
        <v>-898.87672812037272</v>
      </c>
      <c r="R1750" t="s">
        <v>20914</v>
      </c>
      <c r="S1750" t="s">
        <v>20915</v>
      </c>
      <c r="T1750" t="s">
        <v>20916</v>
      </c>
      <c r="U1750" t="s">
        <v>20917</v>
      </c>
      <c r="V1750">
        <f>-711.266284132679 -30.682574587916 -93.4662222872772</f>
        <v>-835.41508100787212</v>
      </c>
      <c r="W1750" t="s">
        <v>20918</v>
      </c>
      <c r="X1750" t="s">
        <v>20919</v>
      </c>
      <c r="Y1750" t="s">
        <v>20920</v>
      </c>
    </row>
    <row r="1751" spans="1:25" x14ac:dyDescent="0.3">
      <c r="A1751">
        <v>87500</v>
      </c>
      <c r="B1751" t="s">
        <v>20921</v>
      </c>
      <c r="C1751" t="s">
        <v>20922</v>
      </c>
      <c r="D1751" t="s">
        <v>20923</v>
      </c>
      <c r="E1751" t="s">
        <v>20924</v>
      </c>
      <c r="F1751" t="s">
        <v>20925</v>
      </c>
      <c r="G1751" t="s">
        <v>20926</v>
      </c>
      <c r="H1751" t="s">
        <v>20927</v>
      </c>
      <c r="I1751" t="s">
        <v>20928</v>
      </c>
      <c r="J1751" t="s">
        <v>20929</v>
      </c>
      <c r="K1751" t="s">
        <v>20930</v>
      </c>
      <c r="L1751" t="s">
        <v>20931</v>
      </c>
      <c r="M1751" t="s">
        <v>20932</v>
      </c>
      <c r="N1751" t="s">
        <v>20933</v>
      </c>
      <c r="O1751">
        <f>-749.886908060566 -129.336423701594 -517.713728627306</f>
        <v>-1396.9370603894658</v>
      </c>
      <c r="P1751">
        <f>-748.441037969592 -131.63967406854 -223.462315114307</f>
        <v>-1103.543027152439</v>
      </c>
      <c r="Q1751">
        <f>-566.318092699834 -10.435362416355 -324.415866870636</f>
        <v>-901.16932198682503</v>
      </c>
      <c r="R1751" t="s">
        <v>20934</v>
      </c>
      <c r="S1751" t="s">
        <v>20935</v>
      </c>
      <c r="T1751" t="s">
        <v>20936</v>
      </c>
      <c r="U1751" t="s">
        <v>20937</v>
      </c>
      <c r="V1751">
        <f>-712.492270864444 -31.5877452310779 -93.4563286704076</f>
        <v>-837.53634476592947</v>
      </c>
      <c r="W1751" t="s">
        <v>20938</v>
      </c>
      <c r="X1751" t="s">
        <v>20939</v>
      </c>
      <c r="Y1751" t="s">
        <v>20940</v>
      </c>
    </row>
    <row r="1752" spans="1:25" x14ac:dyDescent="0.3">
      <c r="A1752">
        <v>87550</v>
      </c>
      <c r="B1752" t="s">
        <v>20941</v>
      </c>
      <c r="C1752" t="s">
        <v>20942</v>
      </c>
      <c r="D1752" t="s">
        <v>20943</v>
      </c>
      <c r="E1752" t="s">
        <v>20944</v>
      </c>
      <c r="F1752" t="s">
        <v>20945</v>
      </c>
      <c r="G1752" t="s">
        <v>20946</v>
      </c>
      <c r="H1752" t="s">
        <v>20947</v>
      </c>
      <c r="I1752" t="s">
        <v>20948</v>
      </c>
      <c r="J1752" t="s">
        <v>20949</v>
      </c>
      <c r="K1752" t="s">
        <v>20950</v>
      </c>
      <c r="L1752" t="s">
        <v>20951</v>
      </c>
      <c r="M1752" t="s">
        <v>20952</v>
      </c>
      <c r="N1752" t="s">
        <v>20953</v>
      </c>
      <c r="O1752">
        <f>-750.67954462397 -129.527326374016 -517.899587134849</f>
        <v>-1398.1064581328351</v>
      </c>
      <c r="P1752">
        <f>-749.171901175088 -132.191327573925 -223.651544267305</f>
        <v>-1105.014773016318</v>
      </c>
      <c r="Q1752">
        <f>-567.387222888804 -10.2995210849367 -324.386712243957</f>
        <v>-902.07345621769764</v>
      </c>
      <c r="R1752" t="s">
        <v>20954</v>
      </c>
      <c r="S1752" t="s">
        <v>20955</v>
      </c>
      <c r="T1752" t="s">
        <v>20956</v>
      </c>
      <c r="U1752" t="s">
        <v>20957</v>
      </c>
      <c r="V1752">
        <f>-713.084578851361 -31.973947624927 -93.4412321906483</f>
        <v>-838.49975866693626</v>
      </c>
      <c r="W1752" t="s">
        <v>20958</v>
      </c>
      <c r="X1752" t="s">
        <v>20959</v>
      </c>
      <c r="Y1752" t="s">
        <v>20960</v>
      </c>
    </row>
    <row r="1753" spans="1:25" x14ac:dyDescent="0.3">
      <c r="A1753">
        <v>87600</v>
      </c>
      <c r="B1753" t="s">
        <v>20961</v>
      </c>
      <c r="C1753" t="s">
        <v>20962</v>
      </c>
      <c r="D1753" t="s">
        <v>20963</v>
      </c>
      <c r="E1753" t="s">
        <v>20964</v>
      </c>
      <c r="F1753" t="s">
        <v>20965</v>
      </c>
      <c r="G1753" t="s">
        <v>20966</v>
      </c>
      <c r="H1753" t="s">
        <v>20967</v>
      </c>
      <c r="I1753" t="s">
        <v>20968</v>
      </c>
      <c r="J1753" t="s">
        <v>20969</v>
      </c>
      <c r="K1753" t="s">
        <v>20970</v>
      </c>
      <c r="L1753" t="s">
        <v>20971</v>
      </c>
      <c r="M1753" t="s">
        <v>20972</v>
      </c>
      <c r="N1753" t="s">
        <v>20973</v>
      </c>
      <c r="O1753">
        <f>-752.041129373777 -130.183573733066 -518.222937271931</f>
        <v>-1400.4476403787739</v>
      </c>
      <c r="P1753">
        <f>-750.495372143673 -133.368382284672 -223.980373137665</f>
        <v>-1107.84412756601</v>
      </c>
      <c r="Q1753">
        <f>-569.291582275689 -10.2828987137545 -324.309578689619</f>
        <v>-903.8840596790626</v>
      </c>
      <c r="R1753" t="s">
        <v>20974</v>
      </c>
      <c r="S1753" t="s">
        <v>20975</v>
      </c>
      <c r="T1753" t="s">
        <v>20976</v>
      </c>
      <c r="U1753" t="s">
        <v>20977</v>
      </c>
      <c r="V1753">
        <f>-714.287115858051 -33.0126787192648 -93.4490573512123</f>
        <v>-840.74885192852821</v>
      </c>
      <c r="W1753" t="s">
        <v>20978</v>
      </c>
      <c r="X1753" t="s">
        <v>20979</v>
      </c>
      <c r="Y1753" t="s">
        <v>20980</v>
      </c>
    </row>
    <row r="1754" spans="1:25" x14ac:dyDescent="0.3">
      <c r="A1754">
        <v>87650</v>
      </c>
      <c r="B1754" t="s">
        <v>20981</v>
      </c>
      <c r="C1754" t="s">
        <v>20982</v>
      </c>
      <c r="D1754" t="s">
        <v>20983</v>
      </c>
      <c r="E1754" t="s">
        <v>20984</v>
      </c>
      <c r="F1754" t="s">
        <v>20985</v>
      </c>
      <c r="G1754" t="s">
        <v>20986</v>
      </c>
      <c r="H1754" t="s">
        <v>20987</v>
      </c>
      <c r="I1754" t="s">
        <v>20988</v>
      </c>
      <c r="J1754" t="s">
        <v>20989</v>
      </c>
      <c r="K1754" t="s">
        <v>20990</v>
      </c>
      <c r="L1754" t="s">
        <v>20991</v>
      </c>
      <c r="M1754" t="s">
        <v>20992</v>
      </c>
      <c r="N1754" t="s">
        <v>20993</v>
      </c>
      <c r="O1754">
        <f>-752.5292842683 -130.342333945751 -518.337869691179</f>
        <v>-1401.2094879052299</v>
      </c>
      <c r="P1754">
        <f>-751.010231224145 -133.713644807342 -224.097272564214</f>
        <v>-1108.8211485957008</v>
      </c>
      <c r="Q1754">
        <f>-570.062614522102 -10.165359939446 -324.320450103474</f>
        <v>-904.54842456502206</v>
      </c>
      <c r="R1754" t="s">
        <v>20994</v>
      </c>
      <c r="S1754" t="s">
        <v>20995</v>
      </c>
      <c r="T1754" t="s">
        <v>20996</v>
      </c>
      <c r="U1754" t="s">
        <v>20997</v>
      </c>
      <c r="V1754">
        <f>-714.785216890351 -33.2157434200851 -93.437080607192</f>
        <v>-841.43804091762809</v>
      </c>
      <c r="W1754" t="s">
        <v>20998</v>
      </c>
      <c r="X1754" t="s">
        <v>20999</v>
      </c>
      <c r="Y1754" t="s">
        <v>21000</v>
      </c>
    </row>
    <row r="1755" spans="1:25" x14ac:dyDescent="0.3">
      <c r="A1755">
        <v>87700</v>
      </c>
      <c r="B1755" t="s">
        <v>21001</v>
      </c>
      <c r="C1755" t="s">
        <v>21002</v>
      </c>
      <c r="D1755" t="s">
        <v>21003</v>
      </c>
      <c r="E1755" t="s">
        <v>21004</v>
      </c>
      <c r="F1755" t="s">
        <v>21005</v>
      </c>
      <c r="G1755" t="s">
        <v>21006</v>
      </c>
      <c r="H1755" t="s">
        <v>21007</v>
      </c>
      <c r="I1755" t="s">
        <v>21008</v>
      </c>
      <c r="J1755" t="s">
        <v>21009</v>
      </c>
      <c r="K1755" t="s">
        <v>21010</v>
      </c>
      <c r="L1755" t="s">
        <v>21011</v>
      </c>
      <c r="M1755" t="s">
        <v>21012</v>
      </c>
      <c r="N1755" t="s">
        <v>21013</v>
      </c>
      <c r="O1755">
        <f>-753.172305805997 -130.605944013106 -518.584972858921</f>
        <v>-1402.3632226780239</v>
      </c>
      <c r="P1755">
        <f>-751.855846519896 -134.431510682069 -224.348932912662</f>
        <v>-1110.6362901146269</v>
      </c>
      <c r="Q1755">
        <f>-571.239567724905 -10.1486667402485 -324.260793878531</f>
        <v>-905.64902834368445</v>
      </c>
      <c r="R1755" t="s">
        <v>21014</v>
      </c>
      <c r="S1755" t="s">
        <v>21015</v>
      </c>
      <c r="T1755" t="s">
        <v>21016</v>
      </c>
      <c r="U1755" t="s">
        <v>21017</v>
      </c>
      <c r="V1755">
        <f>-715.587897419266 -34.0075254785027 -93.4211043699305</f>
        <v>-843.01652726769919</v>
      </c>
      <c r="W1755" t="s">
        <v>21018</v>
      </c>
      <c r="X1755" t="s">
        <v>21019</v>
      </c>
      <c r="Y1755" t="s">
        <v>21020</v>
      </c>
    </row>
    <row r="1756" spans="1:25" x14ac:dyDescent="0.3">
      <c r="A1756">
        <v>87750</v>
      </c>
      <c r="B1756" t="s">
        <v>21021</v>
      </c>
      <c r="C1756" t="s">
        <v>21022</v>
      </c>
      <c r="D1756" t="s">
        <v>21023</v>
      </c>
      <c r="E1756" t="s">
        <v>21024</v>
      </c>
      <c r="F1756" t="s">
        <v>21025</v>
      </c>
      <c r="G1756" t="s">
        <v>21026</v>
      </c>
      <c r="H1756" t="s">
        <v>21027</v>
      </c>
      <c r="I1756" t="s">
        <v>21028</v>
      </c>
      <c r="J1756" t="s">
        <v>21029</v>
      </c>
      <c r="K1756" t="s">
        <v>21030</v>
      </c>
      <c r="L1756" t="s">
        <v>21031</v>
      </c>
      <c r="M1756" t="s">
        <v>21032</v>
      </c>
      <c r="N1756" t="s">
        <v>21033</v>
      </c>
      <c r="O1756">
        <f>-753.347089216614 -130.655095494323 -518.71047651684</f>
        <v>-1402.7126612277771</v>
      </c>
      <c r="P1756">
        <f>-752.189356943755 -134.694285617967 -224.476626438114</f>
        <v>-1111.3602689998361</v>
      </c>
      <c r="Q1756">
        <f>-571.711379624996 -10.0604476321714 -324.20113201402</f>
        <v>-905.97295927118739</v>
      </c>
      <c r="R1756" t="s">
        <v>21034</v>
      </c>
      <c r="S1756" t="s">
        <v>21035</v>
      </c>
      <c r="T1756" t="s">
        <v>21036</v>
      </c>
      <c r="U1756" t="s">
        <v>21037</v>
      </c>
      <c r="V1756">
        <f>-716.025210153346 -34.2445510415414 -93.4044968739792</f>
        <v>-843.67425806886661</v>
      </c>
      <c r="W1756" t="s">
        <v>21038</v>
      </c>
      <c r="X1756" t="s">
        <v>21039</v>
      </c>
      <c r="Y1756" t="s">
        <v>21040</v>
      </c>
    </row>
    <row r="1757" spans="1:25" x14ac:dyDescent="0.3">
      <c r="A1757">
        <v>87800</v>
      </c>
      <c r="B1757" t="s">
        <v>21041</v>
      </c>
      <c r="C1757" t="s">
        <v>21042</v>
      </c>
      <c r="D1757" t="s">
        <v>21043</v>
      </c>
      <c r="E1757" t="s">
        <v>21044</v>
      </c>
      <c r="F1757" t="s">
        <v>21045</v>
      </c>
      <c r="G1757" t="s">
        <v>21046</v>
      </c>
      <c r="H1757" t="s">
        <v>21047</v>
      </c>
      <c r="I1757" t="s">
        <v>21048</v>
      </c>
      <c r="J1757" t="s">
        <v>21049</v>
      </c>
      <c r="K1757" t="s">
        <v>21050</v>
      </c>
      <c r="L1757" t="s">
        <v>21051</v>
      </c>
      <c r="M1757" t="s">
        <v>21052</v>
      </c>
      <c r="N1757" t="s">
        <v>21053</v>
      </c>
      <c r="O1757">
        <f>-753.491780860865 -130.665486492516 -518.76369173997</f>
        <v>-1402.920959093351</v>
      </c>
      <c r="P1757">
        <f>-752.441972756426 -134.891861278843 -224.532008512213</f>
        <v>-1111.8658425474821</v>
      </c>
      <c r="Q1757">
        <f>-572.042422527758 -9.94199156433638 -324.002586807188</f>
        <v>-905.98700089928241</v>
      </c>
      <c r="R1757" t="s">
        <v>21054</v>
      </c>
      <c r="S1757" t="s">
        <v>21055</v>
      </c>
      <c r="T1757" t="s">
        <v>21056</v>
      </c>
      <c r="U1757" t="s">
        <v>21057</v>
      </c>
      <c r="V1757">
        <f>-716.29613774932 -34.2679803012193 -93.4030718037945</f>
        <v>-843.96718985433381</v>
      </c>
      <c r="W1757" t="s">
        <v>21058</v>
      </c>
      <c r="X1757" t="s">
        <v>21059</v>
      </c>
      <c r="Y1757" t="s">
        <v>21060</v>
      </c>
    </row>
    <row r="1758" spans="1:25" x14ac:dyDescent="0.3">
      <c r="A1758">
        <v>87850</v>
      </c>
      <c r="B1758" t="s">
        <v>21061</v>
      </c>
      <c r="C1758" t="s">
        <v>21062</v>
      </c>
      <c r="D1758" t="s">
        <v>21063</v>
      </c>
      <c r="E1758" t="s">
        <v>21064</v>
      </c>
      <c r="F1758" t="s">
        <v>21065</v>
      </c>
      <c r="G1758" t="s">
        <v>21066</v>
      </c>
      <c r="H1758" t="s">
        <v>21067</v>
      </c>
      <c r="I1758" t="s">
        <v>21068</v>
      </c>
      <c r="J1758" t="s">
        <v>21069</v>
      </c>
      <c r="K1758" t="s">
        <v>21070</v>
      </c>
      <c r="L1758" t="s">
        <v>21071</v>
      </c>
      <c r="M1758" t="s">
        <v>21072</v>
      </c>
      <c r="N1758" t="s">
        <v>21073</v>
      </c>
      <c r="O1758">
        <f>-753.655168299831 -130.780658081206 -518.755537528595</f>
        <v>-1403.1913639096319</v>
      </c>
      <c r="P1758">
        <f>-752.690441135395 -135.221696647505 -224.526881611912</f>
        <v>-1112.439019394812</v>
      </c>
      <c r="Q1758">
        <f>-572.526443974504 -9.62131154460621 -323.604233232221</f>
        <v>-905.75198875133128</v>
      </c>
      <c r="R1758" t="s">
        <v>21074</v>
      </c>
      <c r="S1758" t="s">
        <v>21075</v>
      </c>
      <c r="T1758" t="s">
        <v>21076</v>
      </c>
      <c r="U1758" t="s">
        <v>21077</v>
      </c>
      <c r="V1758">
        <f>-716.875460320767 -34.4823085467685 -93.3658672200595</f>
        <v>-844.72363608759508</v>
      </c>
      <c r="W1758" t="s">
        <v>21078</v>
      </c>
      <c r="X1758" t="s">
        <v>21079</v>
      </c>
      <c r="Y1758" t="s">
        <v>21080</v>
      </c>
    </row>
    <row r="1759" spans="1:25" x14ac:dyDescent="0.3">
      <c r="A1759">
        <v>87900</v>
      </c>
      <c r="B1759" t="s">
        <v>21081</v>
      </c>
      <c r="C1759" t="s">
        <v>21082</v>
      </c>
      <c r="D1759" t="s">
        <v>21083</v>
      </c>
      <c r="E1759" t="s">
        <v>21084</v>
      </c>
      <c r="F1759" t="s">
        <v>21085</v>
      </c>
      <c r="G1759" t="s">
        <v>21086</v>
      </c>
      <c r="H1759" t="s">
        <v>21087</v>
      </c>
      <c r="I1759" t="s">
        <v>21088</v>
      </c>
      <c r="J1759" t="s">
        <v>21089</v>
      </c>
      <c r="K1759" t="s">
        <v>21090</v>
      </c>
      <c r="L1759" t="s">
        <v>21091</v>
      </c>
      <c r="M1759" t="s">
        <v>21092</v>
      </c>
      <c r="N1759" t="s">
        <v>21093</v>
      </c>
      <c r="O1759">
        <f>-753.601715693851 -130.90949882483 -518.760002522799</f>
        <v>-1403.2712170414802</v>
      </c>
      <c r="P1759">
        <f>-752.824537288545 -135.317917777307 -224.530232388241</f>
        <v>-1112.672687454093</v>
      </c>
      <c r="Q1759">
        <f>-572.820967523482 -9.3333812104845 -323.411223524121</f>
        <v>-905.56557225808751</v>
      </c>
      <c r="R1759" t="s">
        <v>21094</v>
      </c>
      <c r="S1759" t="s">
        <v>21095</v>
      </c>
      <c r="T1759" t="s">
        <v>21096</v>
      </c>
      <c r="U1759" t="s">
        <v>21097</v>
      </c>
      <c r="V1759">
        <f>-717.474194382516 -34.8208610641507 -93.3420571243848</f>
        <v>-845.63711257105149</v>
      </c>
      <c r="W1759" t="s">
        <v>21098</v>
      </c>
      <c r="X1759" t="s">
        <v>21099</v>
      </c>
      <c r="Y1759" t="s">
        <v>21100</v>
      </c>
    </row>
    <row r="1760" spans="1:25" x14ac:dyDescent="0.3">
      <c r="A1760">
        <v>87950</v>
      </c>
      <c r="B1760" t="s">
        <v>21101</v>
      </c>
      <c r="C1760" t="s">
        <v>21102</v>
      </c>
      <c r="D1760" t="s">
        <v>21103</v>
      </c>
      <c r="E1760" t="s">
        <v>21104</v>
      </c>
      <c r="F1760" t="s">
        <v>21105</v>
      </c>
      <c r="G1760" t="s">
        <v>21106</v>
      </c>
      <c r="H1760" t="s">
        <v>21107</v>
      </c>
      <c r="I1760" t="s">
        <v>21108</v>
      </c>
      <c r="J1760" t="s">
        <v>21109</v>
      </c>
      <c r="K1760" t="s">
        <v>21110</v>
      </c>
      <c r="L1760" t="s">
        <v>21111</v>
      </c>
      <c r="M1760" t="s">
        <v>21112</v>
      </c>
      <c r="N1760" t="s">
        <v>21113</v>
      </c>
      <c r="O1760">
        <f>-753.488883071653 -130.830726139443 -518.789937877768</f>
        <v>-1403.109547088864</v>
      </c>
      <c r="P1760">
        <f>-752.806236965276 -135.341737879373 -224.561446541189</f>
        <v>-1112.7094213858379</v>
      </c>
      <c r="Q1760">
        <f>-572.912888289205 -9.1360688305183 -323.361023603846</f>
        <v>-905.40998072356922</v>
      </c>
      <c r="R1760" t="s">
        <v>21114</v>
      </c>
      <c r="S1760" t="s">
        <v>21115</v>
      </c>
      <c r="T1760" t="s">
        <v>21116</v>
      </c>
      <c r="U1760" t="s">
        <v>21117</v>
      </c>
      <c r="V1760">
        <f>-717.58153842281 -34.7669722473913 -93.3455475885975</f>
        <v>-845.6940582587988</v>
      </c>
      <c r="W1760" t="s">
        <v>21118</v>
      </c>
      <c r="X1760" t="s">
        <v>21119</v>
      </c>
      <c r="Y1760" t="s">
        <v>21120</v>
      </c>
    </row>
    <row r="1761" spans="1:25" x14ac:dyDescent="0.3">
      <c r="A1761">
        <v>88000</v>
      </c>
      <c r="B1761" t="s">
        <v>21121</v>
      </c>
      <c r="C1761" t="s">
        <v>21122</v>
      </c>
      <c r="D1761" t="s">
        <v>21123</v>
      </c>
      <c r="E1761" t="s">
        <v>21124</v>
      </c>
      <c r="F1761" t="s">
        <v>21125</v>
      </c>
      <c r="G1761" t="s">
        <v>21126</v>
      </c>
      <c r="H1761" t="s">
        <v>21127</v>
      </c>
      <c r="I1761" t="s">
        <v>21128</v>
      </c>
      <c r="J1761" t="s">
        <v>21129</v>
      </c>
      <c r="K1761" t="s">
        <v>21130</v>
      </c>
      <c r="L1761" t="s">
        <v>21131</v>
      </c>
      <c r="M1761" t="s">
        <v>21132</v>
      </c>
      <c r="N1761" t="s">
        <v>21133</v>
      </c>
      <c r="O1761">
        <f>-753.284128366787 -130.911413989008 -518.806729956485</f>
        <v>-1403.00227231228</v>
      </c>
      <c r="P1761">
        <f>-752.669621775082 -135.603310348926 -224.580849812836</f>
        <v>-1112.8537819368439</v>
      </c>
      <c r="Q1761">
        <f>-572.865261978387 -9.12106867396164 -323.188701458342</f>
        <v>-905.17503211069061</v>
      </c>
      <c r="R1761" t="s">
        <v>21134</v>
      </c>
      <c r="S1761" t="s">
        <v>21135</v>
      </c>
      <c r="T1761" t="s">
        <v>21136</v>
      </c>
      <c r="U1761" t="s">
        <v>21137</v>
      </c>
      <c r="V1761">
        <f>-717.963399670681 -35.0262516126886 -93.3286239044211</f>
        <v>-846.31827518779073</v>
      </c>
      <c r="W1761" t="s">
        <v>21138</v>
      </c>
      <c r="X1761" t="s">
        <v>21139</v>
      </c>
      <c r="Y1761" t="s">
        <v>21140</v>
      </c>
    </row>
    <row r="1762" spans="1:25" x14ac:dyDescent="0.3">
      <c r="A1762">
        <v>88050</v>
      </c>
      <c r="B1762" t="s">
        <v>21141</v>
      </c>
      <c r="C1762" t="s">
        <v>21142</v>
      </c>
      <c r="D1762" t="s">
        <v>21143</v>
      </c>
      <c r="E1762" t="s">
        <v>21144</v>
      </c>
      <c r="F1762" t="s">
        <v>21145</v>
      </c>
      <c r="G1762" t="s">
        <v>21146</v>
      </c>
      <c r="H1762" t="s">
        <v>21147</v>
      </c>
      <c r="I1762" t="s">
        <v>21148</v>
      </c>
      <c r="J1762" t="s">
        <v>21149</v>
      </c>
      <c r="K1762" t="s">
        <v>21150</v>
      </c>
      <c r="L1762" t="s">
        <v>21151</v>
      </c>
      <c r="M1762" t="s">
        <v>21152</v>
      </c>
      <c r="N1762" t="s">
        <v>21153</v>
      </c>
      <c r="O1762">
        <f>-753.138105674109 -130.972127818919 -518.785425236443</f>
        <v>-1402.8956587294711</v>
      </c>
      <c r="P1762">
        <f>-752.582194110137 -135.621051129495 -224.558791066517</f>
        <v>-1112.762036306149</v>
      </c>
      <c r="Q1762">
        <f>-572.848745295571 -9.00277429714561 -323.121179165613</f>
        <v>-904.97269875832967</v>
      </c>
      <c r="R1762" t="s">
        <v>21154</v>
      </c>
      <c r="S1762" t="s">
        <v>21155</v>
      </c>
      <c r="T1762" t="s">
        <v>21156</v>
      </c>
      <c r="U1762" t="s">
        <v>21157</v>
      </c>
      <c r="V1762">
        <f>-718.032741199558 -35.0462507370171 -93.3185651189179</f>
        <v>-846.39755705549305</v>
      </c>
      <c r="W1762" t="s">
        <v>21158</v>
      </c>
      <c r="X1762" t="s">
        <v>21159</v>
      </c>
      <c r="Y1762" t="s">
        <v>21160</v>
      </c>
    </row>
    <row r="1763" spans="1:25" x14ac:dyDescent="0.3">
      <c r="A1763">
        <v>88100</v>
      </c>
      <c r="B1763" t="s">
        <v>21161</v>
      </c>
      <c r="C1763" t="s">
        <v>21162</v>
      </c>
      <c r="D1763" t="s">
        <v>21163</v>
      </c>
      <c r="E1763" t="s">
        <v>21164</v>
      </c>
      <c r="F1763" t="s">
        <v>21165</v>
      </c>
      <c r="G1763" t="s">
        <v>21166</v>
      </c>
      <c r="H1763" t="s">
        <v>21167</v>
      </c>
      <c r="I1763" t="s">
        <v>21168</v>
      </c>
      <c r="J1763" t="s">
        <v>21169</v>
      </c>
      <c r="K1763" t="s">
        <v>21170</v>
      </c>
      <c r="L1763" t="s">
        <v>21171</v>
      </c>
      <c r="M1763" t="s">
        <v>21172</v>
      </c>
      <c r="N1763" t="s">
        <v>21173</v>
      </c>
      <c r="O1763">
        <f>-752.896755749686 -131.044211316132 -518.722822166875</f>
        <v>-1402.663789232693</v>
      </c>
      <c r="P1763">
        <f>-752.4204915124 -135.624226784902 -224.495087114342</f>
        <v>-1112.539805411644</v>
      </c>
      <c r="Q1763">
        <f>-572.795770757353 -8.75568904229476 -322.934060993945</f>
        <v>-904.48552079359274</v>
      </c>
      <c r="R1763" t="s">
        <v>21174</v>
      </c>
      <c r="S1763" t="s">
        <v>21175</v>
      </c>
      <c r="T1763" t="s">
        <v>21176</v>
      </c>
      <c r="U1763" t="s">
        <v>21177</v>
      </c>
      <c r="V1763">
        <f>-718.058614173546 -35.011732101977 -93.3006652799002</f>
        <v>-846.37101155542314</v>
      </c>
      <c r="W1763" t="s">
        <v>21178</v>
      </c>
      <c r="X1763" t="s">
        <v>21179</v>
      </c>
      <c r="Y1763" t="s">
        <v>21180</v>
      </c>
    </row>
    <row r="1764" spans="1:25" x14ac:dyDescent="0.3">
      <c r="A1764">
        <v>88150</v>
      </c>
      <c r="B1764" t="s">
        <v>21181</v>
      </c>
      <c r="C1764" t="s">
        <v>21182</v>
      </c>
      <c r="D1764" t="s">
        <v>21183</v>
      </c>
      <c r="E1764" t="s">
        <v>21184</v>
      </c>
      <c r="F1764" t="s">
        <v>21185</v>
      </c>
      <c r="G1764" t="s">
        <v>21186</v>
      </c>
      <c r="H1764" t="s">
        <v>21187</v>
      </c>
      <c r="I1764" t="s">
        <v>21188</v>
      </c>
      <c r="J1764" t="s">
        <v>21189</v>
      </c>
      <c r="K1764" t="s">
        <v>21190</v>
      </c>
      <c r="L1764" t="s">
        <v>21191</v>
      </c>
      <c r="M1764" t="s">
        <v>21192</v>
      </c>
      <c r="N1764" t="s">
        <v>21193</v>
      </c>
      <c r="O1764">
        <f>-752.834787082237 -131.029485795693 -518.697734046292</f>
        <v>-1402.562006924222</v>
      </c>
      <c r="P1764">
        <f>-752.350505533007 -135.600726965395 -224.469760251565</f>
        <v>-1112.4209927499669</v>
      </c>
      <c r="Q1764">
        <f>-572.804870015531 -8.61060603547185 -322.895987607919</f>
        <v>-904.31146365892187</v>
      </c>
      <c r="R1764" t="s">
        <v>21194</v>
      </c>
      <c r="S1764" t="s">
        <v>21195</v>
      </c>
      <c r="T1764" t="s">
        <v>21196</v>
      </c>
      <c r="U1764" t="s">
        <v>21197</v>
      </c>
      <c r="V1764">
        <f>-718.021814212812 -34.9988623932634 -93.2963395535522</f>
        <v>-846.31701615962766</v>
      </c>
      <c r="W1764" t="s">
        <v>21198</v>
      </c>
      <c r="X1764" t="s">
        <v>21199</v>
      </c>
      <c r="Y1764" t="s">
        <v>21200</v>
      </c>
    </row>
    <row r="1765" spans="1:25" x14ac:dyDescent="0.3">
      <c r="A1765">
        <v>88200</v>
      </c>
      <c r="B1765" t="s">
        <v>21201</v>
      </c>
      <c r="C1765" t="s">
        <v>21202</v>
      </c>
      <c r="D1765" t="s">
        <v>21203</v>
      </c>
      <c r="E1765" t="s">
        <v>21204</v>
      </c>
      <c r="F1765" t="s">
        <v>21205</v>
      </c>
      <c r="G1765" t="s">
        <v>21206</v>
      </c>
      <c r="H1765" t="s">
        <v>21207</v>
      </c>
      <c r="I1765" t="s">
        <v>21208</v>
      </c>
      <c r="J1765" t="s">
        <v>21209</v>
      </c>
      <c r="K1765" t="s">
        <v>21210</v>
      </c>
      <c r="L1765" t="s">
        <v>21211</v>
      </c>
      <c r="M1765" t="s">
        <v>21212</v>
      </c>
      <c r="N1765" t="s">
        <v>21213</v>
      </c>
      <c r="O1765">
        <f>-752.811782003714 -131.167946551697 -518.642008964052</f>
        <v>-1402.6217375194631</v>
      </c>
      <c r="P1765">
        <f>-752.34382457844 -135.571664199446 -224.411445324842</f>
        <v>-1112.326934102728</v>
      </c>
      <c r="Q1765">
        <f>-572.59215195266 -8.81467868274194 -322.762451010931</f>
        <v>-904.16928164633282</v>
      </c>
      <c r="R1765" t="s">
        <v>21214</v>
      </c>
      <c r="S1765" t="s">
        <v>21215</v>
      </c>
      <c r="T1765" t="s">
        <v>21216</v>
      </c>
      <c r="U1765" t="s">
        <v>21217</v>
      </c>
      <c r="V1765">
        <f>-717.973129489888 -35.0734942640374 -93.2841839456786</f>
        <v>-846.33080769960407</v>
      </c>
      <c r="W1765" t="s">
        <v>21218</v>
      </c>
      <c r="X1765" t="s">
        <v>21219</v>
      </c>
      <c r="Y1765" t="s">
        <v>21220</v>
      </c>
    </row>
    <row r="1766" spans="1:25" x14ac:dyDescent="0.3">
      <c r="A1766">
        <v>88250</v>
      </c>
      <c r="B1766" t="s">
        <v>21221</v>
      </c>
      <c r="C1766" t="s">
        <v>21222</v>
      </c>
      <c r="D1766" t="s">
        <v>21223</v>
      </c>
      <c r="E1766" t="s">
        <v>21224</v>
      </c>
      <c r="F1766" t="s">
        <v>21225</v>
      </c>
      <c r="G1766" t="s">
        <v>21226</v>
      </c>
      <c r="H1766" t="s">
        <v>21227</v>
      </c>
      <c r="I1766" t="s">
        <v>21228</v>
      </c>
      <c r="J1766" t="s">
        <v>21229</v>
      </c>
      <c r="K1766" t="s">
        <v>21230</v>
      </c>
      <c r="L1766" t="s">
        <v>21231</v>
      </c>
      <c r="M1766" t="s">
        <v>21232</v>
      </c>
      <c r="N1766" t="s">
        <v>21233</v>
      </c>
      <c r="O1766">
        <f>-752.805353894827 -131.159259248516 -518.611045096506</f>
        <v>-1402.575658239849</v>
      </c>
      <c r="P1766">
        <f>-752.244122334009 -135.554679003045 -224.380644365456</f>
        <v>-1112.1794457025101</v>
      </c>
      <c r="Q1766">
        <f>-572.342612877645 -8.82942225008787 -322.498102255163</f>
        <v>-903.67013738289597</v>
      </c>
      <c r="R1766" t="s">
        <v>21234</v>
      </c>
      <c r="S1766" t="s">
        <v>21235</v>
      </c>
      <c r="T1766" t="s">
        <v>21236</v>
      </c>
      <c r="U1766" t="s">
        <v>21237</v>
      </c>
      <c r="V1766">
        <f>-717.901928566927 -34.9772358985563 -93.2860283231799</f>
        <v>-846.16519278866326</v>
      </c>
      <c r="W1766" t="s">
        <v>21238</v>
      </c>
      <c r="X1766" t="s">
        <v>21239</v>
      </c>
      <c r="Y1766" t="s">
        <v>21240</v>
      </c>
    </row>
    <row r="1767" spans="1:25" x14ac:dyDescent="0.3">
      <c r="A1767">
        <v>88300</v>
      </c>
      <c r="B1767" t="s">
        <v>21241</v>
      </c>
      <c r="C1767" t="s">
        <v>21242</v>
      </c>
      <c r="D1767" t="s">
        <v>21243</v>
      </c>
      <c r="E1767" t="s">
        <v>21244</v>
      </c>
      <c r="F1767" t="s">
        <v>21245</v>
      </c>
      <c r="G1767" t="s">
        <v>21246</v>
      </c>
      <c r="H1767" t="s">
        <v>21247</v>
      </c>
      <c r="I1767" t="s">
        <v>21248</v>
      </c>
      <c r="J1767" t="s">
        <v>21249</v>
      </c>
      <c r="K1767" t="s">
        <v>21250</v>
      </c>
      <c r="L1767" t="s">
        <v>21251</v>
      </c>
      <c r="M1767" t="s">
        <v>21252</v>
      </c>
      <c r="N1767" t="s">
        <v>21253</v>
      </c>
      <c r="O1767">
        <f>-752.59031206563 -131.139079556012 -518.648619662497</f>
        <v>-1402.3780112841391</v>
      </c>
      <c r="P1767">
        <f>-752.044304853395 -135.690007584586 -224.420488437426</f>
        <v>-1112.1548008754071</v>
      </c>
      <c r="Q1767">
        <f>-572.198577896167 -8.66036245620353 -322.245916818183</f>
        <v>-903.10485717055349</v>
      </c>
      <c r="R1767" t="s">
        <v>21254</v>
      </c>
      <c r="S1767" t="s">
        <v>21255</v>
      </c>
      <c r="T1767" t="s">
        <v>21256</v>
      </c>
      <c r="U1767" t="s">
        <v>21257</v>
      </c>
      <c r="V1767">
        <f>-717.767535721521 -34.9913608058582 -93.2995431091878</f>
        <v>-846.05843963656696</v>
      </c>
      <c r="W1767" t="s">
        <v>21258</v>
      </c>
      <c r="X1767" t="s">
        <v>21259</v>
      </c>
      <c r="Y1767" t="s">
        <v>21260</v>
      </c>
    </row>
    <row r="1768" spans="1:25" x14ac:dyDescent="0.3">
      <c r="A1768">
        <v>88350</v>
      </c>
      <c r="B1768" t="s">
        <v>21261</v>
      </c>
      <c r="C1768" t="s">
        <v>21262</v>
      </c>
      <c r="D1768" t="s">
        <v>21263</v>
      </c>
      <c r="E1768" t="s">
        <v>21264</v>
      </c>
      <c r="F1768" t="s">
        <v>21265</v>
      </c>
      <c r="G1768" t="s">
        <v>21266</v>
      </c>
      <c r="H1768" t="s">
        <v>21267</v>
      </c>
      <c r="I1768" t="s">
        <v>21268</v>
      </c>
      <c r="J1768" t="s">
        <v>21269</v>
      </c>
      <c r="K1768" t="s">
        <v>21270</v>
      </c>
      <c r="L1768" t="s">
        <v>21271</v>
      </c>
      <c r="M1768" t="s">
        <v>21272</v>
      </c>
      <c r="N1768" t="s">
        <v>21273</v>
      </c>
      <c r="O1768">
        <f>-752.497197802923 -131.015624134987 -518.744812457939</f>
        <v>-1402.257634395849</v>
      </c>
      <c r="P1768">
        <f>-751.99599286843 -135.731613076823 -224.519150185569</f>
        <v>-1112.246756130822</v>
      </c>
      <c r="Q1768">
        <f>-572.273860116401 -8.50757084216411 -322.319347497293</f>
        <v>-903.10077845585806</v>
      </c>
      <c r="R1768" t="s">
        <v>21274</v>
      </c>
      <c r="S1768" t="s">
        <v>21275</v>
      </c>
      <c r="T1768" t="s">
        <v>21276</v>
      </c>
      <c r="U1768" t="s">
        <v>21277</v>
      </c>
      <c r="V1768">
        <f>-717.67898650024 -34.9501043931252 -93.3099367282925</f>
        <v>-845.93902762165771</v>
      </c>
      <c r="W1768" t="s">
        <v>21278</v>
      </c>
      <c r="X1768" t="s">
        <v>21279</v>
      </c>
      <c r="Y1768" t="s">
        <v>21280</v>
      </c>
    </row>
    <row r="1769" spans="1:25" x14ac:dyDescent="0.3">
      <c r="A1769">
        <v>88400</v>
      </c>
      <c r="B1769" t="s">
        <v>21281</v>
      </c>
      <c r="C1769" t="s">
        <v>21282</v>
      </c>
      <c r="D1769" t="s">
        <v>21283</v>
      </c>
      <c r="E1769" t="s">
        <v>21284</v>
      </c>
      <c r="F1769" t="s">
        <v>21285</v>
      </c>
      <c r="G1769" t="s">
        <v>21286</v>
      </c>
      <c r="H1769" t="s">
        <v>21287</v>
      </c>
      <c r="I1769" t="s">
        <v>21288</v>
      </c>
      <c r="J1769" t="s">
        <v>21289</v>
      </c>
      <c r="K1769" t="s">
        <v>21290</v>
      </c>
      <c r="L1769" t="s">
        <v>21291</v>
      </c>
      <c r="M1769" t="s">
        <v>21292</v>
      </c>
      <c r="N1769" t="s">
        <v>21293</v>
      </c>
      <c r="O1769">
        <f>-752.369540037834 -130.840345499195 -519.001335465386</f>
        <v>-1402.211221002415</v>
      </c>
      <c r="P1769">
        <f>-751.834096333195 -136.150157676695 -224.785954008696</f>
        <v>-1112.7702080185861</v>
      </c>
      <c r="Q1769">
        <f>-572.469477178425 -8.11391160222092 -322.181613910033</f>
        <v>-902.7650026906789</v>
      </c>
      <c r="R1769" t="s">
        <v>21294</v>
      </c>
      <c r="S1769" t="s">
        <v>21295</v>
      </c>
      <c r="T1769" t="s">
        <v>21296</v>
      </c>
      <c r="U1769" t="s">
        <v>21297</v>
      </c>
      <c r="V1769">
        <f>-717.574041628505 -35.1225712383978 -93.3201454080458</f>
        <v>-846.01675827494864</v>
      </c>
      <c r="W1769" t="s">
        <v>21298</v>
      </c>
      <c r="X1769" t="s">
        <v>21299</v>
      </c>
      <c r="Y1769" t="s">
        <v>21300</v>
      </c>
    </row>
    <row r="1770" spans="1:25" x14ac:dyDescent="0.3">
      <c r="A1770">
        <v>88450</v>
      </c>
      <c r="B1770" t="s">
        <v>21301</v>
      </c>
      <c r="C1770" t="s">
        <v>21302</v>
      </c>
      <c r="D1770" t="s">
        <v>21303</v>
      </c>
      <c r="E1770" t="s">
        <v>21304</v>
      </c>
      <c r="F1770" t="s">
        <v>21305</v>
      </c>
      <c r="G1770" t="s">
        <v>21306</v>
      </c>
      <c r="H1770" t="s">
        <v>21307</v>
      </c>
      <c r="I1770" t="s">
        <v>21308</v>
      </c>
      <c r="J1770" t="s">
        <v>21309</v>
      </c>
      <c r="K1770" t="s">
        <v>21310</v>
      </c>
      <c r="L1770" t="s">
        <v>21311</v>
      </c>
      <c r="M1770" t="s">
        <v>21312</v>
      </c>
      <c r="N1770" t="s">
        <v>21313</v>
      </c>
      <c r="O1770">
        <f>-752.203103631978 -130.629080412103 -519.143775540062</f>
        <v>-1401.9759595841431</v>
      </c>
      <c r="P1770">
        <f>-751.684495462907 -136.275004650512 -224.934384491172</f>
        <v>-1112.893884604591</v>
      </c>
      <c r="Q1770">
        <f>-572.502470483797 -7.78527332245949 -322.068746291958</f>
        <v>-902.35649009821441</v>
      </c>
      <c r="R1770" t="s">
        <v>21314</v>
      </c>
      <c r="S1770" t="s">
        <v>21315</v>
      </c>
      <c r="T1770" t="s">
        <v>21316</v>
      </c>
      <c r="U1770" t="s">
        <v>21317</v>
      </c>
      <c r="V1770">
        <f>-717.496383602254 -35.1594704391837 -93.3160934854916</f>
        <v>-845.97194752692928</v>
      </c>
      <c r="W1770" t="s">
        <v>21318</v>
      </c>
      <c r="X1770" t="s">
        <v>21319</v>
      </c>
      <c r="Y1770" t="s">
        <v>21320</v>
      </c>
    </row>
    <row r="1771" spans="1:25" x14ac:dyDescent="0.3">
      <c r="A1771">
        <v>88500</v>
      </c>
      <c r="B1771" t="s">
        <v>21321</v>
      </c>
      <c r="C1771" t="s">
        <v>21322</v>
      </c>
      <c r="D1771" t="s">
        <v>21323</v>
      </c>
      <c r="E1771" t="s">
        <v>21324</v>
      </c>
      <c r="F1771" t="s">
        <v>21325</v>
      </c>
      <c r="G1771" t="s">
        <v>21326</v>
      </c>
      <c r="H1771" t="s">
        <v>21327</v>
      </c>
      <c r="I1771" t="s">
        <v>21328</v>
      </c>
      <c r="J1771" t="s">
        <v>21329</v>
      </c>
      <c r="K1771" t="s">
        <v>21330</v>
      </c>
      <c r="L1771" t="s">
        <v>21331</v>
      </c>
      <c r="M1771" t="s">
        <v>21332</v>
      </c>
      <c r="N1771" t="s">
        <v>21333</v>
      </c>
      <c r="O1771">
        <f>-751.806884181849 -130.486222365579 -519.406081133897</f>
        <v>-1401.6991876813249</v>
      </c>
      <c r="P1771">
        <f>-751.698764892955 -136.402787343299 -225.201764234946</f>
        <v>-1113.3033164711999</v>
      </c>
      <c r="Q1771">
        <f>-572.117435953547 -7.75274350505993 -321.38204116889</f>
        <v>-901.25222062749685</v>
      </c>
      <c r="R1771" t="s">
        <v>21334</v>
      </c>
      <c r="S1771" t="s">
        <v>21335</v>
      </c>
      <c r="T1771" t="s">
        <v>21336</v>
      </c>
      <c r="U1771" t="s">
        <v>21337</v>
      </c>
      <c r="V1771">
        <f>-717.482059873121 -35.3629249447245 -93.3248227838434</f>
        <v>-846.16980760168883</v>
      </c>
      <c r="W1771" t="s">
        <v>21338</v>
      </c>
      <c r="X1771" t="s">
        <v>21339</v>
      </c>
      <c r="Y1771" t="s">
        <v>21340</v>
      </c>
    </row>
    <row r="1772" spans="1:25" x14ac:dyDescent="0.3">
      <c r="A1772">
        <v>88550</v>
      </c>
      <c r="B1772" t="s">
        <v>21341</v>
      </c>
      <c r="C1772" t="s">
        <v>21342</v>
      </c>
      <c r="D1772" t="s">
        <v>21343</v>
      </c>
      <c r="E1772" t="s">
        <v>21344</v>
      </c>
      <c r="F1772" t="s">
        <v>21345</v>
      </c>
      <c r="G1772" t="s">
        <v>21346</v>
      </c>
      <c r="H1772" t="s">
        <v>21347</v>
      </c>
      <c r="I1772" t="s">
        <v>21348</v>
      </c>
      <c r="J1772" t="s">
        <v>21349</v>
      </c>
      <c r="K1772" t="s">
        <v>21350</v>
      </c>
      <c r="L1772" t="s">
        <v>21351</v>
      </c>
      <c r="M1772" t="s">
        <v>21352</v>
      </c>
      <c r="N1772" t="s">
        <v>21353</v>
      </c>
      <c r="O1772">
        <f>-751.646696852301 -130.442231960194 -519.487160705035</f>
        <v>-1401.5760895175299</v>
      </c>
      <c r="P1772">
        <f>-751.597886972002 -136.506950535141 -225.28582949435</f>
        <v>-1113.3906670014931</v>
      </c>
      <c r="Q1772">
        <f>-571.954836393036 -7.63237836317671 -321.048798296682</f>
        <v>-900.63601305289467</v>
      </c>
      <c r="R1772" t="s">
        <v>21354</v>
      </c>
      <c r="S1772" t="s">
        <v>21355</v>
      </c>
      <c r="T1772" t="s">
        <v>21356</v>
      </c>
      <c r="U1772" t="s">
        <v>21357</v>
      </c>
      <c r="V1772">
        <f>-717.484834595963 -35.4814084747654 -93.3276980793612</f>
        <v>-846.29394115008961</v>
      </c>
      <c r="W1772" t="s">
        <v>21358</v>
      </c>
      <c r="X1772" t="s">
        <v>21359</v>
      </c>
      <c r="Y1772" t="s">
        <v>21360</v>
      </c>
    </row>
    <row r="1773" spans="1:25" x14ac:dyDescent="0.3">
      <c r="A1773">
        <v>88600</v>
      </c>
      <c r="B1773" t="s">
        <v>21361</v>
      </c>
      <c r="C1773" t="s">
        <v>21362</v>
      </c>
      <c r="D1773" t="s">
        <v>21363</v>
      </c>
      <c r="E1773" t="s">
        <v>21364</v>
      </c>
      <c r="F1773" t="s">
        <v>21365</v>
      </c>
      <c r="G1773" t="s">
        <v>21366</v>
      </c>
      <c r="H1773" t="s">
        <v>21367</v>
      </c>
      <c r="I1773" t="s">
        <v>21368</v>
      </c>
      <c r="J1773" t="s">
        <v>21369</v>
      </c>
      <c r="K1773" t="s">
        <v>21370</v>
      </c>
      <c r="L1773" t="s">
        <v>21371</v>
      </c>
      <c r="M1773" t="s">
        <v>21372</v>
      </c>
      <c r="N1773" t="s">
        <v>21373</v>
      </c>
      <c r="O1773">
        <f>-751.388545116834 -130.40048189209 -519.678395036756</f>
        <v>-1401.46742204568</v>
      </c>
      <c r="P1773">
        <f>-751.296736450168 -136.866556138099 -225.485751513808</f>
        <v>-1113.6490441020751</v>
      </c>
      <c r="Q1773">
        <f>-572.074217586019 -7.30225976625547 -321.105834549332</f>
        <v>-900.48231190160641</v>
      </c>
      <c r="R1773" t="s">
        <v>21374</v>
      </c>
      <c r="S1773" t="s">
        <v>21375</v>
      </c>
      <c r="T1773" t="s">
        <v>21376</v>
      </c>
      <c r="U1773" t="s">
        <v>21377</v>
      </c>
      <c r="V1773">
        <f>-717.567029902711 -35.7563484563002 -93.3296601994272</f>
        <v>-846.65303855843842</v>
      </c>
      <c r="W1773" t="s">
        <v>21378</v>
      </c>
      <c r="X1773" t="s">
        <v>21379</v>
      </c>
      <c r="Y1773" t="s">
        <v>21380</v>
      </c>
    </row>
    <row r="1774" spans="1:25" x14ac:dyDescent="0.3">
      <c r="A1774">
        <v>88650</v>
      </c>
      <c r="B1774" t="s">
        <v>21381</v>
      </c>
      <c r="C1774" t="s">
        <v>21382</v>
      </c>
      <c r="D1774" t="s">
        <v>21383</v>
      </c>
      <c r="E1774" t="s">
        <v>21384</v>
      </c>
      <c r="F1774" t="s">
        <v>21385</v>
      </c>
      <c r="G1774" t="s">
        <v>21386</v>
      </c>
      <c r="H1774" t="s">
        <v>21387</v>
      </c>
      <c r="I1774" t="s">
        <v>21388</v>
      </c>
      <c r="J1774" t="s">
        <v>21389</v>
      </c>
      <c r="K1774" t="s">
        <v>21390</v>
      </c>
      <c r="L1774" t="s">
        <v>21391</v>
      </c>
      <c r="M1774" t="s">
        <v>21392</v>
      </c>
      <c r="N1774" t="s">
        <v>21393</v>
      </c>
      <c r="O1774">
        <f>-751.343323421842 -130.358594427585 -519.773733259982</f>
        <v>-1401.475651109409</v>
      </c>
      <c r="P1774">
        <f>-751.18062437 -137.035775524581 -225.585621927177</f>
        <v>-1113.802021821758</v>
      </c>
      <c r="Q1774">
        <f>-572.475647328094 -6.89815318267983 -321.396007144116</f>
        <v>-900.76980765488997</v>
      </c>
      <c r="R1774" t="s">
        <v>21394</v>
      </c>
      <c r="S1774" t="s">
        <v>21395</v>
      </c>
      <c r="T1774" t="s">
        <v>21396</v>
      </c>
      <c r="U1774" t="s">
        <v>21397</v>
      </c>
      <c r="V1774">
        <f>-717.661420857342 -35.9169820699242 -93.3344142780441</f>
        <v>-846.91281720531026</v>
      </c>
      <c r="W1774" t="s">
        <v>21398</v>
      </c>
      <c r="X1774" t="s">
        <v>21399</v>
      </c>
      <c r="Y1774" t="s">
        <v>21400</v>
      </c>
    </row>
    <row r="1775" spans="1:25" x14ac:dyDescent="0.3">
      <c r="A1775">
        <v>88700</v>
      </c>
      <c r="B1775" t="s">
        <v>21401</v>
      </c>
      <c r="C1775" t="s">
        <v>21402</v>
      </c>
      <c r="D1775" t="s">
        <v>21403</v>
      </c>
      <c r="E1775" t="s">
        <v>21404</v>
      </c>
      <c r="F1775" t="s">
        <v>21405</v>
      </c>
      <c r="G1775" t="s">
        <v>21406</v>
      </c>
      <c r="H1775" t="s">
        <v>21407</v>
      </c>
      <c r="I1775" t="s">
        <v>21408</v>
      </c>
      <c r="J1775" t="s">
        <v>21409</v>
      </c>
      <c r="K1775" t="s">
        <v>21410</v>
      </c>
      <c r="L1775" t="s">
        <v>21411</v>
      </c>
      <c r="M1775" t="s">
        <v>21412</v>
      </c>
      <c r="N1775" t="s">
        <v>21413</v>
      </c>
      <c r="O1775">
        <f>-751.543936405477 -130.336896118501 -520.008560837438</f>
        <v>-1401.8893933614158</v>
      </c>
      <c r="P1775">
        <f>-751.214504214309 -137.799666510551 -225.839597794027</f>
        <v>-1114.8537685188871</v>
      </c>
      <c r="Q1775">
        <f>-573.312026363404 -6.48751950550695 -321.540529213994</f>
        <v>-901.34007508290495</v>
      </c>
      <c r="R1775" t="s">
        <v>21414</v>
      </c>
      <c r="S1775" t="s">
        <v>21415</v>
      </c>
      <c r="T1775" t="s">
        <v>21416</v>
      </c>
      <c r="U1775" t="s">
        <v>21417</v>
      </c>
      <c r="V1775">
        <f>-717.961002702833 -36.3281897053735 -93.311036402564</f>
        <v>-847.60022881077043</v>
      </c>
      <c r="W1775" t="s">
        <v>21418</v>
      </c>
      <c r="X1775" t="s">
        <v>21419</v>
      </c>
      <c r="Y1775" t="s">
        <v>21420</v>
      </c>
    </row>
    <row r="1776" spans="1:25" x14ac:dyDescent="0.3">
      <c r="A1776">
        <v>88750</v>
      </c>
      <c r="B1776" t="s">
        <v>21421</v>
      </c>
      <c r="C1776" t="s">
        <v>21422</v>
      </c>
      <c r="D1776" t="s">
        <v>21423</v>
      </c>
      <c r="E1776" t="s">
        <v>21424</v>
      </c>
      <c r="F1776" t="s">
        <v>21425</v>
      </c>
      <c r="G1776" t="s">
        <v>21426</v>
      </c>
      <c r="H1776" t="s">
        <v>21427</v>
      </c>
      <c r="I1776" t="s">
        <v>21428</v>
      </c>
      <c r="J1776" t="s">
        <v>21429</v>
      </c>
      <c r="K1776" t="s">
        <v>21430</v>
      </c>
      <c r="L1776" t="s">
        <v>21431</v>
      </c>
      <c r="M1776" t="s">
        <v>21432</v>
      </c>
      <c r="N1776" t="s">
        <v>21433</v>
      </c>
      <c r="O1776">
        <f>-751.581578954551 -130.221326039913 -520.141167217623</f>
        <v>-1401.9440722120871</v>
      </c>
      <c r="P1776">
        <f>-751.093688179566 -138.174248188109 -225.985202228355</f>
        <v>-1115.2531385960301</v>
      </c>
      <c r="Q1776">
        <f>-573.749368878918 -5.95507592254012 -321.473489490638</f>
        <v>-901.1779342920961</v>
      </c>
      <c r="R1776" t="s">
        <v>21434</v>
      </c>
      <c r="S1776" t="s">
        <v>21435</v>
      </c>
      <c r="T1776" t="s">
        <v>21436</v>
      </c>
      <c r="U1776" t="s">
        <v>21437</v>
      </c>
      <c r="V1776">
        <f>-717.997400150099 -36.274316324043 -93.3147451883941</f>
        <v>-847.58646166253607</v>
      </c>
      <c r="W1776" t="s">
        <v>21438</v>
      </c>
      <c r="X1776" t="s">
        <v>21439</v>
      </c>
      <c r="Y1776" t="s">
        <v>21440</v>
      </c>
    </row>
    <row r="1777" spans="1:25" x14ac:dyDescent="0.3">
      <c r="A1777">
        <v>88800</v>
      </c>
      <c r="B1777" t="s">
        <v>21441</v>
      </c>
      <c r="C1777" t="s">
        <v>21442</v>
      </c>
      <c r="D1777" t="s">
        <v>21443</v>
      </c>
      <c r="E1777" t="s">
        <v>21444</v>
      </c>
      <c r="F1777" t="s">
        <v>21445</v>
      </c>
      <c r="G1777" t="s">
        <v>21446</v>
      </c>
      <c r="H1777" t="s">
        <v>21447</v>
      </c>
      <c r="I1777" t="s">
        <v>21448</v>
      </c>
      <c r="J1777" t="s">
        <v>21449</v>
      </c>
      <c r="K1777" t="s">
        <v>21450</v>
      </c>
      <c r="L1777" t="s">
        <v>21451</v>
      </c>
      <c r="M1777" t="s">
        <v>21452</v>
      </c>
      <c r="N1777" t="s">
        <v>21453</v>
      </c>
      <c r="O1777">
        <f>-751.749531856048 -130.246709555337 -520.327114184523</f>
        <v>-1402.323355595908</v>
      </c>
      <c r="P1777">
        <f>-751.453637074544 -138.553834734547 -226.180596276884</f>
        <v>-1116.1880680859749</v>
      </c>
      <c r="Q1777">
        <f>-573.941352670492 -6.15491946399175 -321.10623312543</f>
        <v>-901.20250525991378</v>
      </c>
      <c r="R1777" t="s">
        <v>21454</v>
      </c>
      <c r="S1777" t="s">
        <v>21455</v>
      </c>
      <c r="T1777" t="s">
        <v>21456</v>
      </c>
      <c r="U1777" t="s">
        <v>21457</v>
      </c>
      <c r="V1777">
        <f>-718.331190161008 -36.6692635413804 -93.3068190416222</f>
        <v>-848.30727274401056</v>
      </c>
      <c r="W1777" t="s">
        <v>21458</v>
      </c>
      <c r="X1777" t="s">
        <v>21459</v>
      </c>
      <c r="Y1777" t="s">
        <v>21460</v>
      </c>
    </row>
    <row r="1778" spans="1:25" x14ac:dyDescent="0.3">
      <c r="A1778">
        <v>88850</v>
      </c>
      <c r="B1778" t="s">
        <v>21461</v>
      </c>
      <c r="C1778" t="s">
        <v>21462</v>
      </c>
      <c r="D1778" t="s">
        <v>21463</v>
      </c>
      <c r="E1778" t="s">
        <v>21464</v>
      </c>
      <c r="F1778" t="s">
        <v>21465</v>
      </c>
      <c r="G1778" t="s">
        <v>21466</v>
      </c>
      <c r="H1778" t="s">
        <v>21467</v>
      </c>
      <c r="I1778" t="s">
        <v>21468</v>
      </c>
      <c r="J1778" t="s">
        <v>21469</v>
      </c>
      <c r="K1778" t="s">
        <v>21470</v>
      </c>
      <c r="L1778" t="s">
        <v>21471</v>
      </c>
      <c r="M1778" t="s">
        <v>21472</v>
      </c>
      <c r="N1778" t="s">
        <v>21473</v>
      </c>
      <c r="O1778">
        <f>-751.819111220173 -130.249182662327 -520.371540100056</f>
        <v>-1402.4398339825561</v>
      </c>
      <c r="P1778">
        <f>-751.597234707652 -138.468656854812 -226.222498484868</f>
        <v>-1116.2883900473321</v>
      </c>
      <c r="Q1778">
        <f>-573.763650969974 -6.23970944402595 -320.782682684654</f>
        <v>-900.78604309865398</v>
      </c>
      <c r="R1778" t="s">
        <v>21474</v>
      </c>
      <c r="S1778" t="s">
        <v>21475</v>
      </c>
      <c r="T1778" t="s">
        <v>21476</v>
      </c>
      <c r="U1778" t="s">
        <v>21477</v>
      </c>
      <c r="V1778">
        <f>-718.400835278586 -36.7320488670402 -93.3313209502222</f>
        <v>-848.46420509584846</v>
      </c>
      <c r="W1778" t="s">
        <v>21478</v>
      </c>
      <c r="X1778" t="s">
        <v>21479</v>
      </c>
      <c r="Y1778" t="s">
        <v>21480</v>
      </c>
    </row>
    <row r="1779" spans="1:25" x14ac:dyDescent="0.3">
      <c r="A1779">
        <v>88900</v>
      </c>
      <c r="B1779" t="s">
        <v>21481</v>
      </c>
      <c r="C1779" t="s">
        <v>21482</v>
      </c>
      <c r="D1779" t="s">
        <v>21483</v>
      </c>
      <c r="E1779" t="s">
        <v>21484</v>
      </c>
      <c r="F1779" t="s">
        <v>21485</v>
      </c>
      <c r="G1779" t="s">
        <v>21486</v>
      </c>
      <c r="H1779" t="s">
        <v>21487</v>
      </c>
      <c r="I1779" t="s">
        <v>21488</v>
      </c>
      <c r="J1779" t="s">
        <v>21489</v>
      </c>
      <c r="K1779" t="s">
        <v>21490</v>
      </c>
      <c r="L1779" t="s">
        <v>21491</v>
      </c>
      <c r="M1779" t="s">
        <v>21492</v>
      </c>
      <c r="N1779" t="s">
        <v>21493</v>
      </c>
      <c r="O1779">
        <f>-751.98197222998 -130.387376531997 -520.513491627719</f>
        <v>-1402.882840389696</v>
      </c>
      <c r="P1779">
        <f>-751.619227607443 -138.777753368774 -226.369598704633</f>
        <v>-1116.7665796808501</v>
      </c>
      <c r="Q1779">
        <f>-574.295386234287 -5.78770267312871 -320.819610960631</f>
        <v>-900.90269986804674</v>
      </c>
      <c r="R1779" t="s">
        <v>21494</v>
      </c>
      <c r="S1779" t="s">
        <v>21495</v>
      </c>
      <c r="T1779" t="s">
        <v>21496</v>
      </c>
      <c r="U1779" t="s">
        <v>21497</v>
      </c>
      <c r="V1779">
        <f>-718.773843870003 -37.1126435573422 -93.3548749741403</f>
        <v>-849.2413624014855</v>
      </c>
      <c r="W1779" t="s">
        <v>21498</v>
      </c>
      <c r="X1779" t="s">
        <v>21499</v>
      </c>
      <c r="Y1779" t="s">
        <v>21500</v>
      </c>
    </row>
    <row r="1780" spans="1:25" x14ac:dyDescent="0.3">
      <c r="A1780">
        <v>88950</v>
      </c>
      <c r="B1780" t="s">
        <v>21501</v>
      </c>
      <c r="C1780" t="s">
        <v>21502</v>
      </c>
      <c r="D1780" t="s">
        <v>21503</v>
      </c>
      <c r="E1780" t="s">
        <v>21504</v>
      </c>
      <c r="F1780" t="s">
        <v>21505</v>
      </c>
      <c r="G1780" t="s">
        <v>21506</v>
      </c>
      <c r="H1780" t="s">
        <v>21507</v>
      </c>
      <c r="I1780" t="s">
        <v>21508</v>
      </c>
      <c r="J1780" t="s">
        <v>21509</v>
      </c>
      <c r="K1780" t="s">
        <v>21510</v>
      </c>
      <c r="L1780" t="s">
        <v>21511</v>
      </c>
      <c r="M1780" t="s">
        <v>21512</v>
      </c>
      <c r="N1780" t="s">
        <v>21513</v>
      </c>
      <c r="O1780">
        <f>-752.031784235146 -130.309856620329 -520.584508577039</f>
        <v>-1402.926149432514</v>
      </c>
      <c r="P1780">
        <f>-751.527542730119 -138.826610225278 -226.444429668632</f>
        <v>-1116.798582624029</v>
      </c>
      <c r="Q1780">
        <f>-574.452378656983 -5.5348568394968 -320.935514613739</f>
        <v>-900.92275011021877</v>
      </c>
      <c r="R1780" t="s">
        <v>21514</v>
      </c>
      <c r="S1780" t="s">
        <v>21515</v>
      </c>
      <c r="T1780" t="s">
        <v>21516</v>
      </c>
      <c r="U1780" t="s">
        <v>21517</v>
      </c>
      <c r="V1780">
        <f>-718.876137587544 -37.0602736427743 -93.3682182315341</f>
        <v>-849.30462946185241</v>
      </c>
      <c r="W1780" t="s">
        <v>21518</v>
      </c>
      <c r="X1780" t="s">
        <v>21519</v>
      </c>
      <c r="Y1780" t="s">
        <v>21520</v>
      </c>
    </row>
    <row r="1781" spans="1:25" x14ac:dyDescent="0.3">
      <c r="A1781">
        <v>89000</v>
      </c>
      <c r="B1781" t="s">
        <v>21521</v>
      </c>
      <c r="C1781" t="s">
        <v>21522</v>
      </c>
      <c r="D1781" t="s">
        <v>21523</v>
      </c>
      <c r="E1781" t="s">
        <v>21524</v>
      </c>
      <c r="F1781" t="s">
        <v>21525</v>
      </c>
      <c r="G1781" t="s">
        <v>21526</v>
      </c>
      <c r="H1781" t="s">
        <v>21527</v>
      </c>
      <c r="I1781" t="s">
        <v>21528</v>
      </c>
      <c r="J1781" t="s">
        <v>21529</v>
      </c>
      <c r="K1781" t="s">
        <v>21530</v>
      </c>
      <c r="L1781" t="s">
        <v>21531</v>
      </c>
      <c r="M1781" t="s">
        <v>21532</v>
      </c>
      <c r="N1781" t="s">
        <v>21533</v>
      </c>
      <c r="O1781">
        <f>-752.288054849762 -130.335562097157 -520.669005811323</f>
        <v>-1403.292622758242</v>
      </c>
      <c r="P1781">
        <f>-751.46565613102 -139.057639273089 -226.535520428026</f>
        <v>-1117.058815832135</v>
      </c>
      <c r="Q1781">
        <f>-574.691129142716 -5.22589233507938 -320.825851172489</f>
        <v>-900.74287265028443</v>
      </c>
      <c r="R1781" t="s">
        <v>21534</v>
      </c>
      <c r="S1781" t="s">
        <v>21535</v>
      </c>
      <c r="T1781" t="s">
        <v>21536</v>
      </c>
      <c r="U1781" t="s">
        <v>21537</v>
      </c>
      <c r="V1781">
        <f>-719.168319284248 -37.3691238261349 -93.3797924422518</f>
        <v>-849.91723555263468</v>
      </c>
      <c r="W1781" t="s">
        <v>21538</v>
      </c>
      <c r="X1781" t="s">
        <v>21539</v>
      </c>
      <c r="Y1781" t="s">
        <v>21540</v>
      </c>
    </row>
    <row r="1782" spans="1:25" x14ac:dyDescent="0.3">
      <c r="A1782">
        <v>89050</v>
      </c>
      <c r="B1782" t="s">
        <v>21541</v>
      </c>
      <c r="C1782" t="s">
        <v>21542</v>
      </c>
      <c r="D1782" t="s">
        <v>21543</v>
      </c>
      <c r="E1782" t="s">
        <v>21544</v>
      </c>
      <c r="F1782" t="s">
        <v>21545</v>
      </c>
      <c r="G1782" t="s">
        <v>21546</v>
      </c>
      <c r="H1782" t="s">
        <v>21547</v>
      </c>
      <c r="I1782" t="s">
        <v>21548</v>
      </c>
      <c r="J1782" t="s">
        <v>21549</v>
      </c>
      <c r="K1782" t="s">
        <v>21550</v>
      </c>
      <c r="L1782" t="s">
        <v>21551</v>
      </c>
      <c r="M1782" t="s">
        <v>21552</v>
      </c>
      <c r="N1782" t="s">
        <v>21553</v>
      </c>
      <c r="O1782">
        <f>-752.365259606373 -130.44517851307 -520.670474252007</f>
        <v>-1403.4809123714499</v>
      </c>
      <c r="P1782">
        <f>-751.44565100177 -139.210453587696 -226.538720161328</f>
        <v>-1117.1948247507939</v>
      </c>
      <c r="Q1782">
        <f>-574.718183592309 -5.32126883920182 -320.835773037181</f>
        <v>-900.87522546869172</v>
      </c>
      <c r="R1782" t="s">
        <v>21554</v>
      </c>
      <c r="S1782" t="s">
        <v>21555</v>
      </c>
      <c r="T1782" t="s">
        <v>21556</v>
      </c>
      <c r="U1782" t="s">
        <v>21557</v>
      </c>
      <c r="V1782">
        <f>-719.17772416859 -37.4771559079188 -93.3926489708556</f>
        <v>-850.04752904736438</v>
      </c>
      <c r="W1782" t="s">
        <v>21558</v>
      </c>
      <c r="X1782" t="s">
        <v>21559</v>
      </c>
      <c r="Y1782" t="s">
        <v>21560</v>
      </c>
    </row>
    <row r="1783" spans="1:25" x14ac:dyDescent="0.3">
      <c r="A1783">
        <v>89100</v>
      </c>
      <c r="B1783" t="s">
        <v>21561</v>
      </c>
      <c r="C1783" t="s">
        <v>21562</v>
      </c>
      <c r="D1783" t="s">
        <v>21563</v>
      </c>
      <c r="E1783" t="s">
        <v>21564</v>
      </c>
      <c r="F1783" t="s">
        <v>21565</v>
      </c>
      <c r="G1783" t="s">
        <v>21566</v>
      </c>
      <c r="H1783" t="s">
        <v>21567</v>
      </c>
      <c r="I1783" t="s">
        <v>21568</v>
      </c>
      <c r="J1783" t="s">
        <v>21569</v>
      </c>
      <c r="K1783" t="s">
        <v>21570</v>
      </c>
      <c r="L1783" t="s">
        <v>21571</v>
      </c>
      <c r="M1783" t="s">
        <v>21572</v>
      </c>
      <c r="N1783" t="s">
        <v>21573</v>
      </c>
      <c r="O1783">
        <f>-752.376921164484 -130.606926625739 -520.588899647454</f>
        <v>-1403.572747437677</v>
      </c>
      <c r="P1783">
        <f>-751.15655983954 -139.031268840571 -226.448120221708</f>
        <v>-1116.6359489018191</v>
      </c>
      <c r="Q1783">
        <f>-574.522970670461 -5.1222950424517 -320.89290304126</f>
        <v>-900.5381687541726</v>
      </c>
      <c r="R1783" t="s">
        <v>21574</v>
      </c>
      <c r="S1783" t="s">
        <v>21575</v>
      </c>
      <c r="T1783" t="s">
        <v>21576</v>
      </c>
      <c r="U1783" t="s">
        <v>21577</v>
      </c>
      <c r="V1783">
        <f>-719.070143513106 -37.478953643842 -93.4083990631572</f>
        <v>-849.95749622010521</v>
      </c>
      <c r="W1783" t="s">
        <v>21578</v>
      </c>
      <c r="X1783" t="s">
        <v>21579</v>
      </c>
      <c r="Y1783" t="s">
        <v>21580</v>
      </c>
    </row>
    <row r="1784" spans="1:25" x14ac:dyDescent="0.3">
      <c r="A1784">
        <v>89150</v>
      </c>
      <c r="B1784" t="s">
        <v>21581</v>
      </c>
      <c r="C1784" t="s">
        <v>21582</v>
      </c>
      <c r="D1784" t="s">
        <v>21583</v>
      </c>
      <c r="E1784" t="s">
        <v>21584</v>
      </c>
      <c r="F1784" t="s">
        <v>21585</v>
      </c>
      <c r="G1784" t="s">
        <v>21586</v>
      </c>
      <c r="H1784" t="s">
        <v>21587</v>
      </c>
      <c r="I1784" t="s">
        <v>21588</v>
      </c>
      <c r="J1784" t="s">
        <v>21589</v>
      </c>
      <c r="K1784" t="s">
        <v>21590</v>
      </c>
      <c r="L1784" t="s">
        <v>21591</v>
      </c>
      <c r="M1784" t="s">
        <v>21592</v>
      </c>
      <c r="N1784" t="s">
        <v>21593</v>
      </c>
      <c r="O1784">
        <f>-752.298816160321 -130.707525832896 -520.587706807421</f>
        <v>-1403.5940488006381</v>
      </c>
      <c r="P1784">
        <f>-750.951169672706 -139.103043551644 -226.44670273942</f>
        <v>-1116.50091596377</v>
      </c>
      <c r="Q1784">
        <f>-574.320980505562 -5.17331725585314 -320.8681702239</f>
        <v>-900.36246798531511</v>
      </c>
      <c r="R1784" t="s">
        <v>21594</v>
      </c>
      <c r="S1784" t="s">
        <v>21595</v>
      </c>
      <c r="T1784" t="s">
        <v>21596</v>
      </c>
      <c r="U1784" t="s">
        <v>21597</v>
      </c>
      <c r="V1784">
        <f>-718.96234542664 -37.5580165375081 -93.4257527030717</f>
        <v>-849.94611466721983</v>
      </c>
      <c r="W1784" t="s">
        <v>21598</v>
      </c>
      <c r="X1784" t="s">
        <v>21599</v>
      </c>
      <c r="Y1784" t="s">
        <v>21600</v>
      </c>
    </row>
    <row r="1785" spans="1:25" x14ac:dyDescent="0.3">
      <c r="A1785">
        <v>89200</v>
      </c>
      <c r="B1785" t="s">
        <v>21601</v>
      </c>
      <c r="C1785" t="s">
        <v>21602</v>
      </c>
      <c r="D1785" t="s">
        <v>21603</v>
      </c>
      <c r="E1785" t="s">
        <v>21604</v>
      </c>
      <c r="F1785" t="s">
        <v>21605</v>
      </c>
      <c r="G1785" t="s">
        <v>21606</v>
      </c>
      <c r="H1785" t="s">
        <v>21607</v>
      </c>
      <c r="I1785" t="s">
        <v>21608</v>
      </c>
      <c r="J1785" t="s">
        <v>21609</v>
      </c>
      <c r="K1785" t="s">
        <v>21610</v>
      </c>
      <c r="L1785" t="s">
        <v>21611</v>
      </c>
      <c r="M1785" t="s">
        <v>21612</v>
      </c>
      <c r="N1785" t="s">
        <v>21613</v>
      </c>
      <c r="O1785">
        <f>-752.080044632998 -130.805549725333 -520.678240696453</f>
        <v>-1403.563835054784</v>
      </c>
      <c r="P1785">
        <f>-750.342301552102 -139.215166627165 -226.53964925534</f>
        <v>-1116.0971174346068</v>
      </c>
      <c r="Q1785">
        <f>-573.922438796945 -5.08253966335133 -321.066484448704</f>
        <v>-900.07146290900027</v>
      </c>
      <c r="R1785" t="s">
        <v>21614</v>
      </c>
      <c r="S1785" t="s">
        <v>21615</v>
      </c>
      <c r="T1785" t="s">
        <v>21616</v>
      </c>
      <c r="U1785" t="s">
        <v>21617</v>
      </c>
      <c r="V1785">
        <f>-718.812983672569 -37.6151387620796 -93.4791828440808</f>
        <v>-849.90730527872938</v>
      </c>
      <c r="W1785" t="s">
        <v>21618</v>
      </c>
      <c r="X1785" t="s">
        <v>21619</v>
      </c>
      <c r="Y1785" t="s">
        <v>21620</v>
      </c>
    </row>
    <row r="1786" spans="1:25" x14ac:dyDescent="0.3">
      <c r="A1786">
        <v>89250</v>
      </c>
      <c r="B1786" t="s">
        <v>21621</v>
      </c>
      <c r="C1786" t="s">
        <v>21622</v>
      </c>
      <c r="D1786" t="s">
        <v>21623</v>
      </c>
      <c r="E1786" t="s">
        <v>21624</v>
      </c>
      <c r="F1786" t="s">
        <v>21625</v>
      </c>
      <c r="G1786" t="s">
        <v>21626</v>
      </c>
      <c r="H1786" t="s">
        <v>21627</v>
      </c>
      <c r="I1786" t="s">
        <v>21628</v>
      </c>
      <c r="J1786" t="s">
        <v>21629</v>
      </c>
      <c r="K1786" t="s">
        <v>21630</v>
      </c>
      <c r="L1786" t="s">
        <v>21631</v>
      </c>
      <c r="M1786" t="s">
        <v>21632</v>
      </c>
      <c r="N1786" t="s">
        <v>21633</v>
      </c>
      <c r="O1786">
        <f>-751.838988577047 -130.761828845962 -520.732938144691</f>
        <v>-1403.3337555676999</v>
      </c>
      <c r="P1786">
        <f>-749.950230422965 -139.230880928287 -226.597195151496</f>
        <v>-1115.7783065027479</v>
      </c>
      <c r="Q1786">
        <f>-573.748972435863 -4.96095768791201 -321.336248470958</f>
        <v>-900.04617859473308</v>
      </c>
      <c r="R1786" t="s">
        <v>21634</v>
      </c>
      <c r="S1786" t="s">
        <v>21635</v>
      </c>
      <c r="T1786" t="s">
        <v>21636</v>
      </c>
      <c r="U1786" t="s">
        <v>21637</v>
      </c>
      <c r="V1786">
        <f>-718.743219242412 -37.6421281054224 -93.4958678182149</f>
        <v>-849.8812151660494</v>
      </c>
      <c r="W1786" t="s">
        <v>21638</v>
      </c>
      <c r="X1786" t="s">
        <v>21639</v>
      </c>
      <c r="Y1786" t="s">
        <v>21640</v>
      </c>
    </row>
    <row r="1787" spans="1:25" x14ac:dyDescent="0.3">
      <c r="A1787">
        <v>89300</v>
      </c>
      <c r="B1787" t="s">
        <v>21641</v>
      </c>
      <c r="C1787" t="s">
        <v>21642</v>
      </c>
      <c r="D1787" t="s">
        <v>21643</v>
      </c>
      <c r="E1787" t="s">
        <v>21644</v>
      </c>
      <c r="F1787" t="s">
        <v>21645</v>
      </c>
      <c r="G1787" t="s">
        <v>21646</v>
      </c>
      <c r="H1787" t="s">
        <v>21647</v>
      </c>
      <c r="I1787" t="s">
        <v>21648</v>
      </c>
      <c r="J1787" t="s">
        <v>21649</v>
      </c>
      <c r="K1787" t="s">
        <v>21650</v>
      </c>
      <c r="L1787" t="s">
        <v>21651</v>
      </c>
      <c r="M1787" t="s">
        <v>21652</v>
      </c>
      <c r="N1787" t="s">
        <v>21653</v>
      </c>
      <c r="O1787">
        <f>-751.095072058439 -130.660504736514 -520.875645361082</f>
        <v>-1402.6312221560349</v>
      </c>
      <c r="P1787">
        <f>-749.237694351273 -139.213231394239 -226.741894784917</f>
        <v>-1115.1928205304289</v>
      </c>
      <c r="Q1787">
        <f>-573.286934389725 -4.66636347769941 -321.553730782191</f>
        <v>-899.50702864961545</v>
      </c>
      <c r="R1787" t="s">
        <v>21654</v>
      </c>
      <c r="S1787" t="s">
        <v>21655</v>
      </c>
      <c r="T1787" t="s">
        <v>21656</v>
      </c>
      <c r="U1787" t="s">
        <v>21657</v>
      </c>
      <c r="V1787">
        <f>-718.547133186266 -37.7428220515869 -93.5394815418102</f>
        <v>-849.82943677966318</v>
      </c>
      <c r="W1787" t="s">
        <v>21658</v>
      </c>
      <c r="X1787" t="s">
        <v>21659</v>
      </c>
      <c r="Y1787" t="s">
        <v>21660</v>
      </c>
    </row>
    <row r="1788" spans="1:25" x14ac:dyDescent="0.3">
      <c r="A1788">
        <v>89350</v>
      </c>
      <c r="B1788" t="s">
        <v>21661</v>
      </c>
      <c r="C1788" t="s">
        <v>21662</v>
      </c>
      <c r="D1788" t="s">
        <v>21663</v>
      </c>
      <c r="E1788" t="s">
        <v>21664</v>
      </c>
      <c r="F1788" t="s">
        <v>21665</v>
      </c>
      <c r="G1788" t="s">
        <v>21666</v>
      </c>
      <c r="H1788" t="s">
        <v>21667</v>
      </c>
      <c r="I1788" t="s">
        <v>21668</v>
      </c>
      <c r="J1788" t="s">
        <v>21669</v>
      </c>
      <c r="K1788" t="s">
        <v>21670</v>
      </c>
      <c r="L1788" t="s">
        <v>21671</v>
      </c>
      <c r="M1788" t="s">
        <v>21672</v>
      </c>
      <c r="N1788" t="s">
        <v>21673</v>
      </c>
      <c r="O1788">
        <f>-750.703556914799 -130.706769748437 -520.904079990586</f>
        <v>-1402.3144066538221</v>
      </c>
      <c r="P1788">
        <f>-748.9146656368 -139.32666759361 -226.771916865181</f>
        <v>-1115.013250095591</v>
      </c>
      <c r="Q1788">
        <f>-572.995589789746 -4.63366511281106 -321.435441657973</f>
        <v>-899.06469656053002</v>
      </c>
      <c r="R1788" t="s">
        <v>21674</v>
      </c>
      <c r="S1788" t="s">
        <v>21675</v>
      </c>
      <c r="T1788" t="s">
        <v>21676</v>
      </c>
      <c r="U1788" t="s">
        <v>21677</v>
      </c>
      <c r="V1788">
        <f>-718.349750664408 -37.7157194193564 -93.5640844832598</f>
        <v>-849.62955456702423</v>
      </c>
      <c r="W1788" t="s">
        <v>21678</v>
      </c>
      <c r="X1788" t="s">
        <v>21679</v>
      </c>
      <c r="Y1788" t="s">
        <v>21680</v>
      </c>
    </row>
    <row r="1789" spans="1:25" x14ac:dyDescent="0.3">
      <c r="A1789">
        <v>89400</v>
      </c>
      <c r="B1789" t="s">
        <v>21681</v>
      </c>
      <c r="C1789" t="s">
        <v>21682</v>
      </c>
      <c r="D1789" t="s">
        <v>21683</v>
      </c>
      <c r="E1789" t="s">
        <v>21684</v>
      </c>
      <c r="F1789" t="s">
        <v>21685</v>
      </c>
      <c r="G1789" t="s">
        <v>21686</v>
      </c>
      <c r="H1789" t="s">
        <v>21687</v>
      </c>
      <c r="I1789" t="s">
        <v>21688</v>
      </c>
      <c r="J1789" t="s">
        <v>21689</v>
      </c>
      <c r="K1789" t="s">
        <v>21690</v>
      </c>
      <c r="L1789" t="s">
        <v>21691</v>
      </c>
      <c r="M1789" t="s">
        <v>21692</v>
      </c>
      <c r="N1789" t="s">
        <v>21693</v>
      </c>
      <c r="O1789">
        <f>-750.39976856102 -130.87340966018 -520.92198990873</f>
        <v>-1402.1951681299299</v>
      </c>
      <c r="P1789">
        <f>-748.764013894897 -139.504909343688 -226.789324192608</f>
        <v>-1115.058247431193</v>
      </c>
      <c r="Q1789">
        <f>-572.815232319072 -4.6860950613509 -321.218094155176</f>
        <v>-898.71942153559894</v>
      </c>
      <c r="R1789" t="s">
        <v>21694</v>
      </c>
      <c r="S1789" t="s">
        <v>21695</v>
      </c>
      <c r="T1789" t="s">
        <v>21696</v>
      </c>
      <c r="U1789" t="s">
        <v>21697</v>
      </c>
      <c r="V1789">
        <f>-718.224141568883 -37.9064534664715 -93.5651613302846</f>
        <v>-849.69575636563911</v>
      </c>
      <c r="W1789" t="s">
        <v>21698</v>
      </c>
      <c r="X1789" t="s">
        <v>21699</v>
      </c>
      <c r="Y1789" t="s">
        <v>21700</v>
      </c>
    </row>
    <row r="1790" spans="1:25" x14ac:dyDescent="0.3">
      <c r="A1790">
        <v>89450</v>
      </c>
      <c r="B1790" t="s">
        <v>21701</v>
      </c>
      <c r="C1790" t="s">
        <v>21702</v>
      </c>
      <c r="D1790" t="s">
        <v>21703</v>
      </c>
      <c r="E1790" t="s">
        <v>21704</v>
      </c>
      <c r="F1790" t="s">
        <v>21705</v>
      </c>
      <c r="G1790" t="s">
        <v>21706</v>
      </c>
      <c r="H1790" t="s">
        <v>21707</v>
      </c>
      <c r="I1790" t="s">
        <v>21708</v>
      </c>
      <c r="J1790" t="s">
        <v>21709</v>
      </c>
      <c r="K1790" t="s">
        <v>21710</v>
      </c>
      <c r="L1790" t="s">
        <v>21711</v>
      </c>
      <c r="M1790" t="s">
        <v>21712</v>
      </c>
      <c r="N1790" t="s">
        <v>21713</v>
      </c>
      <c r="O1790">
        <f>-749.698286605035 -131.211197642928 -520.970388922357</f>
        <v>-1401.87987317032</v>
      </c>
      <c r="P1790">
        <f>-748.359869499795 -139.878104150777 -226.837221077892</f>
        <v>-1115.0751947284641</v>
      </c>
      <c r="Q1790">
        <f>-572.481907184035 -4.69237791404248 -320.872330274815</f>
        <v>-898.04661537289246</v>
      </c>
      <c r="R1790" t="s">
        <v>21714</v>
      </c>
      <c r="S1790" t="s">
        <v>21715</v>
      </c>
      <c r="T1790" t="s">
        <v>21716</v>
      </c>
      <c r="U1790" t="s">
        <v>21717</v>
      </c>
      <c r="V1790">
        <f>-717.818527536685 -38.1433112982556 -93.6040364671095</f>
        <v>-849.56587530205013</v>
      </c>
      <c r="W1790" t="s">
        <v>21718</v>
      </c>
      <c r="X1790" t="s">
        <v>21719</v>
      </c>
      <c r="Y1790" t="s">
        <v>21720</v>
      </c>
    </row>
    <row r="1791" spans="1:25" x14ac:dyDescent="0.3">
      <c r="A1791">
        <v>89500</v>
      </c>
      <c r="B1791" t="s">
        <v>21721</v>
      </c>
      <c r="C1791" t="s">
        <v>21722</v>
      </c>
      <c r="D1791" t="s">
        <v>21723</v>
      </c>
      <c r="E1791" t="s">
        <v>21724</v>
      </c>
      <c r="F1791" t="s">
        <v>21725</v>
      </c>
      <c r="G1791" t="s">
        <v>21726</v>
      </c>
      <c r="H1791" t="s">
        <v>21727</v>
      </c>
      <c r="I1791" t="s">
        <v>21728</v>
      </c>
      <c r="J1791" t="s">
        <v>21729</v>
      </c>
      <c r="K1791" t="s">
        <v>21730</v>
      </c>
      <c r="L1791" t="s">
        <v>21731</v>
      </c>
      <c r="M1791" t="s">
        <v>21732</v>
      </c>
      <c r="N1791" t="s">
        <v>21733</v>
      </c>
      <c r="O1791">
        <f>-749.61912902917 -131.484385291952 -520.983957676724</f>
        <v>-1402.087471997846</v>
      </c>
      <c r="P1791">
        <f>-748.346426421426 -140.232133138467 -226.852873509582</f>
        <v>-1115.4314330694751</v>
      </c>
      <c r="Q1791">
        <f>-572.505125726039 -4.8288442837702 -320.643374183717</f>
        <v>-897.97734419352616</v>
      </c>
      <c r="R1791" t="s">
        <v>21734</v>
      </c>
      <c r="S1791" t="s">
        <v>21735</v>
      </c>
      <c r="T1791" t="s">
        <v>21736</v>
      </c>
      <c r="U1791" t="s">
        <v>21737</v>
      </c>
      <c r="V1791">
        <f>-717.748848880923 -38.434338715374 -93.6005273116818</f>
        <v>-849.78371490797883</v>
      </c>
      <c r="W1791" t="s">
        <v>21738</v>
      </c>
      <c r="X1791" t="s">
        <v>21739</v>
      </c>
      <c r="Y1791" t="s">
        <v>21740</v>
      </c>
    </row>
    <row r="1792" spans="1:25" x14ac:dyDescent="0.3">
      <c r="A1792">
        <v>89550</v>
      </c>
      <c r="B1792" t="s">
        <v>21741</v>
      </c>
      <c r="C1792" t="s">
        <v>21742</v>
      </c>
      <c r="D1792" t="s">
        <v>21743</v>
      </c>
      <c r="E1792" t="s">
        <v>21744</v>
      </c>
      <c r="F1792" t="s">
        <v>21745</v>
      </c>
      <c r="G1792" t="s">
        <v>21746</v>
      </c>
      <c r="H1792" t="s">
        <v>21747</v>
      </c>
      <c r="I1792" t="s">
        <v>21748</v>
      </c>
      <c r="J1792" t="s">
        <v>21749</v>
      </c>
      <c r="K1792" t="s">
        <v>21750</v>
      </c>
      <c r="L1792" t="s">
        <v>21751</v>
      </c>
      <c r="M1792" t="s">
        <v>21752</v>
      </c>
      <c r="N1792" t="s">
        <v>21753</v>
      </c>
      <c r="O1792">
        <f>-749.686112810102 -132.07600486436 -521.007005415912</f>
        <v>-1402.769123090374</v>
      </c>
      <c r="P1792">
        <f>-748.493501032373 -141.097841487881 -226.883781289302</f>
        <v>-1116.4751238095562</v>
      </c>
      <c r="Q1792">
        <f>-572.873080818645 -5.14511896868544 -320.292418103706</f>
        <v>-898.31061789103637</v>
      </c>
      <c r="R1792" t="s">
        <v>21754</v>
      </c>
      <c r="S1792" t="s">
        <v>21755</v>
      </c>
      <c r="T1792" t="s">
        <v>21756</v>
      </c>
      <c r="U1792" t="s">
        <v>21757</v>
      </c>
      <c r="V1792">
        <f>-717.486526914873 -39.0749783006072 -93.6008962105791</f>
        <v>-850.16240142605932</v>
      </c>
      <c r="W1792" t="s">
        <v>21758</v>
      </c>
      <c r="X1792" t="s">
        <v>21759</v>
      </c>
      <c r="Y1792" t="s">
        <v>21760</v>
      </c>
    </row>
    <row r="1793" spans="1:25" x14ac:dyDescent="0.3">
      <c r="A1793">
        <v>89600</v>
      </c>
      <c r="B1793" t="s">
        <v>21761</v>
      </c>
      <c r="C1793" t="s">
        <v>21762</v>
      </c>
      <c r="D1793" t="s">
        <v>21763</v>
      </c>
      <c r="E1793" t="s">
        <v>21764</v>
      </c>
      <c r="F1793" t="s">
        <v>21765</v>
      </c>
      <c r="G1793" t="s">
        <v>21766</v>
      </c>
      <c r="H1793" t="s">
        <v>21767</v>
      </c>
      <c r="I1793" t="s">
        <v>21768</v>
      </c>
      <c r="J1793" t="s">
        <v>21769</v>
      </c>
      <c r="K1793" t="s">
        <v>21770</v>
      </c>
      <c r="L1793" t="s">
        <v>21771</v>
      </c>
      <c r="M1793" t="s">
        <v>21772</v>
      </c>
      <c r="N1793" t="s">
        <v>21773</v>
      </c>
      <c r="O1793">
        <f>-750.011059070656 -132.6705756076 -521.022189073447</f>
        <v>-1403.7038237517029</v>
      </c>
      <c r="P1793">
        <f>-748.794092376395 -141.805789668332 -226.902668507897</f>
        <v>-1117.5025505526241</v>
      </c>
      <c r="Q1793">
        <f>-573.48172973605 -5.16449804317085 -319.88421830969</f>
        <v>-898.53044608891094</v>
      </c>
      <c r="R1793" t="s">
        <v>21774</v>
      </c>
      <c r="S1793" t="s">
        <v>21775</v>
      </c>
      <c r="T1793" t="s">
        <v>21776</v>
      </c>
      <c r="U1793" t="s">
        <v>21777</v>
      </c>
      <c r="V1793">
        <f>-717.178280764147 -39.6092067210393 -93.6117598753835</f>
        <v>-850.3992473605698</v>
      </c>
      <c r="W1793" t="s">
        <v>21778</v>
      </c>
      <c r="X1793" t="s">
        <v>21779</v>
      </c>
      <c r="Y1793" t="s">
        <v>21780</v>
      </c>
    </row>
    <row r="1794" spans="1:25" x14ac:dyDescent="0.3">
      <c r="A1794">
        <v>89650</v>
      </c>
      <c r="B1794" t="s">
        <v>21781</v>
      </c>
      <c r="C1794" t="s">
        <v>21782</v>
      </c>
      <c r="D1794" t="s">
        <v>21783</v>
      </c>
      <c r="E1794" t="s">
        <v>21784</v>
      </c>
      <c r="F1794" t="s">
        <v>21785</v>
      </c>
      <c r="G1794" t="s">
        <v>21786</v>
      </c>
      <c r="H1794" t="s">
        <v>21787</v>
      </c>
      <c r="I1794" t="s">
        <v>21788</v>
      </c>
      <c r="J1794" t="s">
        <v>21789</v>
      </c>
      <c r="K1794" t="s">
        <v>21790</v>
      </c>
      <c r="L1794" t="s">
        <v>21791</v>
      </c>
      <c r="M1794" t="s">
        <v>21792</v>
      </c>
      <c r="N1794">
        <f>-747.356056518921 -0.0173682987947359 -555.7276078497</f>
        <v>-1303.1010326674159</v>
      </c>
      <c r="O1794">
        <f>-750.281472679732 -133.019627240524 -521.080948798697</f>
        <v>-1404.382048718953</v>
      </c>
      <c r="P1794">
        <f>-749.004742778079 -142.350398756545 -226.967783924554</f>
        <v>-1118.3229254591781</v>
      </c>
      <c r="Q1794">
        <f>-573.817002216364 -5.30264869543453 -319.58567020691</f>
        <v>-898.70532111870853</v>
      </c>
      <c r="R1794" t="s">
        <v>21793</v>
      </c>
      <c r="S1794" t="s">
        <v>21794</v>
      </c>
      <c r="T1794" t="s">
        <v>21795</v>
      </c>
      <c r="U1794" t="s">
        <v>21796</v>
      </c>
      <c r="V1794">
        <f>-717.021154994654 -39.8872163980559 -93.6097914133096</f>
        <v>-850.51816280601952</v>
      </c>
      <c r="W1794" t="s">
        <v>21797</v>
      </c>
      <c r="X1794" t="s">
        <v>21798</v>
      </c>
      <c r="Y1794" t="s">
        <v>21799</v>
      </c>
    </row>
    <row r="1795" spans="1:25" x14ac:dyDescent="0.3">
      <c r="A1795">
        <v>89700</v>
      </c>
      <c r="B1795" t="s">
        <v>21800</v>
      </c>
      <c r="C1795" t="s">
        <v>21801</v>
      </c>
      <c r="D1795" t="s">
        <v>21802</v>
      </c>
      <c r="E1795" t="s">
        <v>21803</v>
      </c>
      <c r="F1795" t="s">
        <v>21804</v>
      </c>
      <c r="G1795" t="s">
        <v>21805</v>
      </c>
      <c r="H1795" t="s">
        <v>21806</v>
      </c>
      <c r="I1795" t="s">
        <v>21807</v>
      </c>
      <c r="J1795" t="s">
        <v>21808</v>
      </c>
      <c r="K1795" t="s">
        <v>21809</v>
      </c>
      <c r="L1795" t="s">
        <v>21810</v>
      </c>
      <c r="M1795" t="s">
        <v>21811</v>
      </c>
      <c r="N1795">
        <f>-748.279498994559 -0.814710477947983 -555.765067843958</f>
        <v>-1304.8592773164651</v>
      </c>
      <c r="O1795">
        <f>-750.836800937856 -133.854993927422 -521.239206766926</f>
        <v>-1405.931001632204</v>
      </c>
      <c r="P1795">
        <f>-749.2562262897 -143.489566179561 -227.137428672911</f>
        <v>-1119.883221142172</v>
      </c>
      <c r="Q1795">
        <f>-574.61354576524 -5.39412283171418 -319.226814416068</f>
        <v>-899.23448301302221</v>
      </c>
      <c r="R1795" t="s">
        <v>21812</v>
      </c>
      <c r="S1795" t="s">
        <v>21813</v>
      </c>
      <c r="T1795" t="s">
        <v>21814</v>
      </c>
      <c r="U1795" t="s">
        <v>21815</v>
      </c>
      <c r="V1795">
        <f>-716.830237527899 -40.6895919774536 -93.6332236793346</f>
        <v>-851.15305318468722</v>
      </c>
      <c r="W1795" t="s">
        <v>21816</v>
      </c>
      <c r="X1795" t="s">
        <v>21817</v>
      </c>
      <c r="Y1795" t="s">
        <v>21818</v>
      </c>
    </row>
    <row r="1796" spans="1:25" x14ac:dyDescent="0.3">
      <c r="A1796">
        <v>89750</v>
      </c>
      <c r="B1796" t="s">
        <v>21819</v>
      </c>
      <c r="C1796" t="s">
        <v>21820</v>
      </c>
      <c r="D1796" t="s">
        <v>21821</v>
      </c>
      <c r="E1796" t="s">
        <v>21822</v>
      </c>
      <c r="F1796" t="s">
        <v>21823</v>
      </c>
      <c r="G1796" t="s">
        <v>21824</v>
      </c>
      <c r="H1796" t="s">
        <v>21825</v>
      </c>
      <c r="I1796" t="s">
        <v>21826</v>
      </c>
      <c r="J1796" t="s">
        <v>21827</v>
      </c>
      <c r="K1796" t="s">
        <v>21828</v>
      </c>
      <c r="L1796" t="s">
        <v>21829</v>
      </c>
      <c r="M1796" t="s">
        <v>21830</v>
      </c>
      <c r="N1796">
        <f>-748.765385388996 -1.24647564058841 -555.759297674526</f>
        <v>-1305.7711587041103</v>
      </c>
      <c r="O1796">
        <f>-751.085027282481 -134.299442643411 -521.280895909721</f>
        <v>-1406.6653658356131</v>
      </c>
      <c r="P1796">
        <f>-749.360047012311 -144.155061329011 -227.187197974953</f>
        <v>-1120.7023063162751</v>
      </c>
      <c r="Q1796">
        <f>-575.151676533162 -5.42478274557629 -319.144705563223</f>
        <v>-899.72116484196135</v>
      </c>
      <c r="R1796" t="s">
        <v>21831</v>
      </c>
      <c r="S1796" t="s">
        <v>21832</v>
      </c>
      <c r="T1796" t="s">
        <v>21833</v>
      </c>
      <c r="U1796" t="s">
        <v>21834</v>
      </c>
      <c r="V1796">
        <f>-716.789554420235 -41.1249200045365 -93.6449719990068</f>
        <v>-851.55944642377835</v>
      </c>
      <c r="W1796" t="s">
        <v>21835</v>
      </c>
      <c r="X1796" t="s">
        <v>21836</v>
      </c>
      <c r="Y1796" t="s">
        <v>21837</v>
      </c>
    </row>
    <row r="1797" spans="1:25" x14ac:dyDescent="0.3">
      <c r="A1797">
        <v>89800</v>
      </c>
      <c r="B1797" t="s">
        <v>21838</v>
      </c>
      <c r="C1797" t="s">
        <v>21839</v>
      </c>
      <c r="D1797" t="s">
        <v>21840</v>
      </c>
      <c r="E1797" t="s">
        <v>21841</v>
      </c>
      <c r="F1797" t="s">
        <v>21842</v>
      </c>
      <c r="G1797" t="s">
        <v>21843</v>
      </c>
      <c r="H1797" t="s">
        <v>21844</v>
      </c>
      <c r="I1797" t="s">
        <v>21845</v>
      </c>
      <c r="J1797" t="s">
        <v>21846</v>
      </c>
      <c r="K1797" t="s">
        <v>21847</v>
      </c>
      <c r="L1797" t="s">
        <v>21848</v>
      </c>
      <c r="M1797" t="s">
        <v>21849</v>
      </c>
      <c r="N1797">
        <f>-749.771417444952 -1.95417634927753 -555.758183970894</f>
        <v>-1307.4837777651237</v>
      </c>
      <c r="O1797">
        <f>-751.558799777241 -135.03851368048 -521.345265507933</f>
        <v>-1407.9425789656541</v>
      </c>
      <c r="P1797">
        <f>-749.616859083303 -144.92802669968 -227.254044932282</f>
        <v>-1121.798930715265</v>
      </c>
      <c r="Q1797">
        <f>-575.920373676988 -5.21752927038597 -318.69453775045</f>
        <v>-899.83244069782404</v>
      </c>
      <c r="R1797" t="s">
        <v>21850</v>
      </c>
      <c r="S1797" t="s">
        <v>21851</v>
      </c>
      <c r="T1797" t="s">
        <v>21852</v>
      </c>
      <c r="U1797" t="s">
        <v>21853</v>
      </c>
      <c r="V1797">
        <f>-716.900073343404 -41.7567122024168 -93.6546436868013</f>
        <v>-852.311429232622</v>
      </c>
      <c r="W1797" t="s">
        <v>21854</v>
      </c>
      <c r="X1797" t="s">
        <v>21855</v>
      </c>
      <c r="Y1797" t="s">
        <v>21856</v>
      </c>
    </row>
    <row r="1798" spans="1:25" x14ac:dyDescent="0.3">
      <c r="A1798">
        <v>89850</v>
      </c>
      <c r="B1798" t="s">
        <v>21857</v>
      </c>
      <c r="C1798" t="s">
        <v>21858</v>
      </c>
      <c r="D1798" t="s">
        <v>21859</v>
      </c>
      <c r="E1798" t="s">
        <v>21860</v>
      </c>
      <c r="F1798" t="s">
        <v>21861</v>
      </c>
      <c r="G1798" t="s">
        <v>21862</v>
      </c>
      <c r="H1798" t="s">
        <v>21863</v>
      </c>
      <c r="I1798" t="s">
        <v>21864</v>
      </c>
      <c r="J1798" t="s">
        <v>21865</v>
      </c>
      <c r="K1798" t="s">
        <v>21866</v>
      </c>
      <c r="L1798" t="s">
        <v>21867</v>
      </c>
      <c r="M1798" t="s">
        <v>21868</v>
      </c>
      <c r="N1798">
        <f>-750.200582348738 -2.22420162819731 -555.773250319835</f>
        <v>-1308.1980342967704</v>
      </c>
      <c r="O1798">
        <f>-751.722368089266 -135.3168758049 -521.388957924967</f>
        <v>-1408.4282018191329</v>
      </c>
      <c r="P1798">
        <f>-749.520202236063 -145.358163402774 -227.304835645455</f>
        <v>-1122.183201284292</v>
      </c>
      <c r="Q1798">
        <f>-576.314280727397 -4.96685886275259 -318.633133369272</f>
        <v>-899.91427295942162</v>
      </c>
      <c r="R1798" t="s">
        <v>21869</v>
      </c>
      <c r="S1798" t="s">
        <v>21870</v>
      </c>
      <c r="T1798" t="s">
        <v>21871</v>
      </c>
      <c r="U1798" t="s">
        <v>21872</v>
      </c>
      <c r="V1798">
        <f>-716.905074991668 -41.9653265257386 -93.6715520611947</f>
        <v>-852.54195357860135</v>
      </c>
      <c r="W1798" t="s">
        <v>21873</v>
      </c>
      <c r="X1798" t="s">
        <v>21874</v>
      </c>
      <c r="Y1798" t="s">
        <v>21875</v>
      </c>
    </row>
    <row r="1799" spans="1:25" x14ac:dyDescent="0.3">
      <c r="A1799">
        <v>89900</v>
      </c>
      <c r="B1799" t="s">
        <v>21876</v>
      </c>
      <c r="C1799" t="s">
        <v>21877</v>
      </c>
      <c r="D1799" t="s">
        <v>21878</v>
      </c>
      <c r="E1799" t="s">
        <v>21879</v>
      </c>
      <c r="F1799" t="s">
        <v>21880</v>
      </c>
      <c r="G1799" t="s">
        <v>21881</v>
      </c>
      <c r="H1799" t="s">
        <v>21882</v>
      </c>
      <c r="I1799" t="s">
        <v>21883</v>
      </c>
      <c r="J1799" t="s">
        <v>21884</v>
      </c>
      <c r="K1799" t="s">
        <v>21885</v>
      </c>
      <c r="L1799" t="s">
        <v>21886</v>
      </c>
      <c r="M1799" t="s">
        <v>21887</v>
      </c>
      <c r="N1799">
        <f>-751.103249875463 -2.94277933343665 -555.772184006366</f>
        <v>-1309.8182132152656</v>
      </c>
      <c r="O1799">
        <f>-752.168376753774 -136.06683955922 -521.475413447798</f>
        <v>-1409.710629760792</v>
      </c>
      <c r="P1799">
        <f>-749.547950375767 -146.510484576734 -227.408668455001</f>
        <v>-1123.467103407502</v>
      </c>
      <c r="Q1799">
        <f>-577.097198378002 -4.9893202998328 -318.421711851357</f>
        <v>-900.50823052919168</v>
      </c>
      <c r="R1799" t="s">
        <v>21888</v>
      </c>
      <c r="S1799" t="s">
        <v>21889</v>
      </c>
      <c r="T1799" t="s">
        <v>21890</v>
      </c>
      <c r="U1799" t="s">
        <v>21891</v>
      </c>
      <c r="V1799">
        <f>-717.017286755628 -42.7283191609934 -93.682910041687</f>
        <v>-853.42851595830837</v>
      </c>
      <c r="W1799" t="s">
        <v>21892</v>
      </c>
      <c r="X1799" t="s">
        <v>21893</v>
      </c>
      <c r="Y1799" t="s">
        <v>21894</v>
      </c>
    </row>
    <row r="1800" spans="1:25" x14ac:dyDescent="0.3">
      <c r="A1800">
        <v>89950</v>
      </c>
      <c r="B1800" t="s">
        <v>21895</v>
      </c>
      <c r="C1800" t="s">
        <v>21896</v>
      </c>
      <c r="D1800" t="s">
        <v>21897</v>
      </c>
      <c r="E1800" t="s">
        <v>21898</v>
      </c>
      <c r="F1800" t="s">
        <v>21899</v>
      </c>
      <c r="G1800" t="s">
        <v>21900</v>
      </c>
      <c r="H1800" t="s">
        <v>21901</v>
      </c>
      <c r="I1800" t="s">
        <v>21902</v>
      </c>
      <c r="J1800" t="s">
        <v>21903</v>
      </c>
      <c r="K1800" t="s">
        <v>21904</v>
      </c>
      <c r="L1800" t="s">
        <v>21905</v>
      </c>
      <c r="M1800" t="s">
        <v>21906</v>
      </c>
      <c r="N1800">
        <f>-751.504483160171 -3.14511304518624 -555.781081812413</f>
        <v>-1310.4306780177703</v>
      </c>
      <c r="O1800">
        <f>-752.354489636625 -136.287414758144 -521.539399974584</f>
        <v>-1410.1813043693528</v>
      </c>
      <c r="P1800">
        <f>-749.582494658724 -146.879512280951 -227.479214357604</f>
        <v>-1123.9412212972791</v>
      </c>
      <c r="Q1800">
        <f>-577.434759222925 -4.87171441647638 -318.307834042051</f>
        <v>-900.61430768145237</v>
      </c>
      <c r="R1800" t="s">
        <v>21907</v>
      </c>
      <c r="S1800" t="s">
        <v>21908</v>
      </c>
      <c r="T1800" t="s">
        <v>21909</v>
      </c>
      <c r="U1800" t="s">
        <v>21910</v>
      </c>
      <c r="V1800">
        <f>-717.05598185957 -42.9952287463209 -93.6934914418683</f>
        <v>-853.74470204775923</v>
      </c>
      <c r="W1800" t="s">
        <v>21911</v>
      </c>
      <c r="X1800" t="s">
        <v>21912</v>
      </c>
      <c r="Y1800" t="s">
        <v>21913</v>
      </c>
    </row>
    <row r="1801" spans="1:25" x14ac:dyDescent="0.3">
      <c r="A1801">
        <v>90000</v>
      </c>
      <c r="B1801" t="s">
        <v>21914</v>
      </c>
      <c r="C1801" t="s">
        <v>21915</v>
      </c>
      <c r="D1801" t="s">
        <v>21916</v>
      </c>
      <c r="E1801" t="s">
        <v>21917</v>
      </c>
      <c r="F1801" t="s">
        <v>21918</v>
      </c>
      <c r="G1801" t="s">
        <v>21919</v>
      </c>
      <c r="H1801" t="s">
        <v>21920</v>
      </c>
      <c r="I1801" t="s">
        <v>21921</v>
      </c>
      <c r="J1801" t="s">
        <v>21922</v>
      </c>
      <c r="K1801" t="s">
        <v>21923</v>
      </c>
      <c r="L1801" t="s">
        <v>21924</v>
      </c>
      <c r="M1801" t="s">
        <v>21925</v>
      </c>
      <c r="N1801">
        <f>-752.411999723912 -3.54564175511678 -555.795674295844</f>
        <v>-1311.7533157748728</v>
      </c>
      <c r="O1801">
        <f>-752.821910120172 -136.719198053436 -521.683213439959</f>
        <v>-1411.2243216135671</v>
      </c>
      <c r="P1801">
        <f>-749.826738520211 -147.63493037018 -227.637220723656</f>
        <v>-1125.098889614047</v>
      </c>
      <c r="Q1801">
        <f>-577.999850134934 -4.92676212528295 -317.974205123836</f>
        <v>-900.90081738405297</v>
      </c>
      <c r="R1801" t="s">
        <v>21926</v>
      </c>
      <c r="S1801" t="s">
        <v>21927</v>
      </c>
      <c r="T1801" t="s">
        <v>21928</v>
      </c>
      <c r="U1801" t="s">
        <v>21929</v>
      </c>
      <c r="V1801">
        <f>-717.109365350351 -43.5303721840976 -93.6932848878199</f>
        <v>-854.33302242226853</v>
      </c>
      <c r="W1801" t="s">
        <v>21930</v>
      </c>
      <c r="X1801" t="s">
        <v>21931</v>
      </c>
      <c r="Y1801" t="s">
        <v>21932</v>
      </c>
    </row>
    <row r="1802" spans="1:25" x14ac:dyDescent="0.3">
      <c r="A1802">
        <v>90050</v>
      </c>
      <c r="B1802" t="s">
        <v>21933</v>
      </c>
      <c r="C1802" t="s">
        <v>21934</v>
      </c>
      <c r="D1802" t="s">
        <v>21935</v>
      </c>
      <c r="E1802" t="s">
        <v>21936</v>
      </c>
      <c r="F1802" t="s">
        <v>21937</v>
      </c>
      <c r="G1802" t="s">
        <v>21938</v>
      </c>
      <c r="H1802" t="s">
        <v>21939</v>
      </c>
      <c r="I1802" t="s">
        <v>21940</v>
      </c>
      <c r="J1802" t="s">
        <v>21941</v>
      </c>
      <c r="K1802" t="s">
        <v>21942</v>
      </c>
      <c r="L1802" t="s">
        <v>21943</v>
      </c>
      <c r="M1802" t="s">
        <v>21944</v>
      </c>
      <c r="N1802">
        <f>-752.870744330045 -3.74602916891104 -555.801143853243</f>
        <v>-1312.4179173521991</v>
      </c>
      <c r="O1802">
        <f>-753.075798334324 -136.931792128063 -521.753579246603</f>
        <v>-1411.7611697089899</v>
      </c>
      <c r="P1802">
        <f>-749.904303110129 -148.065568496517 -227.717466184241</f>
        <v>-1125.6873377908871</v>
      </c>
      <c r="Q1802">
        <f>-578.283906834677 -4.92533672920104 -317.762837544399</f>
        <v>-900.97208110827705</v>
      </c>
      <c r="R1802" t="s">
        <v>21945</v>
      </c>
      <c r="S1802" t="s">
        <v>21946</v>
      </c>
      <c r="T1802" t="s">
        <v>21947</v>
      </c>
      <c r="U1802" t="s">
        <v>21948</v>
      </c>
      <c r="V1802">
        <f>-717.176844226622 -43.7622245499713 -93.6903374988077</f>
        <v>-854.62940627540104</v>
      </c>
      <c r="W1802" t="s">
        <v>21949</v>
      </c>
      <c r="X1802" t="s">
        <v>21950</v>
      </c>
      <c r="Y1802" t="s">
        <v>21951</v>
      </c>
    </row>
    <row r="1803" spans="1:25" x14ac:dyDescent="0.3">
      <c r="A1803">
        <v>90100</v>
      </c>
      <c r="B1803" t="s">
        <v>21952</v>
      </c>
      <c r="C1803" t="s">
        <v>21953</v>
      </c>
      <c r="D1803" t="s">
        <v>21954</v>
      </c>
      <c r="E1803" t="s">
        <v>21955</v>
      </c>
      <c r="F1803" t="s">
        <v>21956</v>
      </c>
      <c r="G1803" t="s">
        <v>21957</v>
      </c>
      <c r="H1803" t="s">
        <v>21958</v>
      </c>
      <c r="I1803" t="s">
        <v>21959</v>
      </c>
      <c r="J1803" t="s">
        <v>21960</v>
      </c>
      <c r="K1803" t="s">
        <v>21961</v>
      </c>
      <c r="L1803" t="s">
        <v>21962</v>
      </c>
      <c r="M1803" t="s">
        <v>21963</v>
      </c>
      <c r="N1803">
        <f>-753.470789687179 -4.09846923537157 -555.831075165351</f>
        <v>-1313.4003340879017</v>
      </c>
      <c r="O1803">
        <f>-753.302099053668 -137.329229677161 -521.935979967989</f>
        <v>-1412.5673086988181</v>
      </c>
      <c r="P1803">
        <f>-749.898560476941 -149.013267871494 -227.923987629633</f>
        <v>-1126.835815978068</v>
      </c>
      <c r="Q1803">
        <f>-578.436795114476 -5.00256670555268 -316.876760818395</f>
        <v>-900.31612263842362</v>
      </c>
      <c r="R1803" t="s">
        <v>21964</v>
      </c>
      <c r="S1803" t="s">
        <v>21965</v>
      </c>
      <c r="T1803" t="s">
        <v>21966</v>
      </c>
      <c r="U1803" t="s">
        <v>21967</v>
      </c>
      <c r="V1803">
        <f>-717.093864056588 -44.2060071192168 -93.7076337292468</f>
        <v>-855.00750490505163</v>
      </c>
      <c r="W1803" t="s">
        <v>21968</v>
      </c>
      <c r="X1803" t="s">
        <v>21969</v>
      </c>
      <c r="Y1803" t="s">
        <v>21970</v>
      </c>
    </row>
    <row r="1804" spans="1:25" x14ac:dyDescent="0.3">
      <c r="A1804">
        <v>90150</v>
      </c>
      <c r="B1804" t="s">
        <v>21971</v>
      </c>
      <c r="C1804" t="s">
        <v>21972</v>
      </c>
      <c r="D1804" t="s">
        <v>21973</v>
      </c>
      <c r="E1804" t="s">
        <v>21974</v>
      </c>
      <c r="F1804" t="s">
        <v>21975</v>
      </c>
      <c r="G1804" t="s">
        <v>21976</v>
      </c>
      <c r="H1804" t="s">
        <v>21977</v>
      </c>
      <c r="I1804" t="s">
        <v>21978</v>
      </c>
      <c r="J1804" t="s">
        <v>21979</v>
      </c>
      <c r="K1804" t="s">
        <v>21980</v>
      </c>
      <c r="L1804" t="s">
        <v>21981</v>
      </c>
      <c r="M1804" t="s">
        <v>21982</v>
      </c>
      <c r="N1804">
        <f>-753.74550149228 -4.3459912579458 -555.851476936871</f>
        <v>-1313.9429696870968</v>
      </c>
      <c r="O1804">
        <f>-753.434634059674 -137.600825421427 -522.069625469345</f>
        <v>-1413.1050849504459</v>
      </c>
      <c r="P1804">
        <f>-750.058694885925 -149.572910187095 -228.068819328958</f>
        <v>-1127.7004244019779</v>
      </c>
      <c r="Q1804">
        <f>-578.347731210344 -5.39703401918428 -316.270822348695</f>
        <v>-900.01558757822329</v>
      </c>
      <c r="R1804" t="s">
        <v>21983</v>
      </c>
      <c r="S1804" t="s">
        <v>21984</v>
      </c>
      <c r="T1804" t="s">
        <v>21985</v>
      </c>
      <c r="U1804" t="s">
        <v>21986</v>
      </c>
      <c r="V1804">
        <f>-717.147334526132 -44.6340968992818 -93.7154135229489</f>
        <v>-855.49684494836265</v>
      </c>
      <c r="W1804" t="s">
        <v>21987</v>
      </c>
      <c r="X1804" t="s">
        <v>21988</v>
      </c>
      <c r="Y1804" t="s">
        <v>21989</v>
      </c>
    </row>
    <row r="1805" spans="1:25" x14ac:dyDescent="0.3">
      <c r="A1805">
        <v>90200</v>
      </c>
      <c r="B1805" t="s">
        <v>21990</v>
      </c>
      <c r="C1805" t="s">
        <v>21991</v>
      </c>
      <c r="D1805" t="s">
        <v>21992</v>
      </c>
      <c r="E1805" t="s">
        <v>21993</v>
      </c>
      <c r="F1805" t="s">
        <v>21994</v>
      </c>
      <c r="G1805" t="s">
        <v>21995</v>
      </c>
      <c r="H1805" t="s">
        <v>21996</v>
      </c>
      <c r="I1805" t="s">
        <v>21997</v>
      </c>
      <c r="J1805" t="s">
        <v>21998</v>
      </c>
      <c r="K1805" t="s">
        <v>21999</v>
      </c>
      <c r="L1805" t="s">
        <v>22000</v>
      </c>
      <c r="M1805" t="s">
        <v>22001</v>
      </c>
      <c r="N1805">
        <f>-754.194548849109 -4.63597298509603 -555.909957485682</f>
        <v>-1314.7404793198871</v>
      </c>
      <c r="O1805">
        <f>-753.829453163987 -137.962880660738 -522.395573790057</f>
        <v>-1414.187907614782</v>
      </c>
      <c r="P1805">
        <f>-750.977906277737 -150.888554461348 -228.42965027588</f>
        <v>-1130.2961110149649</v>
      </c>
      <c r="Q1805">
        <f>-577.55485345388 -7.61799065168293 -314.736471328709</f>
        <v>-899.909315434272</v>
      </c>
      <c r="R1805" t="s">
        <v>22002</v>
      </c>
      <c r="S1805" t="s">
        <v>22003</v>
      </c>
      <c r="T1805" t="s">
        <v>22004</v>
      </c>
      <c r="U1805" t="s">
        <v>22005</v>
      </c>
      <c r="V1805">
        <f>-716.940219121505 -45.0072588821567 -93.7633908541479</f>
        <v>-855.71086885780971</v>
      </c>
      <c r="W1805" t="s">
        <v>22006</v>
      </c>
      <c r="X1805" t="s">
        <v>22007</v>
      </c>
      <c r="Y1805" t="s">
        <v>22008</v>
      </c>
    </row>
    <row r="1806" spans="1:25" x14ac:dyDescent="0.3">
      <c r="A1806">
        <v>90250</v>
      </c>
      <c r="B1806" t="s">
        <v>22009</v>
      </c>
      <c r="C1806" t="s">
        <v>22010</v>
      </c>
      <c r="D1806" t="s">
        <v>22011</v>
      </c>
      <c r="E1806" t="s">
        <v>22012</v>
      </c>
      <c r="F1806" t="s">
        <v>22013</v>
      </c>
      <c r="G1806" t="s">
        <v>22014</v>
      </c>
      <c r="H1806" t="s">
        <v>22015</v>
      </c>
      <c r="I1806" t="s">
        <v>22016</v>
      </c>
      <c r="J1806" t="s">
        <v>22017</v>
      </c>
      <c r="K1806" t="s">
        <v>22018</v>
      </c>
      <c r="L1806" t="s">
        <v>22019</v>
      </c>
      <c r="M1806" t="s">
        <v>22020</v>
      </c>
      <c r="N1806">
        <f>-754.389172013524 -4.61099064578866 -555.944086526234</f>
        <v>-1314.9442491855466</v>
      </c>
      <c r="O1806">
        <f>-754.090579172821 -137.997643442498 -522.650489516232</f>
        <v>-1414.738712131551</v>
      </c>
      <c r="P1806">
        <f>-751.75856085796 -151.673260797815 -228.713960253278</f>
        <v>-1132.1457819090531</v>
      </c>
      <c r="Q1806">
        <f>-577.171943349122 -9.26093657390334 -314.090284746033</f>
        <v>-900.52316466905836</v>
      </c>
      <c r="R1806" t="s">
        <v>22021</v>
      </c>
      <c r="S1806" t="s">
        <v>22022</v>
      </c>
      <c r="T1806" t="s">
        <v>22023</v>
      </c>
      <c r="U1806" t="s">
        <v>22024</v>
      </c>
      <c r="V1806">
        <f>-716.876118739699 -45.068518165936 -93.7794689415787</f>
        <v>-855.72410584721365</v>
      </c>
      <c r="W1806" t="s">
        <v>22025</v>
      </c>
      <c r="X1806" t="s">
        <v>22026</v>
      </c>
      <c r="Y1806" t="s">
        <v>22027</v>
      </c>
    </row>
    <row r="1807" spans="1:25" x14ac:dyDescent="0.3">
      <c r="A1807">
        <v>90300</v>
      </c>
      <c r="B1807" t="s">
        <v>22028</v>
      </c>
      <c r="C1807" t="s">
        <v>22029</v>
      </c>
      <c r="D1807" t="s">
        <v>22030</v>
      </c>
      <c r="E1807" t="s">
        <v>22031</v>
      </c>
      <c r="F1807" t="s">
        <v>22032</v>
      </c>
      <c r="G1807" t="s">
        <v>22033</v>
      </c>
      <c r="H1807" t="s">
        <v>22034</v>
      </c>
      <c r="I1807" t="s">
        <v>22035</v>
      </c>
      <c r="J1807" t="s">
        <v>22036</v>
      </c>
      <c r="K1807" t="s">
        <v>22037</v>
      </c>
      <c r="L1807" t="s">
        <v>22038</v>
      </c>
      <c r="M1807" t="s">
        <v>22039</v>
      </c>
      <c r="N1807">
        <f>-754.526409667502 -4.46415237455972 -556.005310320763</f>
        <v>-1314.9958723628247</v>
      </c>
      <c r="O1807">
        <f>-754.346807027086 -137.913887312993 -522.977135515549</f>
        <v>-1415.237829855628</v>
      </c>
      <c r="P1807">
        <f>-752.69395244284 -152.309549305205 -229.070283962777</f>
        <v>-1134.073785710822</v>
      </c>
      <c r="Q1807">
        <f>-576.796672041914 -11.0005825040098 -313.585399989494</f>
        <v>-901.38265453541783</v>
      </c>
      <c r="R1807" t="s">
        <v>22040</v>
      </c>
      <c r="S1807" t="s">
        <v>22041</v>
      </c>
      <c r="T1807" t="s">
        <v>22042</v>
      </c>
      <c r="U1807" t="s">
        <v>22043</v>
      </c>
      <c r="V1807">
        <f>-716.767874430522 -45.1738712974829 -93.7917367586003</f>
        <v>-855.73348248660534</v>
      </c>
      <c r="W1807" t="s">
        <v>22044</v>
      </c>
      <c r="X1807" t="s">
        <v>22045</v>
      </c>
      <c r="Y1807" t="s">
        <v>22046</v>
      </c>
    </row>
    <row r="1808" spans="1:25" x14ac:dyDescent="0.3">
      <c r="A1808">
        <v>90350</v>
      </c>
      <c r="B1808" t="s">
        <v>22047</v>
      </c>
      <c r="C1808" t="s">
        <v>22048</v>
      </c>
      <c r="D1808" t="s">
        <v>22049</v>
      </c>
      <c r="E1808" t="s">
        <v>22050</v>
      </c>
      <c r="F1808" t="s">
        <v>22051</v>
      </c>
      <c r="G1808" t="s">
        <v>22052</v>
      </c>
      <c r="H1808" t="s">
        <v>22053</v>
      </c>
      <c r="I1808" t="s">
        <v>22054</v>
      </c>
      <c r="J1808" t="s">
        <v>22055</v>
      </c>
      <c r="K1808" t="s">
        <v>22056</v>
      </c>
      <c r="L1808" t="s">
        <v>22057</v>
      </c>
      <c r="M1808" t="s">
        <v>22058</v>
      </c>
      <c r="N1808">
        <f>-754.969478382379 -4.42548331796297 -556.073977767527</f>
        <v>-1315.4689394678689</v>
      </c>
      <c r="O1808">
        <f>-755.028200384892 -137.957180807673 -523.419001079558</f>
        <v>-1416.404382272123</v>
      </c>
      <c r="P1808">
        <f>-754.804502891714 -152.826151589774 -229.531174106236</f>
        <v>-1137.1618285877239</v>
      </c>
      <c r="Q1808">
        <f>-576.479339797556 -13.6742038397811 -312.523591350666</f>
        <v>-902.67713498800299</v>
      </c>
      <c r="R1808" t="s">
        <v>22059</v>
      </c>
      <c r="S1808" t="s">
        <v>22060</v>
      </c>
      <c r="T1808" t="s">
        <v>22061</v>
      </c>
      <c r="U1808" t="s">
        <v>22062</v>
      </c>
      <c r="V1808">
        <f>-716.622550266898 -45.7648903016911 -93.8073727141669</f>
        <v>-856.19481328275606</v>
      </c>
      <c r="W1808" t="s">
        <v>22063</v>
      </c>
      <c r="X1808" t="s">
        <v>22064</v>
      </c>
      <c r="Y1808" t="s">
        <v>22065</v>
      </c>
    </row>
    <row r="1809" spans="1:25" x14ac:dyDescent="0.3">
      <c r="A1809">
        <v>90400</v>
      </c>
      <c r="B1809" t="s">
        <v>22066</v>
      </c>
      <c r="C1809" t="s">
        <v>22067</v>
      </c>
      <c r="D1809" t="s">
        <v>22068</v>
      </c>
      <c r="E1809" t="s">
        <v>22069</v>
      </c>
      <c r="F1809" t="s">
        <v>22070</v>
      </c>
      <c r="G1809" t="s">
        <v>22071</v>
      </c>
      <c r="H1809" t="s">
        <v>22072</v>
      </c>
      <c r="I1809" t="s">
        <v>22073</v>
      </c>
      <c r="J1809" t="s">
        <v>22074</v>
      </c>
      <c r="K1809" t="s">
        <v>22075</v>
      </c>
      <c r="L1809" t="s">
        <v>22076</v>
      </c>
      <c r="M1809" t="s">
        <v>22077</v>
      </c>
      <c r="N1809">
        <f>-755.076113104471 -4.59677822309914 -556.188128977108</f>
        <v>-1315.8610203046783</v>
      </c>
      <c r="O1809">
        <f>-755.433445201388 -138.207674612635 -523.839677516982</f>
        <v>-1417.4807973310051</v>
      </c>
      <c r="P1809">
        <f>-756.33245492942 -153.739277908813 -229.987224648879</f>
        <v>-1140.0589574871119</v>
      </c>
      <c r="Q1809">
        <f>-576.718637068715 -15.3995464243824 -311.546366200436</f>
        <v>-903.66454969353344</v>
      </c>
      <c r="R1809" t="s">
        <v>22078</v>
      </c>
      <c r="S1809" t="s">
        <v>22079</v>
      </c>
      <c r="T1809" t="s">
        <v>22080</v>
      </c>
      <c r="U1809" t="s">
        <v>22081</v>
      </c>
      <c r="V1809">
        <f>-716.413912510348 -46.4279754867516 -93.8333583830326</f>
        <v>-856.67524638013231</v>
      </c>
      <c r="W1809" t="s">
        <v>22082</v>
      </c>
      <c r="X1809" t="s">
        <v>22083</v>
      </c>
      <c r="Y1809" t="s">
        <v>22084</v>
      </c>
    </row>
    <row r="1810" spans="1:25" x14ac:dyDescent="0.3">
      <c r="A1810">
        <v>90450</v>
      </c>
      <c r="B1810" t="s">
        <v>22085</v>
      </c>
      <c r="C1810" t="s">
        <v>22086</v>
      </c>
      <c r="D1810" t="s">
        <v>22087</v>
      </c>
      <c r="E1810" t="s">
        <v>22088</v>
      </c>
      <c r="F1810" t="s">
        <v>22089</v>
      </c>
      <c r="G1810" t="s">
        <v>22090</v>
      </c>
      <c r="H1810" t="s">
        <v>22091</v>
      </c>
      <c r="I1810" t="s">
        <v>22092</v>
      </c>
      <c r="J1810" t="s">
        <v>22093</v>
      </c>
      <c r="K1810" t="s">
        <v>22094</v>
      </c>
      <c r="L1810" t="s">
        <v>22095</v>
      </c>
      <c r="M1810" t="s">
        <v>22096</v>
      </c>
      <c r="N1810">
        <f>-754.913798901886 -4.47547257082533 -556.274957918171</f>
        <v>-1315.6642293908824</v>
      </c>
      <c r="O1810">
        <f>-755.379508697363 -138.124632278074 -524.082453604532</f>
        <v>-1417.586594579969</v>
      </c>
      <c r="P1810">
        <f>-756.8596601548 -153.80187086116 -230.240227468107</f>
        <v>-1140.9017584840669</v>
      </c>
      <c r="Q1810">
        <f>-576.539891256351 -16.2330242895366 -311.545094010154</f>
        <v>-904.3180095560416</v>
      </c>
      <c r="R1810" t="s">
        <v>22097</v>
      </c>
      <c r="S1810" t="s">
        <v>22098</v>
      </c>
      <c r="T1810" t="s">
        <v>22099</v>
      </c>
      <c r="U1810" t="s">
        <v>22100</v>
      </c>
      <c r="V1810">
        <f>-716.301444676845 -46.4822078250338 -93.8940614980273</f>
        <v>-856.67771399990613</v>
      </c>
      <c r="W1810" t="s">
        <v>22101</v>
      </c>
      <c r="X1810" t="s">
        <v>22102</v>
      </c>
      <c r="Y1810" t="s">
        <v>22103</v>
      </c>
    </row>
    <row r="1811" spans="1:25" x14ac:dyDescent="0.3">
      <c r="A1811">
        <v>90500</v>
      </c>
      <c r="B1811" t="s">
        <v>22104</v>
      </c>
      <c r="C1811" t="s">
        <v>22105</v>
      </c>
      <c r="D1811" t="s">
        <v>22106</v>
      </c>
      <c r="E1811" t="s">
        <v>22107</v>
      </c>
      <c r="F1811" t="s">
        <v>22108</v>
      </c>
      <c r="G1811" t="s">
        <v>22109</v>
      </c>
      <c r="H1811" t="s">
        <v>22110</v>
      </c>
      <c r="I1811" t="s">
        <v>22111</v>
      </c>
      <c r="J1811" t="s">
        <v>22112</v>
      </c>
      <c r="K1811" t="s">
        <v>22113</v>
      </c>
      <c r="L1811" t="s">
        <v>22114</v>
      </c>
      <c r="M1811" t="s">
        <v>22115</v>
      </c>
      <c r="N1811">
        <f>-754.496410193211 -4.27927951835954 -556.388289331119</f>
        <v>-1315.1639790426896</v>
      </c>
      <c r="O1811">
        <f>-755.32103362665 -137.9951336507 -524.504418148896</f>
        <v>-1417.820585426246</v>
      </c>
      <c r="P1811">
        <f>-757.203119730078 -154.584624766251 -230.714458662282</f>
        <v>-1142.5022031586109</v>
      </c>
      <c r="Q1811">
        <f>-576.231734935297 -18.079853685967 -312.364334151659</f>
        <v>-906.67592277292306</v>
      </c>
      <c r="R1811" t="s">
        <v>22116</v>
      </c>
      <c r="S1811" t="s">
        <v>22117</v>
      </c>
      <c r="T1811" t="s">
        <v>22118</v>
      </c>
      <c r="U1811" t="s">
        <v>22119</v>
      </c>
      <c r="V1811">
        <f>-716.020272124761 -46.5994195231046 -93.9461709061973</f>
        <v>-856.56586255406296</v>
      </c>
      <c r="W1811" t="s">
        <v>22120</v>
      </c>
      <c r="X1811" t="s">
        <v>22121</v>
      </c>
      <c r="Y1811" t="s">
        <v>22122</v>
      </c>
    </row>
    <row r="1812" spans="1:25" x14ac:dyDescent="0.3">
      <c r="A1812">
        <v>90550</v>
      </c>
      <c r="B1812" t="s">
        <v>22123</v>
      </c>
      <c r="C1812" t="s">
        <v>22124</v>
      </c>
      <c r="D1812" t="s">
        <v>22125</v>
      </c>
      <c r="E1812" t="s">
        <v>22126</v>
      </c>
      <c r="F1812" t="s">
        <v>22127</v>
      </c>
      <c r="G1812" t="s">
        <v>22128</v>
      </c>
      <c r="H1812" t="s">
        <v>22129</v>
      </c>
      <c r="I1812" t="s">
        <v>22130</v>
      </c>
      <c r="J1812" t="s">
        <v>22131</v>
      </c>
      <c r="K1812" t="s">
        <v>22132</v>
      </c>
      <c r="L1812" t="s">
        <v>22133</v>
      </c>
      <c r="M1812" t="s">
        <v>22134</v>
      </c>
      <c r="N1812">
        <f>-754.226833156908 -4.33441845177003 -556.4128574146</f>
        <v>-1314.9741090232781</v>
      </c>
      <c r="O1812">
        <f>-755.169310204462 -138.07802846605 -524.65040368975</f>
        <v>-1417.8977423602619</v>
      </c>
      <c r="P1812">
        <f>-757.056407649101 -155.659938530567 -230.918269877989</f>
        <v>-1143.6346160576568</v>
      </c>
      <c r="Q1812">
        <f>-576.702581993712 -18.4257836870231 -312.711600483468</f>
        <v>-907.83996616420313</v>
      </c>
      <c r="R1812" t="s">
        <v>22135</v>
      </c>
      <c r="S1812" t="s">
        <v>22136</v>
      </c>
      <c r="T1812" t="s">
        <v>22137</v>
      </c>
      <c r="U1812" t="s">
        <v>22138</v>
      </c>
      <c r="V1812">
        <f>-715.888800893743 -46.8225955535186 -93.9451944364646</f>
        <v>-856.65659088372615</v>
      </c>
      <c r="W1812" t="s">
        <v>22139</v>
      </c>
      <c r="X1812" t="s">
        <v>22140</v>
      </c>
      <c r="Y1812" t="s">
        <v>22141</v>
      </c>
    </row>
    <row r="1813" spans="1:25" x14ac:dyDescent="0.3">
      <c r="A1813">
        <v>90600</v>
      </c>
      <c r="B1813" t="s">
        <v>22142</v>
      </c>
      <c r="C1813" t="s">
        <v>22143</v>
      </c>
      <c r="D1813" t="s">
        <v>22144</v>
      </c>
      <c r="E1813" t="s">
        <v>22145</v>
      </c>
      <c r="F1813" t="s">
        <v>22146</v>
      </c>
      <c r="G1813" t="s">
        <v>22147</v>
      </c>
      <c r="H1813" t="s">
        <v>22148</v>
      </c>
      <c r="I1813" t="s">
        <v>22149</v>
      </c>
      <c r="J1813" t="s">
        <v>22150</v>
      </c>
      <c r="K1813" t="s">
        <v>22151</v>
      </c>
      <c r="L1813" t="s">
        <v>22152</v>
      </c>
      <c r="M1813" t="s">
        <v>22153</v>
      </c>
      <c r="N1813">
        <f>-753.346141426894 -4.37901390363027 -556.511452467561</f>
        <v>-1314.2366077980851</v>
      </c>
      <c r="O1813">
        <f>-754.310840394011 -138.162160673334 -524.93944803732</f>
        <v>-1417.412449104665</v>
      </c>
      <c r="P1813">
        <f>-756.957930824838 -157.273556553811 -231.308853351698</f>
        <v>-1145.540340730347</v>
      </c>
      <c r="Q1813">
        <f>-578.894956395992 -17.1253102758576 -313.180268322561</f>
        <v>-909.20053499441065</v>
      </c>
      <c r="R1813" t="s">
        <v>22154</v>
      </c>
      <c r="S1813" t="s">
        <v>22155</v>
      </c>
      <c r="T1813" t="s">
        <v>22156</v>
      </c>
      <c r="U1813" t="s">
        <v>22157</v>
      </c>
      <c r="V1813">
        <f>-715.240395243957 -46.9761592145858 -93.995441977022</f>
        <v>-856.21199643556474</v>
      </c>
      <c r="W1813" t="s">
        <v>22158</v>
      </c>
      <c r="X1813" t="s">
        <v>22159</v>
      </c>
      <c r="Y1813" t="s">
        <v>22160</v>
      </c>
    </row>
    <row r="1814" spans="1:25" x14ac:dyDescent="0.3">
      <c r="A1814">
        <v>90650</v>
      </c>
      <c r="B1814" t="s">
        <v>22161</v>
      </c>
      <c r="C1814" t="s">
        <v>22162</v>
      </c>
      <c r="D1814" t="s">
        <v>22163</v>
      </c>
      <c r="E1814" t="s">
        <v>22164</v>
      </c>
      <c r="F1814" t="s">
        <v>22165</v>
      </c>
      <c r="G1814" t="s">
        <v>22166</v>
      </c>
      <c r="H1814" t="s">
        <v>22167</v>
      </c>
      <c r="I1814" t="s">
        <v>22168</v>
      </c>
      <c r="J1814" t="s">
        <v>22169</v>
      </c>
      <c r="K1814" t="s">
        <v>22170</v>
      </c>
      <c r="L1814" t="s">
        <v>22171</v>
      </c>
      <c r="M1814" t="s">
        <v>22172</v>
      </c>
      <c r="N1814">
        <f>-752.963920488617 -4.567351951398 -556.545135423942</f>
        <v>-1314.076407863957</v>
      </c>
      <c r="O1814">
        <f>-753.840181300699 -138.33381947223 -524.936675180413</f>
        <v>-1417.110675953342</v>
      </c>
      <c r="P1814">
        <f>-756.710824241726 -157.196661336711 -231.292118651889</f>
        <v>-1145.199604230326</v>
      </c>
      <c r="Q1814">
        <f>-579.807140276955 -15.4917080008379 -312.99742722201</f>
        <v>-908.29627549980296</v>
      </c>
      <c r="R1814" t="s">
        <v>22173</v>
      </c>
      <c r="S1814" t="s">
        <v>22174</v>
      </c>
      <c r="T1814" t="s">
        <v>22175</v>
      </c>
      <c r="U1814" t="s">
        <v>22176</v>
      </c>
      <c r="V1814">
        <f>-715.030153747803 -47.1177155201196 -94.0010431706338</f>
        <v>-856.14891243855641</v>
      </c>
      <c r="W1814" t="s">
        <v>22177</v>
      </c>
      <c r="X1814" t="s">
        <v>22178</v>
      </c>
      <c r="Y1814" t="s">
        <v>22179</v>
      </c>
    </row>
    <row r="1815" spans="1:25" x14ac:dyDescent="0.3">
      <c r="A1815">
        <v>90700</v>
      </c>
      <c r="B1815" t="s">
        <v>22180</v>
      </c>
      <c r="C1815" t="s">
        <v>22181</v>
      </c>
      <c r="D1815" t="s">
        <v>22182</v>
      </c>
      <c r="E1815" t="s">
        <v>22183</v>
      </c>
      <c r="F1815" t="s">
        <v>22184</v>
      </c>
      <c r="G1815" t="s">
        <v>22185</v>
      </c>
      <c r="H1815" t="s">
        <v>22186</v>
      </c>
      <c r="I1815" t="s">
        <v>22187</v>
      </c>
      <c r="J1815" t="s">
        <v>22188</v>
      </c>
      <c r="K1815" t="s">
        <v>22189</v>
      </c>
      <c r="L1815" t="s">
        <v>22190</v>
      </c>
      <c r="M1815" t="s">
        <v>22191</v>
      </c>
      <c r="N1815">
        <f>-752.060648620093 -5.36243180480551 -556.535295720406</f>
        <v>-1313.9583761453046</v>
      </c>
      <c r="O1815">
        <f>-752.667516677959 -139.124156874854 -524.781072248332</f>
        <v>-1416.5727458011452</v>
      </c>
      <c r="P1815">
        <f>-755.30126688171 -159.815885656046 -231.257515506858</f>
        <v>-1146.3746680446141</v>
      </c>
      <c r="Q1815">
        <f>-582.917086745181 -12.3522528904628 -312.430612075476</f>
        <v>-907.69995171111975</v>
      </c>
      <c r="R1815" t="s">
        <v>22192</v>
      </c>
      <c r="S1815" t="s">
        <v>22193</v>
      </c>
      <c r="T1815" t="s">
        <v>22194</v>
      </c>
      <c r="U1815" t="s">
        <v>22195</v>
      </c>
      <c r="V1815">
        <f>-714.567025068728 -47.6347220476755 -94.0026498662839</f>
        <v>-856.2043969826874</v>
      </c>
      <c r="W1815" t="s">
        <v>22196</v>
      </c>
      <c r="X1815" t="s">
        <v>22197</v>
      </c>
      <c r="Y1815" t="s">
        <v>22198</v>
      </c>
    </row>
    <row r="1816" spans="1:25" x14ac:dyDescent="0.3">
      <c r="A1816">
        <v>90750</v>
      </c>
      <c r="B1816" t="s">
        <v>22199</v>
      </c>
      <c r="C1816" t="s">
        <v>22200</v>
      </c>
      <c r="D1816" t="s">
        <v>22201</v>
      </c>
      <c r="E1816" t="s">
        <v>22202</v>
      </c>
      <c r="F1816" t="s">
        <v>22203</v>
      </c>
      <c r="G1816" t="s">
        <v>22204</v>
      </c>
      <c r="H1816" t="s">
        <v>22205</v>
      </c>
      <c r="I1816" t="s">
        <v>22206</v>
      </c>
      <c r="J1816" t="s">
        <v>22207</v>
      </c>
      <c r="K1816" t="s">
        <v>22208</v>
      </c>
      <c r="L1816" t="s">
        <v>22209</v>
      </c>
      <c r="M1816" t="s">
        <v>22210</v>
      </c>
      <c r="N1816">
        <f>-751.680958234436 -5.46895184841082 -556.562090567582</f>
        <v>-1313.7120006504288</v>
      </c>
      <c r="O1816">
        <f>-752.20771682592 -139.244342703646 -524.899158409474</f>
        <v>-1416.35121793904</v>
      </c>
      <c r="P1816">
        <f>-754.120295698308 -161.508420854295 -231.484964367193</f>
        <v>-1147.113680919796</v>
      </c>
      <c r="Q1816">
        <f>-583.935932627263 -11.521858556772 -312.677239236971</f>
        <v>-908.13503042100604</v>
      </c>
      <c r="R1816" t="s">
        <v>22211</v>
      </c>
      <c r="S1816" t="s">
        <v>22212</v>
      </c>
      <c r="T1816" t="s">
        <v>22213</v>
      </c>
      <c r="U1816" t="s">
        <v>22214</v>
      </c>
      <c r="V1816">
        <f>-714.330574964223 -47.7454710841466 -94.0193879668908</f>
        <v>-856.09543401526048</v>
      </c>
      <c r="W1816" t="s">
        <v>22215</v>
      </c>
      <c r="X1816" t="s">
        <v>22216</v>
      </c>
      <c r="Y1816" t="s">
        <v>22217</v>
      </c>
    </row>
    <row r="1817" spans="1:25" x14ac:dyDescent="0.3">
      <c r="A1817">
        <v>90800</v>
      </c>
      <c r="B1817" t="s">
        <v>22218</v>
      </c>
      <c r="C1817" t="s">
        <v>22219</v>
      </c>
      <c r="D1817" t="s">
        <v>22220</v>
      </c>
      <c r="E1817" t="s">
        <v>22221</v>
      </c>
      <c r="F1817" t="s">
        <v>22222</v>
      </c>
      <c r="G1817" t="s">
        <v>22223</v>
      </c>
      <c r="H1817" t="s">
        <v>22224</v>
      </c>
      <c r="I1817" t="s">
        <v>22225</v>
      </c>
      <c r="J1817" t="s">
        <v>22226</v>
      </c>
      <c r="K1817" t="s">
        <v>22227</v>
      </c>
      <c r="L1817" t="s">
        <v>22228</v>
      </c>
      <c r="M1817" t="s">
        <v>22229</v>
      </c>
      <c r="N1817">
        <f>-751.093794886831 -5.52781532135236 -556.65423485659</f>
        <v>-1313.2758450647734</v>
      </c>
      <c r="O1817">
        <f>-751.354653429954 -139.339155354604 -525.155008559722</f>
        <v>-1415.8488173442802</v>
      </c>
      <c r="P1817">
        <f>-751.796192052187 -163.795424639638 -231.909631529648</f>
        <v>-1147.5012482214731</v>
      </c>
      <c r="Q1817">
        <f>-585.215436081366 -10.2089386118651 -313.841796953173</f>
        <v>-909.26617164640402</v>
      </c>
      <c r="R1817" t="s">
        <v>22230</v>
      </c>
      <c r="S1817" t="s">
        <v>22231</v>
      </c>
      <c r="T1817" t="s">
        <v>22232</v>
      </c>
      <c r="U1817" t="s">
        <v>22233</v>
      </c>
      <c r="V1817">
        <f>-713.784327271191 -48.1352941099417 -94.0548000905627</f>
        <v>-855.97442147169545</v>
      </c>
      <c r="W1817" t="s">
        <v>22234</v>
      </c>
      <c r="X1817" t="s">
        <v>22235</v>
      </c>
      <c r="Y1817" t="s">
        <v>22236</v>
      </c>
    </row>
    <row r="1818" spans="1:25" x14ac:dyDescent="0.3">
      <c r="A1818">
        <v>90850</v>
      </c>
      <c r="B1818" t="s">
        <v>22237</v>
      </c>
      <c r="C1818" t="s">
        <v>22238</v>
      </c>
      <c r="D1818" t="s">
        <v>22239</v>
      </c>
      <c r="E1818" t="s">
        <v>22240</v>
      </c>
      <c r="F1818" t="s">
        <v>22241</v>
      </c>
      <c r="G1818" t="s">
        <v>22242</v>
      </c>
      <c r="H1818" t="s">
        <v>22243</v>
      </c>
      <c r="I1818" t="s">
        <v>22244</v>
      </c>
      <c r="J1818" t="s">
        <v>22245</v>
      </c>
      <c r="K1818" t="s">
        <v>22246</v>
      </c>
      <c r="L1818" t="s">
        <v>22247</v>
      </c>
      <c r="M1818" t="s">
        <v>22248</v>
      </c>
      <c r="N1818">
        <f>-750.771102743938 -5.67813829021679 -556.696662435095</f>
        <v>-1313.1459034692498</v>
      </c>
      <c r="O1818">
        <f>-750.967736971449 -139.515587129892 -525.281637384927</f>
        <v>-1415.764961486268</v>
      </c>
      <c r="P1818">
        <f>-750.782827502499 -164.831386529769 -232.108765136811</f>
        <v>-1147.7229791690791</v>
      </c>
      <c r="Q1818">
        <f>-585.379662515135 -10.1844832388554 -314.431555546899</f>
        <v>-909.99570130088932</v>
      </c>
      <c r="R1818" t="s">
        <v>22249</v>
      </c>
      <c r="S1818" t="s">
        <v>22250</v>
      </c>
      <c r="T1818" t="s">
        <v>22251</v>
      </c>
      <c r="U1818" t="s">
        <v>22252</v>
      </c>
      <c r="V1818">
        <f>-713.546012919341 -48.2282611843698 -94.0961071178376</f>
        <v>-855.87038122154843</v>
      </c>
      <c r="W1818" t="s">
        <v>22253</v>
      </c>
      <c r="X1818" t="s">
        <v>22254</v>
      </c>
      <c r="Y1818" t="s">
        <v>22255</v>
      </c>
    </row>
    <row r="1819" spans="1:25" x14ac:dyDescent="0.3">
      <c r="A1819">
        <v>90900</v>
      </c>
      <c r="B1819" t="s">
        <v>22256</v>
      </c>
      <c r="C1819" t="s">
        <v>22257</v>
      </c>
      <c r="D1819" t="s">
        <v>22258</v>
      </c>
      <c r="E1819" t="s">
        <v>22259</v>
      </c>
      <c r="F1819" t="s">
        <v>22260</v>
      </c>
      <c r="G1819" t="s">
        <v>22261</v>
      </c>
      <c r="H1819" t="s">
        <v>22262</v>
      </c>
      <c r="I1819" t="s">
        <v>22263</v>
      </c>
      <c r="J1819" t="s">
        <v>22264</v>
      </c>
      <c r="K1819" t="s">
        <v>22265</v>
      </c>
      <c r="L1819" t="s">
        <v>22266</v>
      </c>
      <c r="M1819" t="s">
        <v>22267</v>
      </c>
      <c r="N1819">
        <f>-750.002308652385 -5.66489962810306 -556.792515003143</f>
        <v>-1312.4597232836309</v>
      </c>
      <c r="O1819">
        <f>-750.063032369908 -139.521361028678 -525.47267764687</f>
        <v>-1415.057071045456</v>
      </c>
      <c r="P1819">
        <f>-749.492603975898 -165.928200894345 -232.396604723657</f>
        <v>-1147.8174095938998</v>
      </c>
      <c r="Q1819">
        <f>-585.467214120335 -9.75859564392181 -314.601271892929</f>
        <v>-909.82708165718577</v>
      </c>
      <c r="R1819" t="s">
        <v>22268</v>
      </c>
      <c r="S1819" t="s">
        <v>22269</v>
      </c>
      <c r="T1819" t="s">
        <v>22270</v>
      </c>
      <c r="U1819" t="s">
        <v>22271</v>
      </c>
      <c r="V1819">
        <f>-713.335659480454 -48.6284455838347 -94.1112210006246</f>
        <v>-856.07532606491327</v>
      </c>
      <c r="W1819" t="s">
        <v>22272</v>
      </c>
      <c r="X1819" t="s">
        <v>22273</v>
      </c>
      <c r="Y1819" t="s">
        <v>22274</v>
      </c>
    </row>
    <row r="1820" spans="1:25" x14ac:dyDescent="0.3">
      <c r="A1820">
        <v>90950</v>
      </c>
      <c r="B1820" t="s">
        <v>22275</v>
      </c>
      <c r="C1820" t="s">
        <v>22276</v>
      </c>
      <c r="D1820" t="s">
        <v>22277</v>
      </c>
      <c r="E1820" t="s">
        <v>22278</v>
      </c>
      <c r="F1820" t="s">
        <v>22279</v>
      </c>
      <c r="G1820" t="s">
        <v>22280</v>
      </c>
      <c r="H1820" t="s">
        <v>22281</v>
      </c>
      <c r="I1820" t="s">
        <v>22282</v>
      </c>
      <c r="J1820" t="s">
        <v>22283</v>
      </c>
      <c r="K1820" t="s">
        <v>22284</v>
      </c>
      <c r="L1820" t="s">
        <v>22285</v>
      </c>
      <c r="M1820" t="s">
        <v>22286</v>
      </c>
      <c r="N1820">
        <f>-749.564698172376 -5.73428627089697 -556.841422672234</f>
        <v>-1312.1404071155071</v>
      </c>
      <c r="O1820">
        <f>-749.601979659711 -139.600892998137 -525.580803732091</f>
        <v>-1414.783676389939</v>
      </c>
      <c r="P1820">
        <f>-748.960930337691 -166.238048115378 -232.525645664011</f>
        <v>-1147.7246241170801</v>
      </c>
      <c r="Q1820">
        <f>-585.674881285781 -9.18432866581861 -314.517620553764</f>
        <v>-909.37683050536361</v>
      </c>
      <c r="R1820" t="s">
        <v>22287</v>
      </c>
      <c r="S1820" t="s">
        <v>22288</v>
      </c>
      <c r="T1820" t="s">
        <v>22289</v>
      </c>
      <c r="U1820" t="s">
        <v>22290</v>
      </c>
      <c r="V1820">
        <f>-713.184696981725 -48.7676761130958 -94.1501179713513</f>
        <v>-856.10249106617209</v>
      </c>
      <c r="W1820" t="s">
        <v>22291</v>
      </c>
      <c r="X1820" t="s">
        <v>22292</v>
      </c>
      <c r="Y1820" t="s">
        <v>22293</v>
      </c>
    </row>
    <row r="1821" spans="1:25" x14ac:dyDescent="0.3">
      <c r="A1821">
        <v>91000</v>
      </c>
      <c r="B1821" t="s">
        <v>22294</v>
      </c>
      <c r="C1821" t="s">
        <v>22295</v>
      </c>
      <c r="D1821" t="s">
        <v>22296</v>
      </c>
      <c r="E1821" t="s">
        <v>22297</v>
      </c>
      <c r="F1821" t="s">
        <v>22298</v>
      </c>
      <c r="G1821" t="s">
        <v>22299</v>
      </c>
      <c r="H1821" t="s">
        <v>22300</v>
      </c>
      <c r="I1821" t="s">
        <v>22301</v>
      </c>
      <c r="J1821" t="s">
        <v>22302</v>
      </c>
      <c r="K1821" t="s">
        <v>22303</v>
      </c>
      <c r="L1821" t="s">
        <v>22304</v>
      </c>
      <c r="M1821" t="s">
        <v>22305</v>
      </c>
      <c r="N1821">
        <f>-748.897481367571 -5.96843428631155 -556.892498449564</f>
        <v>-1311.7584141034465</v>
      </c>
      <c r="O1821">
        <f>-748.831290408055 -139.847057693077 -525.685540377092</f>
        <v>-1414.363888478224</v>
      </c>
      <c r="P1821">
        <f>-748.177245468004 -166.463133180696 -232.628663022905</f>
        <v>-1147.269041671605</v>
      </c>
      <c r="Q1821">
        <f>-585.195295638056 -8.80396298183337 -314.061659359048</f>
        <v>-908.06091797893737</v>
      </c>
      <c r="R1821" t="s">
        <v>22306</v>
      </c>
      <c r="S1821" t="s">
        <v>22307</v>
      </c>
      <c r="T1821" t="s">
        <v>22308</v>
      </c>
      <c r="U1821" t="s">
        <v>22309</v>
      </c>
      <c r="V1821">
        <f>-712.981698694956 -49.0120992932673 -94.1824005211761</f>
        <v>-856.17619850939934</v>
      </c>
      <c r="W1821" t="s">
        <v>22310</v>
      </c>
      <c r="X1821" t="s">
        <v>22311</v>
      </c>
      <c r="Y1821" t="s">
        <v>22312</v>
      </c>
    </row>
    <row r="1822" spans="1:25" x14ac:dyDescent="0.3">
      <c r="A1822">
        <v>91050</v>
      </c>
      <c r="B1822" t="s">
        <v>22313</v>
      </c>
      <c r="C1822" t="s">
        <v>22314</v>
      </c>
      <c r="D1822" t="s">
        <v>22315</v>
      </c>
      <c r="E1822" t="s">
        <v>22316</v>
      </c>
      <c r="F1822" t="s">
        <v>22317</v>
      </c>
      <c r="G1822" t="s">
        <v>22318</v>
      </c>
      <c r="H1822" t="s">
        <v>22319</v>
      </c>
      <c r="I1822" t="s">
        <v>22320</v>
      </c>
      <c r="J1822" t="s">
        <v>22321</v>
      </c>
      <c r="K1822" t="s">
        <v>22322</v>
      </c>
      <c r="L1822" t="s">
        <v>22323</v>
      </c>
      <c r="M1822" t="s">
        <v>22324</v>
      </c>
      <c r="N1822">
        <f>-748.741530826013 -6.08189571012804 -556.896033172553</f>
        <v>-1311.7194597086941</v>
      </c>
      <c r="O1822">
        <f>-748.642045528115 -139.967158331207 -525.701561437887</f>
        <v>-1414.3107652972089</v>
      </c>
      <c r="P1822">
        <f>-747.887207846045 -166.340662023095 -232.622971549284</f>
        <v>-1146.8508414184239</v>
      </c>
      <c r="Q1822">
        <f>-584.820090515499 -8.61983190754836 -313.765381604844</f>
        <v>-907.20530402789132</v>
      </c>
      <c r="R1822" t="s">
        <v>22325</v>
      </c>
      <c r="S1822" t="s">
        <v>22326</v>
      </c>
      <c r="T1822" t="s">
        <v>22327</v>
      </c>
      <c r="U1822" t="s">
        <v>22328</v>
      </c>
      <c r="V1822">
        <f>-712.92218724058 -49.1692436695021 -94.1765506891442</f>
        <v>-856.26798159922623</v>
      </c>
      <c r="W1822" t="s">
        <v>22329</v>
      </c>
      <c r="X1822" t="s">
        <v>22330</v>
      </c>
      <c r="Y1822" t="s">
        <v>22331</v>
      </c>
    </row>
    <row r="1823" spans="1:25" x14ac:dyDescent="0.3">
      <c r="A1823">
        <v>91100</v>
      </c>
      <c r="B1823" t="s">
        <v>22332</v>
      </c>
      <c r="C1823" t="s">
        <v>22333</v>
      </c>
      <c r="D1823" t="s">
        <v>22334</v>
      </c>
      <c r="E1823" t="s">
        <v>22335</v>
      </c>
      <c r="F1823" t="s">
        <v>22336</v>
      </c>
      <c r="G1823" t="s">
        <v>22337</v>
      </c>
      <c r="H1823" t="s">
        <v>22338</v>
      </c>
      <c r="I1823" t="s">
        <v>22339</v>
      </c>
      <c r="J1823" t="s">
        <v>22340</v>
      </c>
      <c r="K1823" t="s">
        <v>22341</v>
      </c>
      <c r="L1823" t="s">
        <v>22342</v>
      </c>
      <c r="M1823" t="s">
        <v>22343</v>
      </c>
      <c r="N1823">
        <f>-748.257194392512 -6.62676044391901 -556.887193259771</f>
        <v>-1311.7711480962021</v>
      </c>
      <c r="O1823">
        <f>-748.096506012123 -140.515624125152 -525.671802144853</f>
        <v>-1414.283932282128</v>
      </c>
      <c r="P1823">
        <f>-747.630309947857 -166.86373068328 -232.590344185104</f>
        <v>-1147.084384816241</v>
      </c>
      <c r="Q1823">
        <f>-583.621173379924 -9.66690604558562 -312.846538761493</f>
        <v>-906.13461818700262</v>
      </c>
      <c r="R1823" t="s">
        <v>22344</v>
      </c>
      <c r="S1823" t="s">
        <v>22345</v>
      </c>
      <c r="T1823" t="s">
        <v>22346</v>
      </c>
      <c r="U1823" t="s">
        <v>22347</v>
      </c>
      <c r="V1823">
        <f>-712.707073624731 -49.734755244687 -94.179181131439</f>
        <v>-856.62101000085704</v>
      </c>
      <c r="W1823" t="s">
        <v>22348</v>
      </c>
      <c r="X1823" t="s">
        <v>22349</v>
      </c>
      <c r="Y1823" t="s">
        <v>22350</v>
      </c>
    </row>
    <row r="1824" spans="1:25" x14ac:dyDescent="0.3">
      <c r="A1824">
        <v>91150</v>
      </c>
      <c r="B1824" t="s">
        <v>22351</v>
      </c>
      <c r="C1824" t="s">
        <v>22352</v>
      </c>
      <c r="D1824" t="s">
        <v>22353</v>
      </c>
      <c r="E1824" t="s">
        <v>22354</v>
      </c>
      <c r="F1824" t="s">
        <v>22355</v>
      </c>
      <c r="G1824" t="s">
        <v>22356</v>
      </c>
      <c r="H1824" t="s">
        <v>22357</v>
      </c>
      <c r="I1824" t="s">
        <v>22358</v>
      </c>
      <c r="J1824" t="s">
        <v>22359</v>
      </c>
      <c r="K1824" t="s">
        <v>22360</v>
      </c>
      <c r="L1824" t="s">
        <v>22361</v>
      </c>
      <c r="M1824" t="s">
        <v>22362</v>
      </c>
      <c r="N1824">
        <f>-747.92270587385 -6.87275904637931 -556.902772423135</f>
        <v>-1311.6982373433643</v>
      </c>
      <c r="O1824">
        <f>-747.765098816382 -140.7529732352 -525.665614364898</f>
        <v>-1414.18368641648</v>
      </c>
      <c r="P1824">
        <f>-747.836274427532 -166.894499622382 -232.565290775549</f>
        <v>-1147.296064825463</v>
      </c>
      <c r="Q1824">
        <f>-582.889093692583 -10.5016559733795 -312.469069963424</f>
        <v>-905.85981962938638</v>
      </c>
      <c r="R1824" t="s">
        <v>22363</v>
      </c>
      <c r="S1824" t="s">
        <v>22364</v>
      </c>
      <c r="T1824" t="s">
        <v>22365</v>
      </c>
      <c r="U1824" t="s">
        <v>22366</v>
      </c>
      <c r="V1824">
        <f>-712.590626090052 -49.932834344268 -94.1861730527181</f>
        <v>-856.7096334870381</v>
      </c>
      <c r="W1824" t="s">
        <v>22367</v>
      </c>
      <c r="X1824" t="s">
        <v>22368</v>
      </c>
      <c r="Y1824" t="s">
        <v>22369</v>
      </c>
    </row>
    <row r="1825" spans="1:25" x14ac:dyDescent="0.3">
      <c r="A1825">
        <v>91200</v>
      </c>
      <c r="B1825" t="s">
        <v>22370</v>
      </c>
      <c r="C1825" t="s">
        <v>22371</v>
      </c>
      <c r="D1825" t="s">
        <v>22372</v>
      </c>
      <c r="E1825" t="s">
        <v>22373</v>
      </c>
      <c r="F1825" t="s">
        <v>22374</v>
      </c>
      <c r="G1825" t="s">
        <v>22375</v>
      </c>
      <c r="H1825" t="s">
        <v>22376</v>
      </c>
      <c r="I1825" t="s">
        <v>22377</v>
      </c>
      <c r="J1825" t="s">
        <v>22378</v>
      </c>
      <c r="K1825" t="s">
        <v>22379</v>
      </c>
      <c r="L1825" t="s">
        <v>22380</v>
      </c>
      <c r="M1825" t="s">
        <v>22381</v>
      </c>
      <c r="N1825">
        <f>-747.431087954518 -7.47500606931362 -556.940436767212</f>
        <v>-1311.8465307910437</v>
      </c>
      <c r="O1825">
        <f>-747.25090096539 -141.327621850739 -525.600643098377</f>
        <v>-1414.179165914506</v>
      </c>
      <c r="P1825">
        <f>-747.694100083962 -166.945575223047 -232.454405904425</f>
        <v>-1147.0940812114338</v>
      </c>
      <c r="Q1825">
        <f>-582.522670941422 -10.9989031430669 -312.765901911523</f>
        <v>-906.28747599601184</v>
      </c>
      <c r="R1825" t="s">
        <v>22382</v>
      </c>
      <c r="S1825" t="s">
        <v>22383</v>
      </c>
      <c r="T1825" t="s">
        <v>22384</v>
      </c>
      <c r="U1825" t="s">
        <v>22385</v>
      </c>
      <c r="V1825">
        <f>-712.444174885076 -50.3586543751896 -94.2064921671666</f>
        <v>-857.00932142743227</v>
      </c>
      <c r="W1825" t="s">
        <v>22386</v>
      </c>
      <c r="X1825" t="s">
        <v>22387</v>
      </c>
      <c r="Y1825" t="s">
        <v>22388</v>
      </c>
    </row>
    <row r="1826" spans="1:25" x14ac:dyDescent="0.3">
      <c r="A1826">
        <v>91250</v>
      </c>
      <c r="B1826" t="s">
        <v>22389</v>
      </c>
      <c r="C1826" t="s">
        <v>22390</v>
      </c>
      <c r="D1826" t="s">
        <v>22391</v>
      </c>
      <c r="E1826" t="s">
        <v>22392</v>
      </c>
      <c r="F1826" t="s">
        <v>22393</v>
      </c>
      <c r="G1826" t="s">
        <v>22394</v>
      </c>
      <c r="H1826" t="s">
        <v>22395</v>
      </c>
      <c r="I1826" t="s">
        <v>22396</v>
      </c>
      <c r="J1826" t="s">
        <v>22397</v>
      </c>
      <c r="K1826" t="s">
        <v>22398</v>
      </c>
      <c r="L1826" t="s">
        <v>22399</v>
      </c>
      <c r="M1826" t="s">
        <v>22400</v>
      </c>
      <c r="N1826">
        <f>-747.362739470023 -7.74389196370907 -556.948723412932</f>
        <v>-1312.0553548466642</v>
      </c>
      <c r="O1826">
        <f>-747.134808910261 -141.58255090946 -525.56585389234</f>
        <v>-1414.2832137120608</v>
      </c>
      <c r="P1826">
        <f>-747.530729815893 -167.079033456266 -232.408961442395</f>
        <v>-1147.0187247145539</v>
      </c>
      <c r="Q1826">
        <f>-582.450487494995 -11.3427792549701 -313.314243142396</f>
        <v>-907.10750989236101</v>
      </c>
      <c r="R1826" t="s">
        <v>22401</v>
      </c>
      <c r="S1826" t="s">
        <v>22402</v>
      </c>
      <c r="T1826" t="s">
        <v>22403</v>
      </c>
      <c r="U1826" t="s">
        <v>22404</v>
      </c>
      <c r="V1826">
        <f>-712.440813567807 -50.5517186444738 -94.2034237595819</f>
        <v>-857.19595597186276</v>
      </c>
      <c r="W1826" t="s">
        <v>22405</v>
      </c>
      <c r="X1826" t="s">
        <v>22406</v>
      </c>
      <c r="Y1826" t="s">
        <v>22407</v>
      </c>
    </row>
    <row r="1827" spans="1:25" x14ac:dyDescent="0.3">
      <c r="A1827">
        <v>91300</v>
      </c>
      <c r="B1827" t="s">
        <v>22408</v>
      </c>
      <c r="C1827" t="s">
        <v>22409</v>
      </c>
      <c r="D1827" t="s">
        <v>22410</v>
      </c>
      <c r="E1827" t="s">
        <v>22411</v>
      </c>
      <c r="F1827" t="s">
        <v>22412</v>
      </c>
      <c r="G1827" t="s">
        <v>22413</v>
      </c>
      <c r="H1827" t="s">
        <v>22414</v>
      </c>
      <c r="I1827" t="s">
        <v>22415</v>
      </c>
      <c r="J1827" t="s">
        <v>22416</v>
      </c>
      <c r="K1827" t="s">
        <v>22417</v>
      </c>
      <c r="L1827" t="s">
        <v>22418</v>
      </c>
      <c r="M1827" t="s">
        <v>22419</v>
      </c>
      <c r="N1827">
        <f>-747.428241439943 -8.34302679198049 -556.936695654834</f>
        <v>-1312.7079638867576</v>
      </c>
      <c r="O1827">
        <f>-746.894551685874 -142.174210011957 -525.517775052541</f>
        <v>-1414.586536750372</v>
      </c>
      <c r="P1827">
        <f>-747.154381691133 -167.630012014286 -232.357100927549</f>
        <v>-1147.141494632968</v>
      </c>
      <c r="Q1827">
        <f>-582.557850180908 -11.6122677873939 -313.703811747438</f>
        <v>-907.87392971573991</v>
      </c>
      <c r="R1827" t="s">
        <v>22420</v>
      </c>
      <c r="S1827" t="s">
        <v>22421</v>
      </c>
      <c r="T1827" t="s">
        <v>22422</v>
      </c>
      <c r="U1827" t="s">
        <v>22423</v>
      </c>
      <c r="V1827">
        <f>-712.492775607877 -51.2381722038629 -94.197434890313</f>
        <v>-857.92838270205289</v>
      </c>
      <c r="W1827" t="s">
        <v>22424</v>
      </c>
      <c r="X1827" t="s">
        <v>22425</v>
      </c>
      <c r="Y1827" t="s">
        <v>22426</v>
      </c>
    </row>
    <row r="1828" spans="1:25" x14ac:dyDescent="0.3">
      <c r="A1828">
        <v>91350</v>
      </c>
      <c r="B1828" t="s">
        <v>22427</v>
      </c>
      <c r="C1828" t="s">
        <v>22428</v>
      </c>
      <c r="D1828" t="s">
        <v>22429</v>
      </c>
      <c r="E1828" t="s">
        <v>22430</v>
      </c>
      <c r="F1828" t="s">
        <v>22431</v>
      </c>
      <c r="G1828" t="s">
        <v>22432</v>
      </c>
      <c r="H1828" t="s">
        <v>22433</v>
      </c>
      <c r="I1828" t="s">
        <v>22434</v>
      </c>
      <c r="J1828" t="s">
        <v>22435</v>
      </c>
      <c r="K1828" t="s">
        <v>22436</v>
      </c>
      <c r="L1828" t="s">
        <v>22437</v>
      </c>
      <c r="M1828" t="s">
        <v>22438</v>
      </c>
      <c r="N1828">
        <f>-747.444677043431 -8.63807822716944 -556.93001812793</f>
        <v>-1313.0127733985305</v>
      </c>
      <c r="O1828">
        <f>-746.684835642177 -142.458492598789 -525.498491919258</f>
        <v>-1414.6418201602239</v>
      </c>
      <c r="P1828">
        <f>-746.860281135414 -167.912587323806 -232.337875728937</f>
        <v>-1147.110744188157</v>
      </c>
      <c r="Q1828">
        <f>-582.487583318214 -11.6598271841035 -313.686167936391</f>
        <v>-907.8335784387084</v>
      </c>
      <c r="R1828" t="s">
        <v>22439</v>
      </c>
      <c r="S1828" t="s">
        <v>22440</v>
      </c>
      <c r="T1828" t="s">
        <v>22441</v>
      </c>
      <c r="U1828" t="s">
        <v>22442</v>
      </c>
      <c r="V1828">
        <f>-712.396984489774 -51.4920065842525 -94.2052762635597</f>
        <v>-858.09426733758619</v>
      </c>
      <c r="W1828" t="s">
        <v>22443</v>
      </c>
      <c r="X1828" t="s">
        <v>22444</v>
      </c>
      <c r="Y1828" t="s">
        <v>22445</v>
      </c>
    </row>
    <row r="1829" spans="1:25" x14ac:dyDescent="0.3">
      <c r="A1829">
        <v>91400</v>
      </c>
      <c r="B1829" t="s">
        <v>22446</v>
      </c>
      <c r="C1829" t="s">
        <v>22447</v>
      </c>
      <c r="D1829" t="s">
        <v>22448</v>
      </c>
      <c r="E1829" t="s">
        <v>22449</v>
      </c>
      <c r="F1829" t="s">
        <v>22450</v>
      </c>
      <c r="G1829" t="s">
        <v>22451</v>
      </c>
      <c r="H1829" t="s">
        <v>22452</v>
      </c>
      <c r="I1829" t="s">
        <v>22453</v>
      </c>
      <c r="J1829" t="s">
        <v>22454</v>
      </c>
      <c r="K1829" t="s">
        <v>22455</v>
      </c>
      <c r="L1829" t="s">
        <v>22456</v>
      </c>
      <c r="M1829" t="s">
        <v>22457</v>
      </c>
      <c r="N1829">
        <f>-747.638875483278 -9.52519453505397 -556.938963320971</f>
        <v>-1314.1030333393028</v>
      </c>
      <c r="O1829">
        <f>-746.366102655584 -143.341027173852 -525.471345804937</f>
        <v>-1415.1784756343729</v>
      </c>
      <c r="P1829">
        <f>-746.403998147768 -168.542485136822 -232.288592279463</f>
        <v>-1147.235075564053</v>
      </c>
      <c r="Q1829">
        <f>-582.317857533085 -11.8792446212387 -313.426129700317</f>
        <v>-907.62323185464072</v>
      </c>
      <c r="R1829" t="s">
        <v>22458</v>
      </c>
      <c r="S1829" t="s">
        <v>22459</v>
      </c>
      <c r="T1829" t="s">
        <v>22460</v>
      </c>
      <c r="U1829" t="s">
        <v>22461</v>
      </c>
      <c r="V1829">
        <f>-712.302745066709 -52.390449160526 -94.2105837640178</f>
        <v>-858.90377799125281</v>
      </c>
      <c r="W1829" t="s">
        <v>22462</v>
      </c>
      <c r="X1829" t="s">
        <v>22463</v>
      </c>
      <c r="Y1829" t="s">
        <v>22464</v>
      </c>
    </row>
    <row r="1830" spans="1:25" x14ac:dyDescent="0.3">
      <c r="A1830">
        <v>91450</v>
      </c>
      <c r="B1830" t="s">
        <v>22465</v>
      </c>
      <c r="C1830" t="s">
        <v>22466</v>
      </c>
      <c r="D1830" t="s">
        <v>22467</v>
      </c>
      <c r="E1830" t="s">
        <v>22468</v>
      </c>
      <c r="F1830" t="s">
        <v>22469</v>
      </c>
      <c r="G1830" t="s">
        <v>22470</v>
      </c>
      <c r="H1830" t="s">
        <v>22471</v>
      </c>
      <c r="I1830" t="s">
        <v>22472</v>
      </c>
      <c r="J1830" t="s">
        <v>22473</v>
      </c>
      <c r="K1830" t="s">
        <v>22474</v>
      </c>
      <c r="L1830" t="s">
        <v>22475</v>
      </c>
      <c r="M1830" t="s">
        <v>22476</v>
      </c>
      <c r="N1830">
        <f>-747.765849884446 -10.0101058211428 -556.938572316722</f>
        <v>-1314.7145280223108</v>
      </c>
      <c r="O1830">
        <f>-746.214154412259 -143.820706893093 -525.475574973725</f>
        <v>-1415.5104362790769</v>
      </c>
      <c r="P1830">
        <f>-746.160010680741 -168.96942805223 -232.288283542926</f>
        <v>-1147.4177222758969</v>
      </c>
      <c r="Q1830">
        <f>-582.263063907759 -12.1835979885957 -313.571019394818</f>
        <v>-908.01768129117272</v>
      </c>
      <c r="R1830" t="s">
        <v>22477</v>
      </c>
      <c r="S1830" t="s">
        <v>22478</v>
      </c>
      <c r="T1830" t="s">
        <v>22479</v>
      </c>
      <c r="U1830" t="s">
        <v>22480</v>
      </c>
      <c r="V1830">
        <f>-712.234038381464 -52.8565221680283 -94.2160240521569</f>
        <v>-859.30658460164909</v>
      </c>
      <c r="W1830" t="s">
        <v>22481</v>
      </c>
      <c r="X1830" t="s">
        <v>22482</v>
      </c>
      <c r="Y1830" t="s">
        <v>22483</v>
      </c>
    </row>
    <row r="1831" spans="1:25" x14ac:dyDescent="0.3">
      <c r="A1831">
        <v>91500</v>
      </c>
      <c r="B1831" t="s">
        <v>22484</v>
      </c>
      <c r="C1831" t="s">
        <v>22485</v>
      </c>
      <c r="D1831" t="s">
        <v>22486</v>
      </c>
      <c r="E1831" t="s">
        <v>22487</v>
      </c>
      <c r="F1831" t="s">
        <v>22488</v>
      </c>
      <c r="G1831" t="s">
        <v>22489</v>
      </c>
      <c r="H1831" t="s">
        <v>22490</v>
      </c>
      <c r="I1831" t="s">
        <v>22491</v>
      </c>
      <c r="J1831" t="s">
        <v>22492</v>
      </c>
      <c r="K1831" t="s">
        <v>22493</v>
      </c>
      <c r="L1831" t="s">
        <v>22494</v>
      </c>
      <c r="M1831" t="s">
        <v>22495</v>
      </c>
      <c r="N1831">
        <f>-748.000472741894 -10.812953073189 -556.958425391334</f>
        <v>-1315.7718512064171</v>
      </c>
      <c r="O1831">
        <f>-745.853565837438 -144.623413686386 -525.520139437588</f>
        <v>-1415.9971189614121</v>
      </c>
      <c r="P1831">
        <f>-745.448447504265 -169.865069679588 -232.341254830167</f>
        <v>-1147.65477201402</v>
      </c>
      <c r="Q1831">
        <f>-582.216097402111 -12.5678384921573 -313.972220701403</f>
        <v>-908.75615659567131</v>
      </c>
      <c r="R1831" t="s">
        <v>22496</v>
      </c>
      <c r="S1831" t="s">
        <v>22497</v>
      </c>
      <c r="T1831" t="s">
        <v>22498</v>
      </c>
      <c r="U1831" t="s">
        <v>22499</v>
      </c>
      <c r="V1831">
        <f>-712.061945580519 -53.5882753633323 -94.2306259120404</f>
        <v>-859.88084685589172</v>
      </c>
      <c r="W1831" t="s">
        <v>22500</v>
      </c>
      <c r="X1831" t="s">
        <v>22501</v>
      </c>
      <c r="Y1831" t="s">
        <v>22502</v>
      </c>
    </row>
    <row r="1832" spans="1:25" x14ac:dyDescent="0.3">
      <c r="A1832">
        <v>91550</v>
      </c>
      <c r="B1832" t="s">
        <v>22503</v>
      </c>
      <c r="C1832" t="s">
        <v>22504</v>
      </c>
      <c r="D1832" t="s">
        <v>22505</v>
      </c>
      <c r="E1832" t="s">
        <v>22506</v>
      </c>
      <c r="F1832" t="s">
        <v>22507</v>
      </c>
      <c r="G1832" t="s">
        <v>22508</v>
      </c>
      <c r="H1832" t="s">
        <v>22509</v>
      </c>
      <c r="I1832" t="s">
        <v>22510</v>
      </c>
      <c r="J1832" t="s">
        <v>22511</v>
      </c>
      <c r="K1832" t="s">
        <v>22512</v>
      </c>
      <c r="L1832" t="s">
        <v>22513</v>
      </c>
      <c r="M1832" t="s">
        <v>22514</v>
      </c>
      <c r="N1832">
        <f>-748.167598225074 -11.161541691348 -556.971810918279</f>
        <v>-1316.3009508347009</v>
      </c>
      <c r="O1832">
        <f>-745.714361626234 -144.973378907902 -525.561911545713</f>
        <v>-1416.2496520798491</v>
      </c>
      <c r="P1832">
        <f>-745.148324018797 -170.241088187299 -232.385448034188</f>
        <v>-1147.7748602402839</v>
      </c>
      <c r="Q1832">
        <f>-582.106081899823 -12.7170932098338 -313.959225713662</f>
        <v>-908.78240082331888</v>
      </c>
      <c r="R1832" t="s">
        <v>22515</v>
      </c>
      <c r="S1832" t="s">
        <v>22516</v>
      </c>
      <c r="T1832" t="s">
        <v>22517</v>
      </c>
      <c r="U1832" t="s">
        <v>22518</v>
      </c>
      <c r="V1832">
        <f>-711.983188970384 -53.9527410005437 -94.2399974600211</f>
        <v>-860.17592743094883</v>
      </c>
      <c r="W1832" t="s">
        <v>22519</v>
      </c>
      <c r="X1832" t="s">
        <v>22520</v>
      </c>
      <c r="Y1832" t="s">
        <v>22521</v>
      </c>
    </row>
    <row r="1833" spans="1:25" x14ac:dyDescent="0.3">
      <c r="A1833">
        <v>91600</v>
      </c>
      <c r="B1833" t="s">
        <v>22522</v>
      </c>
      <c r="C1833" t="s">
        <v>22523</v>
      </c>
      <c r="D1833" t="s">
        <v>22524</v>
      </c>
      <c r="E1833" t="s">
        <v>22525</v>
      </c>
      <c r="F1833" t="s">
        <v>22526</v>
      </c>
      <c r="G1833" t="s">
        <v>22527</v>
      </c>
      <c r="H1833" t="s">
        <v>22528</v>
      </c>
      <c r="I1833" t="s">
        <v>22529</v>
      </c>
      <c r="J1833" t="s">
        <v>22530</v>
      </c>
      <c r="K1833" t="s">
        <v>22531</v>
      </c>
      <c r="L1833" t="s">
        <v>22532</v>
      </c>
      <c r="M1833" t="s">
        <v>22533</v>
      </c>
      <c r="N1833">
        <f>-748.540258725434 -11.8276688208134 -557.000563653777</f>
        <v>-1317.3684912000244</v>
      </c>
      <c r="O1833">
        <f>-745.488478308189 -145.636225347776 -525.635973025804</f>
        <v>-1416.7606766817689</v>
      </c>
      <c r="P1833">
        <f>-744.690889754077 -170.782099518275 -232.449681764153</f>
        <v>-1147.9226710365051</v>
      </c>
      <c r="Q1833">
        <f>-581.985121256213 -12.8776375693967 -313.959533136392</f>
        <v>-908.82229196200171</v>
      </c>
      <c r="R1833" t="s">
        <v>22534</v>
      </c>
      <c r="S1833" t="s">
        <v>22535</v>
      </c>
      <c r="T1833" t="s">
        <v>22536</v>
      </c>
      <c r="U1833" t="s">
        <v>22537</v>
      </c>
      <c r="V1833">
        <f>-711.882462653834 -54.6386984190676 -94.2514519471484</f>
        <v>-860.77261302005002</v>
      </c>
      <c r="W1833" t="s">
        <v>22538</v>
      </c>
      <c r="X1833" t="s">
        <v>22539</v>
      </c>
      <c r="Y1833" t="s">
        <v>22540</v>
      </c>
    </row>
    <row r="1834" spans="1:25" x14ac:dyDescent="0.3">
      <c r="A1834">
        <v>91650</v>
      </c>
      <c r="B1834" t="s">
        <v>22541</v>
      </c>
      <c r="C1834" t="s">
        <v>22542</v>
      </c>
      <c r="D1834" t="s">
        <v>22543</v>
      </c>
      <c r="E1834" t="s">
        <v>22544</v>
      </c>
      <c r="F1834" t="s">
        <v>22545</v>
      </c>
      <c r="G1834" t="s">
        <v>22546</v>
      </c>
      <c r="H1834" t="s">
        <v>22547</v>
      </c>
      <c r="I1834" t="s">
        <v>22548</v>
      </c>
      <c r="J1834" t="s">
        <v>22549</v>
      </c>
      <c r="K1834" t="s">
        <v>22550</v>
      </c>
      <c r="L1834" t="s">
        <v>22551</v>
      </c>
      <c r="M1834" t="s">
        <v>22552</v>
      </c>
      <c r="N1834">
        <f>-748.736689057929 -12.2293198718933 -557.002221876312</f>
        <v>-1317.9682308061342</v>
      </c>
      <c r="O1834">
        <f>-745.328564341485 -146.031574192566 -525.650603195939</f>
        <v>-1417.0107417299901</v>
      </c>
      <c r="P1834">
        <f>-744.453727085318 -171.065155006658 -232.454724241542</f>
        <v>-1147.9736063335179</v>
      </c>
      <c r="Q1834">
        <f>-582.086311706708 -12.8505101175645 -314.037787821651</f>
        <v>-908.97460964592346</v>
      </c>
      <c r="R1834" t="s">
        <v>22553</v>
      </c>
      <c r="S1834" t="s">
        <v>22554</v>
      </c>
      <c r="T1834" t="s">
        <v>22555</v>
      </c>
      <c r="U1834" t="s">
        <v>22556</v>
      </c>
      <c r="V1834">
        <f>-711.850231390536 -55.0647117531676 -94.2501200372044</f>
        <v>-861.16506318090796</v>
      </c>
      <c r="W1834" t="s">
        <v>22557</v>
      </c>
      <c r="X1834" t="s">
        <v>22558</v>
      </c>
      <c r="Y1834" t="s">
        <v>22559</v>
      </c>
    </row>
    <row r="1835" spans="1:25" x14ac:dyDescent="0.3">
      <c r="A1835">
        <v>91700</v>
      </c>
      <c r="B1835" t="s">
        <v>22560</v>
      </c>
      <c r="C1835" t="s">
        <v>22561</v>
      </c>
      <c r="D1835" t="s">
        <v>22562</v>
      </c>
      <c r="E1835" t="s">
        <v>22563</v>
      </c>
      <c r="F1835" t="s">
        <v>22564</v>
      </c>
      <c r="G1835" t="s">
        <v>22565</v>
      </c>
      <c r="H1835" t="s">
        <v>22566</v>
      </c>
      <c r="I1835" t="s">
        <v>22567</v>
      </c>
      <c r="J1835" t="s">
        <v>22568</v>
      </c>
      <c r="K1835" t="s">
        <v>22569</v>
      </c>
      <c r="L1835" t="s">
        <v>22570</v>
      </c>
      <c r="M1835" t="s">
        <v>22571</v>
      </c>
      <c r="N1835">
        <f>-748.948104250687 -12.6711191387881 -557.045139789766</f>
        <v>-1318.6643631792413</v>
      </c>
      <c r="O1835">
        <f>-744.942658389002 -146.474381022224 -525.751755829058</f>
        <v>-1417.168795240284</v>
      </c>
      <c r="P1835">
        <f>-743.722034744128 -171.730562482118 -232.576331806455</f>
        <v>-1148.0289290327009</v>
      </c>
      <c r="Q1835">
        <f>-582.033553486473 -12.8657527070277 -314.244401385302</f>
        <v>-909.14370757880272</v>
      </c>
      <c r="R1835" t="s">
        <v>22572</v>
      </c>
      <c r="S1835" t="s">
        <v>22573</v>
      </c>
      <c r="T1835" t="s">
        <v>22574</v>
      </c>
      <c r="U1835" t="s">
        <v>22575</v>
      </c>
      <c r="V1835">
        <f>-711.718781024504 -55.6060058086657 -94.2622698536214</f>
        <v>-861.58705668679113</v>
      </c>
      <c r="W1835" t="s">
        <v>22576</v>
      </c>
      <c r="X1835" t="s">
        <v>22577</v>
      </c>
      <c r="Y1835" t="s">
        <v>22578</v>
      </c>
    </row>
    <row r="1836" spans="1:25" x14ac:dyDescent="0.3">
      <c r="A1836">
        <v>91750</v>
      </c>
      <c r="B1836" t="s">
        <v>22579</v>
      </c>
      <c r="C1836" t="s">
        <v>22580</v>
      </c>
      <c r="D1836" t="s">
        <v>22581</v>
      </c>
      <c r="E1836" t="s">
        <v>22582</v>
      </c>
      <c r="F1836" t="s">
        <v>22583</v>
      </c>
      <c r="G1836" t="s">
        <v>22584</v>
      </c>
      <c r="H1836" t="s">
        <v>22585</v>
      </c>
      <c r="I1836" t="s">
        <v>22586</v>
      </c>
      <c r="J1836" t="s">
        <v>22587</v>
      </c>
      <c r="K1836" t="s">
        <v>22588</v>
      </c>
      <c r="L1836" t="s">
        <v>22589</v>
      </c>
      <c r="M1836" t="s">
        <v>22590</v>
      </c>
      <c r="N1836">
        <f>-749.021954838657 -12.9046991264038 -557.07424449883</f>
        <v>-1319.0008984638907</v>
      </c>
      <c r="O1836">
        <f>-744.744865421829 -146.712189712807 -525.851584147293</f>
        <v>-1417.3086392819291</v>
      </c>
      <c r="P1836">
        <f>-743.498139679015 -172.103133876407 -232.687833175022</f>
        <v>-1148.289106730444</v>
      </c>
      <c r="Q1836">
        <f>-582.069291690583 -13.000467034941 -314.406519030632</f>
        <v>-909.47627775615604</v>
      </c>
      <c r="R1836" t="s">
        <v>22591</v>
      </c>
      <c r="S1836" t="s">
        <v>22592</v>
      </c>
      <c r="T1836" t="s">
        <v>22593</v>
      </c>
      <c r="U1836" t="s">
        <v>22594</v>
      </c>
      <c r="V1836">
        <f>-711.700288839342 -55.8857495068223 -94.2673886126664</f>
        <v>-861.85342695883071</v>
      </c>
      <c r="W1836" t="s">
        <v>22595</v>
      </c>
      <c r="X1836" t="s">
        <v>22596</v>
      </c>
      <c r="Y1836" t="s">
        <v>22597</v>
      </c>
    </row>
    <row r="1837" spans="1:25" x14ac:dyDescent="0.3">
      <c r="A1837">
        <v>91800</v>
      </c>
      <c r="B1837" t="s">
        <v>22598</v>
      </c>
      <c r="C1837" t="s">
        <v>22599</v>
      </c>
      <c r="D1837" t="s">
        <v>22600</v>
      </c>
      <c r="E1837" t="s">
        <v>22601</v>
      </c>
      <c r="F1837" t="s">
        <v>22602</v>
      </c>
      <c r="G1837" t="s">
        <v>22603</v>
      </c>
      <c r="H1837" t="s">
        <v>22604</v>
      </c>
      <c r="I1837" t="s">
        <v>22605</v>
      </c>
      <c r="J1837" t="s">
        <v>22606</v>
      </c>
      <c r="K1837" t="s">
        <v>22607</v>
      </c>
      <c r="L1837" t="s">
        <v>22608</v>
      </c>
      <c r="M1837" t="s">
        <v>22609</v>
      </c>
      <c r="N1837">
        <f>-749.192306920534 -13.2962527949517 -557.117135879624</f>
        <v>-1319.6056955951096</v>
      </c>
      <c r="O1837">
        <f>-744.432119868225 -147.114326314119 -526.007743101283</f>
        <v>-1417.554189283627</v>
      </c>
      <c r="P1837">
        <f>-743.170545063846 -172.716168009657 -232.862454756959</f>
        <v>-1148.7491678304621</v>
      </c>
      <c r="Q1837">
        <f>-582.138933644714 -13.3388656334218 -314.829445444669</f>
        <v>-910.30724472280485</v>
      </c>
      <c r="R1837" t="s">
        <v>22610</v>
      </c>
      <c r="S1837" t="s">
        <v>22611</v>
      </c>
      <c r="T1837" t="s">
        <v>22612</v>
      </c>
      <c r="U1837" t="s">
        <v>22613</v>
      </c>
      <c r="V1837">
        <f>-711.607453063146 -56.2751161831022 -94.2871518119767</f>
        <v>-862.16972105822492</v>
      </c>
      <c r="W1837" t="s">
        <v>22614</v>
      </c>
      <c r="X1837" t="s">
        <v>22615</v>
      </c>
      <c r="Y1837" t="s">
        <v>22616</v>
      </c>
    </row>
    <row r="1838" spans="1:25" x14ac:dyDescent="0.3">
      <c r="A1838">
        <v>91850</v>
      </c>
      <c r="B1838" t="s">
        <v>22617</v>
      </c>
      <c r="C1838" t="s">
        <v>22618</v>
      </c>
      <c r="D1838" t="s">
        <v>22619</v>
      </c>
      <c r="E1838" t="s">
        <v>22620</v>
      </c>
      <c r="F1838" t="s">
        <v>22621</v>
      </c>
      <c r="G1838" t="s">
        <v>22622</v>
      </c>
      <c r="H1838" t="s">
        <v>22623</v>
      </c>
      <c r="I1838" t="s">
        <v>22624</v>
      </c>
      <c r="J1838" t="s">
        <v>22625</v>
      </c>
      <c r="K1838" t="s">
        <v>22626</v>
      </c>
      <c r="L1838" t="s">
        <v>22627</v>
      </c>
      <c r="M1838" t="s">
        <v>22628</v>
      </c>
      <c r="N1838">
        <f>-749.201668663474 -13.4586689392454 -557.147909813259</f>
        <v>-1319.8082474159785</v>
      </c>
      <c r="O1838">
        <f>-744.201018942853 -147.279489207304 -526.076053639557</f>
        <v>-1417.5565617897141</v>
      </c>
      <c r="P1838">
        <f>-742.861396111721 -172.842575015909 -232.927840820942</f>
        <v>-1148.631811948572</v>
      </c>
      <c r="Q1838">
        <f>-582.087384793456 -13.2532185991386 -314.98753014503</f>
        <v>-910.32813353762458</v>
      </c>
      <c r="R1838" t="s">
        <v>22629</v>
      </c>
      <c r="S1838" t="s">
        <v>22630</v>
      </c>
      <c r="T1838" t="s">
        <v>22631</v>
      </c>
      <c r="U1838" t="s">
        <v>22632</v>
      </c>
      <c r="V1838">
        <f>-711.488243813698 -56.5292840169695 -94.3061887309724</f>
        <v>-862.32371656163991</v>
      </c>
      <c r="W1838" t="s">
        <v>22633</v>
      </c>
      <c r="X1838" t="s">
        <v>22634</v>
      </c>
      <c r="Y1838" t="s">
        <v>22635</v>
      </c>
    </row>
    <row r="1839" spans="1:25" x14ac:dyDescent="0.3">
      <c r="A1839">
        <v>91900</v>
      </c>
      <c r="B1839" t="s">
        <v>22636</v>
      </c>
      <c r="C1839" t="s">
        <v>22637</v>
      </c>
      <c r="D1839" t="s">
        <v>22638</v>
      </c>
      <c r="E1839" t="s">
        <v>22639</v>
      </c>
      <c r="F1839" t="s">
        <v>22640</v>
      </c>
      <c r="G1839" t="s">
        <v>22641</v>
      </c>
      <c r="H1839" t="s">
        <v>22642</v>
      </c>
      <c r="I1839" t="s">
        <v>22643</v>
      </c>
      <c r="J1839" t="s">
        <v>22644</v>
      </c>
      <c r="K1839" t="s">
        <v>22645</v>
      </c>
      <c r="L1839" t="s">
        <v>22646</v>
      </c>
      <c r="M1839" t="s">
        <v>22647</v>
      </c>
      <c r="N1839">
        <f>-749.12104587103 -13.4744960867204 -557.26201417721</f>
        <v>-1319.8575561349603</v>
      </c>
      <c r="O1839">
        <f>-743.656137223927 -147.29135543278 -526.23714452726</f>
        <v>-1417.184637183967</v>
      </c>
      <c r="P1839">
        <f>-742.128950252031 -172.976824381301 -233.100439797618</f>
        <v>-1148.20621443095</v>
      </c>
      <c r="Q1839">
        <f>-582.083934465132 -12.7041520426521 -315.253358727497</f>
        <v>-910.04144523528112</v>
      </c>
      <c r="R1839" t="s">
        <v>22648</v>
      </c>
      <c r="S1839" t="s">
        <v>22649</v>
      </c>
      <c r="T1839" t="s">
        <v>22650</v>
      </c>
      <c r="U1839" t="s">
        <v>22651</v>
      </c>
      <c r="V1839">
        <f>-711.375951877953 -56.6727337516793 -94.3584153764627</f>
        <v>-862.40710100609499</v>
      </c>
      <c r="W1839" t="s">
        <v>22652</v>
      </c>
      <c r="X1839" t="s">
        <v>22653</v>
      </c>
      <c r="Y1839" t="s">
        <v>22654</v>
      </c>
    </row>
    <row r="1840" spans="1:25" x14ac:dyDescent="0.3">
      <c r="A1840">
        <v>91950</v>
      </c>
      <c r="B1840" t="s">
        <v>22655</v>
      </c>
      <c r="C1840" t="s">
        <v>22656</v>
      </c>
      <c r="D1840" t="s">
        <v>22657</v>
      </c>
      <c r="E1840" t="s">
        <v>22658</v>
      </c>
      <c r="F1840" t="s">
        <v>22659</v>
      </c>
      <c r="G1840" t="s">
        <v>22660</v>
      </c>
      <c r="H1840" t="s">
        <v>22661</v>
      </c>
      <c r="I1840" t="s">
        <v>22662</v>
      </c>
      <c r="J1840" t="s">
        <v>22663</v>
      </c>
      <c r="K1840" t="s">
        <v>22664</v>
      </c>
      <c r="L1840" t="s">
        <v>22665</v>
      </c>
      <c r="M1840" t="s">
        <v>22666</v>
      </c>
      <c r="N1840">
        <f>-749.011279635252 -13.3027965269987 -557.328688203071</f>
        <v>-1319.6427643653217</v>
      </c>
      <c r="O1840">
        <f>-743.415624164266 -147.1223491063 -526.325426785817</f>
        <v>-1416.8634000563829</v>
      </c>
      <c r="P1840">
        <f>-741.887898171157 -172.889812343553 -233.195902816316</f>
        <v>-1147.9736133310259</v>
      </c>
      <c r="Q1840">
        <f>-581.865879133222 -12.5734549329491 -315.308764849318</f>
        <v>-909.74809891548909</v>
      </c>
      <c r="R1840" t="s">
        <v>22667</v>
      </c>
      <c r="S1840" t="s">
        <v>22668</v>
      </c>
      <c r="T1840" t="s">
        <v>22669</v>
      </c>
      <c r="U1840" t="s">
        <v>22670</v>
      </c>
      <c r="V1840">
        <f>-711.395862372662 -56.6729151941659 -94.392597945877</f>
        <v>-862.46137551270488</v>
      </c>
      <c r="W1840" t="s">
        <v>22671</v>
      </c>
      <c r="X1840" t="s">
        <v>22672</v>
      </c>
      <c r="Y1840" t="s">
        <v>22673</v>
      </c>
    </row>
    <row r="1841" spans="1:25" x14ac:dyDescent="0.3">
      <c r="A1841">
        <v>92000</v>
      </c>
      <c r="B1841" t="s">
        <v>22674</v>
      </c>
      <c r="C1841" t="s">
        <v>22675</v>
      </c>
      <c r="D1841" t="s">
        <v>22676</v>
      </c>
      <c r="E1841" t="s">
        <v>22677</v>
      </c>
      <c r="F1841" t="s">
        <v>22678</v>
      </c>
      <c r="G1841" t="s">
        <v>22679</v>
      </c>
      <c r="H1841" t="s">
        <v>22680</v>
      </c>
      <c r="I1841" t="s">
        <v>22681</v>
      </c>
      <c r="J1841" t="s">
        <v>22682</v>
      </c>
      <c r="K1841" t="s">
        <v>22683</v>
      </c>
      <c r="L1841" t="s">
        <v>22684</v>
      </c>
      <c r="M1841" t="s">
        <v>22685</v>
      </c>
      <c r="N1841">
        <f>-749.056333499543 -12.7987689620936 -557.276617218698</f>
        <v>-1319.1317196803348</v>
      </c>
      <c r="O1841">
        <f>-743.481896206811 -146.612150359299 -526.269343965408</f>
        <v>-1416.363390531518</v>
      </c>
      <c r="P1841">
        <f>-741.99861187311 -172.602257458444 -233.159345177669</f>
        <v>-1147.760214509223</v>
      </c>
      <c r="Q1841">
        <f>-582.195688618941 -12.0140226392825 -315.167334603111</f>
        <v>-909.37704586133441</v>
      </c>
      <c r="R1841" t="s">
        <v>22686</v>
      </c>
      <c r="S1841" t="s">
        <v>22687</v>
      </c>
      <c r="T1841" t="s">
        <v>22688</v>
      </c>
      <c r="U1841" t="s">
        <v>22689</v>
      </c>
      <c r="V1841">
        <f>-712.127033485179 -56.7545386291129 -94.3687829314733</f>
        <v>-863.25035504576522</v>
      </c>
      <c r="W1841" t="s">
        <v>22690</v>
      </c>
      <c r="X1841" t="s">
        <v>22691</v>
      </c>
      <c r="Y1841" t="s">
        <v>22692</v>
      </c>
    </row>
    <row r="1842" spans="1:25" x14ac:dyDescent="0.3">
      <c r="A1842">
        <v>92050</v>
      </c>
      <c r="B1842" t="s">
        <v>22693</v>
      </c>
      <c r="C1842" t="s">
        <v>22694</v>
      </c>
      <c r="D1842" t="s">
        <v>22695</v>
      </c>
      <c r="E1842" t="s">
        <v>22696</v>
      </c>
      <c r="F1842" t="s">
        <v>22697</v>
      </c>
      <c r="G1842" t="s">
        <v>22698</v>
      </c>
      <c r="H1842" t="s">
        <v>22699</v>
      </c>
      <c r="I1842" t="s">
        <v>22700</v>
      </c>
      <c r="J1842" t="s">
        <v>22701</v>
      </c>
      <c r="K1842" t="s">
        <v>22702</v>
      </c>
      <c r="L1842" t="s">
        <v>22703</v>
      </c>
      <c r="M1842" t="s">
        <v>22704</v>
      </c>
      <c r="N1842">
        <f>-749.360631650594 -12.4873232222628 -557.1820736765</f>
        <v>-1319.0300285493568</v>
      </c>
      <c r="O1842">
        <f>-744.04497215612 -146.303157202105 -526.152013922549</f>
        <v>-1416.500143280774</v>
      </c>
      <c r="P1842">
        <f>-742.580804683011 -172.366016095932 -233.048245974743</f>
        <v>-1147.9950667536859</v>
      </c>
      <c r="Q1842">
        <f>-582.728438653606 -11.8334169138493 -315.068700799412</f>
        <v>-909.63055636686727</v>
      </c>
      <c r="R1842" t="s">
        <v>22705</v>
      </c>
      <c r="S1842" t="s">
        <v>22706</v>
      </c>
      <c r="T1842" t="s">
        <v>22707</v>
      </c>
      <c r="U1842" t="s">
        <v>22708</v>
      </c>
      <c r="V1842">
        <f>-712.789842336328 -56.9216175403601 -94.3243775290614</f>
        <v>-864.03583740574948</v>
      </c>
      <c r="W1842" t="s">
        <v>22709</v>
      </c>
      <c r="X1842" t="s">
        <v>22710</v>
      </c>
      <c r="Y1842" t="s">
        <v>22711</v>
      </c>
    </row>
    <row r="1843" spans="1:25" x14ac:dyDescent="0.3">
      <c r="A1843">
        <v>92100</v>
      </c>
      <c r="B1843" t="s">
        <v>22712</v>
      </c>
      <c r="C1843" t="s">
        <v>22713</v>
      </c>
      <c r="D1843" t="s">
        <v>22714</v>
      </c>
      <c r="E1843" t="s">
        <v>22715</v>
      </c>
      <c r="F1843" t="s">
        <v>22716</v>
      </c>
      <c r="G1843" t="s">
        <v>22717</v>
      </c>
      <c r="H1843" t="s">
        <v>22718</v>
      </c>
      <c r="I1843" t="s">
        <v>22719</v>
      </c>
      <c r="J1843" t="s">
        <v>22720</v>
      </c>
      <c r="K1843" t="s">
        <v>22721</v>
      </c>
      <c r="L1843" t="s">
        <v>22722</v>
      </c>
      <c r="M1843" t="s">
        <v>22723</v>
      </c>
      <c r="N1843">
        <f>-749.870677640069 -11.6196854443949 -557.050910901681</f>
        <v>-1318.5412739861449</v>
      </c>
      <c r="O1843">
        <f>-746.015320036426 -145.519281609591 -526.116962954175</f>
        <v>-1417.6515646001922</v>
      </c>
      <c r="P1843">
        <f>-744.258598395684 -171.978187301872 -233.05028136462</f>
        <v>-1149.287067062176</v>
      </c>
      <c r="Q1843">
        <f>-583.988174513091 -11.8390146685201 -315.023934945657</f>
        <v>-910.85112412726812</v>
      </c>
      <c r="R1843" t="s">
        <v>22724</v>
      </c>
      <c r="S1843" t="s">
        <v>22725</v>
      </c>
      <c r="T1843" t="s">
        <v>22726</v>
      </c>
      <c r="U1843" t="s">
        <v>22727</v>
      </c>
      <c r="V1843">
        <f>-714.060027632599 -56.9174486983318 -94.2311623218903</f>
        <v>-865.20863865282115</v>
      </c>
      <c r="W1843" t="s">
        <v>22728</v>
      </c>
      <c r="X1843" t="s">
        <v>22729</v>
      </c>
      <c r="Y1843" t="s">
        <v>22730</v>
      </c>
    </row>
    <row r="1844" spans="1:25" x14ac:dyDescent="0.3">
      <c r="A1844">
        <v>92150</v>
      </c>
      <c r="B1844" t="s">
        <v>22731</v>
      </c>
      <c r="C1844" t="s">
        <v>22732</v>
      </c>
      <c r="D1844" t="s">
        <v>22733</v>
      </c>
      <c r="E1844" t="s">
        <v>22734</v>
      </c>
      <c r="F1844" t="s">
        <v>22735</v>
      </c>
      <c r="G1844" t="s">
        <v>22736</v>
      </c>
      <c r="H1844" t="s">
        <v>22737</v>
      </c>
      <c r="I1844" t="s">
        <v>22738</v>
      </c>
      <c r="J1844" t="s">
        <v>22739</v>
      </c>
      <c r="K1844" t="s">
        <v>22740</v>
      </c>
      <c r="L1844" t="s">
        <v>22741</v>
      </c>
      <c r="M1844" t="s">
        <v>22742</v>
      </c>
      <c r="N1844">
        <f>-750.245892432865 -11.0180771937171 -556.995305769014</f>
        <v>-1318.259275395596</v>
      </c>
      <c r="O1844">
        <f>-747.530775856857 -144.9673440865 -526.149692248059</f>
        <v>-1418.6478121914161</v>
      </c>
      <c r="P1844">
        <f>-745.724336134101 -171.817994878667 -233.118925424148</f>
        <v>-1150.6612564369161</v>
      </c>
      <c r="Q1844">
        <f>-584.697379512555 -12.3597431710557 -314.937568969148</f>
        <v>-911.99469165275877</v>
      </c>
      <c r="R1844" t="s">
        <v>22743</v>
      </c>
      <c r="S1844" t="s">
        <v>22744</v>
      </c>
      <c r="T1844" t="s">
        <v>22745</v>
      </c>
      <c r="U1844" t="s">
        <v>22746</v>
      </c>
      <c r="V1844">
        <f>-714.627485818041 -56.8539078123513 -94.181912175336</f>
        <v>-865.66330580572833</v>
      </c>
      <c r="W1844" t="s">
        <v>22747</v>
      </c>
      <c r="X1844" t="s">
        <v>22748</v>
      </c>
      <c r="Y1844" t="s">
        <v>22749</v>
      </c>
    </row>
    <row r="1845" spans="1:25" x14ac:dyDescent="0.3">
      <c r="A1845">
        <v>92200</v>
      </c>
      <c r="B1845" t="s">
        <v>22750</v>
      </c>
      <c r="C1845" t="s">
        <v>22751</v>
      </c>
      <c r="D1845" t="s">
        <v>22752</v>
      </c>
      <c r="E1845" t="s">
        <v>22753</v>
      </c>
      <c r="F1845" t="s">
        <v>22754</v>
      </c>
      <c r="G1845" t="s">
        <v>22755</v>
      </c>
      <c r="H1845" t="s">
        <v>22756</v>
      </c>
      <c r="I1845" t="s">
        <v>22757</v>
      </c>
      <c r="J1845" t="s">
        <v>22758</v>
      </c>
      <c r="K1845" t="s">
        <v>22759</v>
      </c>
      <c r="L1845" t="s">
        <v>22760</v>
      </c>
      <c r="M1845" t="s">
        <v>22761</v>
      </c>
      <c r="N1845">
        <f>-750.976648883638 -9.48055343418241 -556.932530805145</f>
        <v>-1317.3897331229655</v>
      </c>
      <c r="O1845">
        <f>-751.025961865833 -143.503440813425 -526.314503354624</f>
        <v>-1420.8439060338819</v>
      </c>
      <c r="P1845">
        <f>-748.832286466924 -171.522564822952 -233.395933082238</f>
        <v>-1153.7507843721141</v>
      </c>
      <c r="Q1845">
        <f>-586.167762716331 -13.6406752782286 -315.031838073122</f>
        <v>-914.84027606768166</v>
      </c>
      <c r="R1845" t="s">
        <v>22762</v>
      </c>
      <c r="S1845" t="s">
        <v>22763</v>
      </c>
      <c r="T1845" t="s">
        <v>22764</v>
      </c>
      <c r="U1845" t="s">
        <v>22765</v>
      </c>
      <c r="V1845">
        <f>-715.520884317041 -56.0711880807103 -94.0494540908684</f>
        <v>-865.64152648861966</v>
      </c>
      <c r="W1845" t="s">
        <v>22766</v>
      </c>
      <c r="X1845" t="s">
        <v>22767</v>
      </c>
      <c r="Y1845" t="s">
        <v>22768</v>
      </c>
    </row>
    <row r="1846" spans="1:25" x14ac:dyDescent="0.3">
      <c r="A1846">
        <v>92250</v>
      </c>
      <c r="B1846" t="s">
        <v>22769</v>
      </c>
      <c r="C1846" t="s">
        <v>22770</v>
      </c>
      <c r="D1846" t="s">
        <v>22771</v>
      </c>
      <c r="E1846" t="s">
        <v>22772</v>
      </c>
      <c r="F1846" t="s">
        <v>22773</v>
      </c>
      <c r="G1846" t="s">
        <v>22774</v>
      </c>
      <c r="H1846" t="s">
        <v>22775</v>
      </c>
      <c r="I1846" t="s">
        <v>22776</v>
      </c>
      <c r="J1846" t="s">
        <v>22777</v>
      </c>
      <c r="K1846" t="s">
        <v>22778</v>
      </c>
      <c r="L1846" t="s">
        <v>22779</v>
      </c>
      <c r="M1846" t="s">
        <v>22780</v>
      </c>
      <c r="N1846">
        <f>-751.341074437796 -8.73817648643421 -556.934987584316</f>
        <v>-1317.0142385085462</v>
      </c>
      <c r="O1846">
        <f>-752.942475511089 -142.785083564497 -526.484998387589</f>
        <v>-1422.212557463175</v>
      </c>
      <c r="P1846">
        <f>-750.533485886213 -171.458003435899 -233.631299823829</f>
        <v>-1155.6227891459412</v>
      </c>
      <c r="Q1846">
        <f>-586.720101373724 -14.6746147223671 -315.086752710967</f>
        <v>-916.48146880705804</v>
      </c>
      <c r="R1846" t="s">
        <v>22781</v>
      </c>
      <c r="S1846" t="s">
        <v>22782</v>
      </c>
      <c r="T1846" t="s">
        <v>22783</v>
      </c>
      <c r="U1846" t="s">
        <v>22784</v>
      </c>
      <c r="V1846">
        <f>-715.890859123305 -55.8312189276498 -93.9775062349391</f>
        <v>-865.69958428589393</v>
      </c>
      <c r="W1846" t="s">
        <v>22785</v>
      </c>
      <c r="X1846" t="s">
        <v>22786</v>
      </c>
      <c r="Y1846" t="s">
        <v>22787</v>
      </c>
    </row>
    <row r="1847" spans="1:25" x14ac:dyDescent="0.3">
      <c r="A1847">
        <v>92300</v>
      </c>
      <c r="B1847" t="s">
        <v>22788</v>
      </c>
      <c r="C1847" t="s">
        <v>22789</v>
      </c>
      <c r="D1847" t="s">
        <v>22790</v>
      </c>
      <c r="E1847" t="s">
        <v>22791</v>
      </c>
      <c r="F1847" t="s">
        <v>22792</v>
      </c>
      <c r="G1847" t="s">
        <v>22793</v>
      </c>
      <c r="H1847" t="s">
        <v>22794</v>
      </c>
      <c r="I1847" t="s">
        <v>22795</v>
      </c>
      <c r="J1847" t="s">
        <v>22796</v>
      </c>
      <c r="K1847" t="s">
        <v>22797</v>
      </c>
      <c r="L1847" t="s">
        <v>22798</v>
      </c>
      <c r="M1847" t="s">
        <v>22799</v>
      </c>
      <c r="N1847">
        <f>-752.055984406314 -7.4075625957214 -557.038768831882</f>
        <v>-1316.5023158339172</v>
      </c>
      <c r="O1847">
        <f>-756.516536985419 -141.436654313939 -526.831904674267</f>
        <v>-1424.7850959736249</v>
      </c>
      <c r="P1847">
        <f>-753.93587178465 -171.219819860223 -234.090523159556</f>
        <v>-1159.246214804429</v>
      </c>
      <c r="Q1847">
        <f>-587.696218572571 -16.8638944107488 -315.266531983465</f>
        <v>-919.82664496678467</v>
      </c>
      <c r="R1847" t="s">
        <v>22800</v>
      </c>
      <c r="S1847" t="s">
        <v>22801</v>
      </c>
      <c r="T1847" t="s">
        <v>22802</v>
      </c>
      <c r="U1847" t="s">
        <v>22803</v>
      </c>
      <c r="V1847">
        <f>-716.450023068391 -55.3847250477772 -93.8929930614059</f>
        <v>-865.72774117757422</v>
      </c>
      <c r="W1847" t="s">
        <v>22804</v>
      </c>
      <c r="X1847" t="s">
        <v>22805</v>
      </c>
      <c r="Y1847" t="s">
        <v>22806</v>
      </c>
    </row>
    <row r="1848" spans="1:25" x14ac:dyDescent="0.3">
      <c r="A1848">
        <v>92350</v>
      </c>
      <c r="B1848" t="s">
        <v>22807</v>
      </c>
      <c r="C1848" t="s">
        <v>22808</v>
      </c>
      <c r="D1848" t="s">
        <v>22809</v>
      </c>
      <c r="E1848" t="s">
        <v>22810</v>
      </c>
      <c r="F1848" t="s">
        <v>22811</v>
      </c>
      <c r="G1848" t="s">
        <v>22812</v>
      </c>
      <c r="H1848" t="s">
        <v>22813</v>
      </c>
      <c r="I1848" t="s">
        <v>22814</v>
      </c>
      <c r="J1848" t="s">
        <v>22815</v>
      </c>
      <c r="K1848" t="s">
        <v>22816</v>
      </c>
      <c r="L1848" t="s">
        <v>22817</v>
      </c>
      <c r="M1848" t="s">
        <v>22818</v>
      </c>
      <c r="N1848">
        <f>-752.304423059077 -6.77023622082584 -557.107103435449</f>
        <v>-1316.1817627153519</v>
      </c>
      <c r="O1848">
        <f>-758.006113598472 -140.776380263159 -527.014556013936</f>
        <v>-1425.7970498755672</v>
      </c>
      <c r="P1848">
        <f>-755.335294545713 -170.684346317746 -234.286595788878</f>
        <v>-1160.306236652337</v>
      </c>
      <c r="Q1848">
        <f>-587.963805268174 -17.5715708877108 -315.490988178106</f>
        <v>-921.02636433399084</v>
      </c>
      <c r="R1848" t="s">
        <v>22819</v>
      </c>
      <c r="S1848" t="s">
        <v>22820</v>
      </c>
      <c r="T1848" t="s">
        <v>22821</v>
      </c>
      <c r="U1848" t="s">
        <v>22822</v>
      </c>
      <c r="V1848">
        <f>-716.629265640684 -55.0842785622108 -93.8786696171568</f>
        <v>-865.5922138200516</v>
      </c>
      <c r="W1848" t="s">
        <v>22823</v>
      </c>
      <c r="X1848" t="s">
        <v>22824</v>
      </c>
      <c r="Y1848" t="s">
        <v>22825</v>
      </c>
    </row>
    <row r="1849" spans="1:25" x14ac:dyDescent="0.3">
      <c r="A1849">
        <v>92400</v>
      </c>
      <c r="B1849" t="s">
        <v>22826</v>
      </c>
      <c r="C1849" t="s">
        <v>22827</v>
      </c>
      <c r="D1849" t="s">
        <v>22828</v>
      </c>
      <c r="E1849" t="s">
        <v>22829</v>
      </c>
      <c r="F1849" t="s">
        <v>22830</v>
      </c>
      <c r="G1849" t="s">
        <v>22831</v>
      </c>
      <c r="H1849" t="s">
        <v>22832</v>
      </c>
      <c r="I1849" t="s">
        <v>22833</v>
      </c>
      <c r="J1849" t="s">
        <v>22834</v>
      </c>
      <c r="K1849" t="s">
        <v>22835</v>
      </c>
      <c r="L1849" t="s">
        <v>22836</v>
      </c>
      <c r="M1849" t="s">
        <v>22837</v>
      </c>
      <c r="N1849">
        <f>-752.69123899604 -5.40618576777842 -557.237216195526</f>
        <v>-1315.3346409593446</v>
      </c>
      <c r="O1849">
        <f>-760.271825714329 -139.350129777887 -527.295206219145</f>
        <v>-1426.9171617113611</v>
      </c>
      <c r="P1849">
        <f>-757.517321399177 -169.156147620903 -234.557752844065</f>
        <v>-1161.231221864145</v>
      </c>
      <c r="Q1849">
        <f>-588.185282312365 -18.2612172442098 -315.848840459185</f>
        <v>-922.29534001575973</v>
      </c>
      <c r="R1849" t="s">
        <v>22838</v>
      </c>
      <c r="S1849" t="s">
        <v>22839</v>
      </c>
      <c r="T1849" t="s">
        <v>22840</v>
      </c>
      <c r="U1849" t="s">
        <v>22841</v>
      </c>
      <c r="V1849">
        <f>-716.759652832072 -53.7777941873785 -93.8862754747223</f>
        <v>-864.42372249417281</v>
      </c>
      <c r="W1849" t="s">
        <v>22842</v>
      </c>
      <c r="X1849" t="s">
        <v>22843</v>
      </c>
      <c r="Y1849" t="s">
        <v>22844</v>
      </c>
    </row>
    <row r="1850" spans="1:25" x14ac:dyDescent="0.3">
      <c r="A1850">
        <v>92450</v>
      </c>
      <c r="B1850" t="s">
        <v>22845</v>
      </c>
      <c r="C1850" t="s">
        <v>22846</v>
      </c>
      <c r="D1850" t="s">
        <v>22847</v>
      </c>
      <c r="E1850" t="s">
        <v>22848</v>
      </c>
      <c r="F1850" t="s">
        <v>22849</v>
      </c>
      <c r="G1850" t="s">
        <v>22850</v>
      </c>
      <c r="H1850" t="s">
        <v>22851</v>
      </c>
      <c r="I1850" t="s">
        <v>22852</v>
      </c>
      <c r="J1850" t="s">
        <v>22853</v>
      </c>
      <c r="K1850" t="s">
        <v>22854</v>
      </c>
      <c r="L1850" t="s">
        <v>22855</v>
      </c>
      <c r="M1850" t="s">
        <v>22856</v>
      </c>
      <c r="N1850">
        <f>-753.021333618353 -5.1208505670827 -557.243155112503</f>
        <v>-1315.3853392979386</v>
      </c>
      <c r="O1850">
        <f>-761.292165232605 -139.024936121977 -527.311110394929</f>
        <v>-1427.6282117495111</v>
      </c>
      <c r="P1850">
        <f>-758.328929842532 -168.844039388003 -234.576965722332</f>
        <v>-1161.7499349528671</v>
      </c>
      <c r="Q1850">
        <f>-588.311830232589 -18.7197481196056 -315.864747549619</f>
        <v>-922.89632590181361</v>
      </c>
      <c r="R1850" t="s">
        <v>22857</v>
      </c>
      <c r="S1850" t="s">
        <v>22858</v>
      </c>
      <c r="T1850" t="s">
        <v>22859</v>
      </c>
      <c r="U1850" t="s">
        <v>22860</v>
      </c>
      <c r="V1850">
        <f>-716.724536087291 -53.3198121941089 -93.8981330766851</f>
        <v>-863.94248135808493</v>
      </c>
      <c r="W1850" t="s">
        <v>22861</v>
      </c>
      <c r="X1850" t="s">
        <v>22862</v>
      </c>
      <c r="Y1850" t="s">
        <v>22863</v>
      </c>
    </row>
    <row r="1851" spans="1:25" x14ac:dyDescent="0.3">
      <c r="A1851">
        <v>92500</v>
      </c>
      <c r="B1851" t="s">
        <v>22864</v>
      </c>
      <c r="C1851" t="s">
        <v>22865</v>
      </c>
      <c r="D1851" t="s">
        <v>22866</v>
      </c>
      <c r="E1851" t="s">
        <v>22867</v>
      </c>
      <c r="F1851" t="s">
        <v>22868</v>
      </c>
      <c r="G1851" t="s">
        <v>22869</v>
      </c>
      <c r="H1851" t="s">
        <v>22870</v>
      </c>
      <c r="I1851" t="s">
        <v>22871</v>
      </c>
      <c r="J1851" t="s">
        <v>22872</v>
      </c>
      <c r="K1851" t="s">
        <v>22873</v>
      </c>
      <c r="L1851" t="s">
        <v>22874</v>
      </c>
      <c r="M1851" t="s">
        <v>22875</v>
      </c>
      <c r="N1851">
        <f>-753.668697733121 -5.35115371116149 -557.130607397601</f>
        <v>-1316.1504588418834</v>
      </c>
      <c r="O1851">
        <f>-763.221994240163 -139.157045808196 -527.043618448423</f>
        <v>-1429.4226584967819</v>
      </c>
      <c r="P1851">
        <f>-759.597500905488 -168.774912590623 -234.296561706354</f>
        <v>-1162.6689752024649</v>
      </c>
      <c r="Q1851">
        <f>-588.219387802663 -20.2364120056163 -315.639861272594</f>
        <v>-924.09566108087336</v>
      </c>
      <c r="R1851" t="s">
        <v>22876</v>
      </c>
      <c r="S1851" t="s">
        <v>22877</v>
      </c>
      <c r="T1851" t="s">
        <v>22878</v>
      </c>
      <c r="U1851" t="s">
        <v>22879</v>
      </c>
      <c r="V1851">
        <f>-716.632116054097 -53.0211557944992 -93.8935028598225</f>
        <v>-863.54677470841875</v>
      </c>
      <c r="W1851" t="s">
        <v>22880</v>
      </c>
      <c r="X1851" t="s">
        <v>22881</v>
      </c>
      <c r="Y1851" t="s">
        <v>22882</v>
      </c>
    </row>
    <row r="1852" spans="1:25" x14ac:dyDescent="0.3">
      <c r="A1852">
        <v>92550</v>
      </c>
      <c r="B1852" t="s">
        <v>22883</v>
      </c>
      <c r="C1852" t="s">
        <v>22884</v>
      </c>
      <c r="D1852" t="s">
        <v>22885</v>
      </c>
      <c r="E1852" t="s">
        <v>22886</v>
      </c>
      <c r="F1852" t="s">
        <v>22887</v>
      </c>
      <c r="G1852" t="s">
        <v>22888</v>
      </c>
      <c r="H1852" t="s">
        <v>22889</v>
      </c>
      <c r="I1852" t="s">
        <v>22890</v>
      </c>
      <c r="J1852" t="s">
        <v>22891</v>
      </c>
      <c r="K1852" t="s">
        <v>22892</v>
      </c>
      <c r="L1852" t="s">
        <v>22893</v>
      </c>
      <c r="M1852" t="s">
        <v>22894</v>
      </c>
      <c r="N1852">
        <f>-753.824507286572 -5.58526107608964 -557.073507832352</f>
        <v>-1316.4832761950138</v>
      </c>
      <c r="O1852">
        <f>-763.900337029606 -139.311590979655 -526.790840623676</f>
        <v>-1430.002768632937</v>
      </c>
      <c r="P1852">
        <f>-760.031218747176 -168.507664474276 -234.004470357054</f>
        <v>-1162.543353578506</v>
      </c>
      <c r="Q1852">
        <f>-588.035399404392 -20.7508331052013 -315.467565753092</f>
        <v>-924.25379826268534</v>
      </c>
      <c r="R1852" t="s">
        <v>22895</v>
      </c>
      <c r="S1852" t="s">
        <v>22896</v>
      </c>
      <c r="T1852" t="s">
        <v>22897</v>
      </c>
      <c r="U1852" t="s">
        <v>22898</v>
      </c>
      <c r="V1852">
        <f>-716.661937415586 -53.0805622567682 -93.8778761100932</f>
        <v>-863.62037578244735</v>
      </c>
      <c r="W1852" t="s">
        <v>22899</v>
      </c>
      <c r="X1852" t="s">
        <v>22900</v>
      </c>
      <c r="Y1852" t="s">
        <v>22901</v>
      </c>
    </row>
    <row r="1853" spans="1:25" x14ac:dyDescent="0.3">
      <c r="A1853">
        <v>92600</v>
      </c>
      <c r="B1853" t="s">
        <v>22902</v>
      </c>
      <c r="C1853" t="s">
        <v>22903</v>
      </c>
      <c r="D1853" t="s">
        <v>22904</v>
      </c>
      <c r="E1853" t="s">
        <v>22905</v>
      </c>
      <c r="F1853" t="s">
        <v>22906</v>
      </c>
      <c r="G1853" t="s">
        <v>22907</v>
      </c>
      <c r="H1853" t="s">
        <v>22908</v>
      </c>
      <c r="I1853" t="s">
        <v>22909</v>
      </c>
      <c r="J1853" t="s">
        <v>22910</v>
      </c>
      <c r="K1853" t="s">
        <v>22911</v>
      </c>
      <c r="L1853" t="s">
        <v>22912</v>
      </c>
      <c r="M1853" t="s">
        <v>22913</v>
      </c>
      <c r="N1853">
        <f>-753.852986311782 -5.88942576888508 -556.944250207077</f>
        <v>-1316.6866622877442</v>
      </c>
      <c r="O1853">
        <f>-764.570126162805 -139.461866933542 -526.257693602653</f>
        <v>-1430.289686699</v>
      </c>
      <c r="P1853">
        <f>-760.294978809339 -167.744480650117 -233.387462125787</f>
        <v>-1161.426921585243</v>
      </c>
      <c r="Q1853">
        <f>-587.610253752801 -21.237170083833 -315.645878800577</f>
        <v>-924.49330263721095</v>
      </c>
      <c r="R1853" t="s">
        <v>22914</v>
      </c>
      <c r="S1853" t="s">
        <v>22915</v>
      </c>
      <c r="T1853" t="s">
        <v>22916</v>
      </c>
      <c r="U1853" t="s">
        <v>22917</v>
      </c>
      <c r="V1853">
        <f>-716.319632575904 -52.5265472869194 -93.8593155100396</f>
        <v>-862.70549537286297</v>
      </c>
      <c r="W1853" t="s">
        <v>22918</v>
      </c>
      <c r="X1853" t="s">
        <v>22919</v>
      </c>
      <c r="Y1853" t="s">
        <v>22920</v>
      </c>
    </row>
    <row r="1854" spans="1:25" x14ac:dyDescent="0.3">
      <c r="A1854">
        <v>92650</v>
      </c>
      <c r="B1854" t="s">
        <v>22921</v>
      </c>
      <c r="C1854" t="s">
        <v>22922</v>
      </c>
      <c r="D1854" t="s">
        <v>22923</v>
      </c>
      <c r="E1854" t="s">
        <v>22924</v>
      </c>
      <c r="F1854" t="s">
        <v>22925</v>
      </c>
      <c r="G1854" t="s">
        <v>22926</v>
      </c>
      <c r="H1854" t="s">
        <v>22927</v>
      </c>
      <c r="I1854" t="s">
        <v>22928</v>
      </c>
      <c r="J1854" t="s">
        <v>22929</v>
      </c>
      <c r="K1854" t="s">
        <v>22930</v>
      </c>
      <c r="L1854" t="s">
        <v>22931</v>
      </c>
      <c r="M1854" t="s">
        <v>22932</v>
      </c>
      <c r="N1854">
        <f>-754.051630067568 -5.78197915688088 -556.90975336435</f>
        <v>-1316.7433625887988</v>
      </c>
      <c r="O1854">
        <f>-764.991365094006 -139.304641381445 -526.080890678761</f>
        <v>-1430.376897154212</v>
      </c>
      <c r="P1854">
        <f>-760.212360549676 -167.336480461013 -233.194311763564</f>
        <v>-1160.7431527742531</v>
      </c>
      <c r="Q1854">
        <f>-587.424714086555 -21.1198818493169 -315.753458932962</f>
        <v>-924.29805486883401</v>
      </c>
      <c r="R1854" t="s">
        <v>22933</v>
      </c>
      <c r="S1854" t="s">
        <v>22934</v>
      </c>
      <c r="T1854" t="s">
        <v>22935</v>
      </c>
      <c r="U1854" t="s">
        <v>22936</v>
      </c>
      <c r="V1854">
        <f>-716.13334381878 -52.0589902883082 -93.8502369630386</f>
        <v>-862.04257107012677</v>
      </c>
      <c r="W1854" t="s">
        <v>22937</v>
      </c>
      <c r="X1854" t="s">
        <v>22938</v>
      </c>
      <c r="Y1854" t="s">
        <v>22939</v>
      </c>
    </row>
    <row r="1855" spans="1:25" x14ac:dyDescent="0.3">
      <c r="A1855">
        <v>92700</v>
      </c>
      <c r="B1855" t="s">
        <v>22940</v>
      </c>
      <c r="C1855" t="s">
        <v>22941</v>
      </c>
      <c r="D1855" t="s">
        <v>22942</v>
      </c>
      <c r="E1855" t="s">
        <v>22943</v>
      </c>
      <c r="F1855" t="s">
        <v>22944</v>
      </c>
      <c r="G1855" t="s">
        <v>22945</v>
      </c>
      <c r="H1855" t="s">
        <v>22946</v>
      </c>
      <c r="I1855" t="s">
        <v>22947</v>
      </c>
      <c r="J1855" t="s">
        <v>22948</v>
      </c>
      <c r="K1855" t="s">
        <v>22949</v>
      </c>
      <c r="L1855" t="s">
        <v>22950</v>
      </c>
      <c r="M1855" t="s">
        <v>22951</v>
      </c>
      <c r="N1855">
        <f>-754.482686616852 -5.67936508051002 -556.864818208637</f>
        <v>-1317.0268699059989</v>
      </c>
      <c r="O1855">
        <f>-765.558210777333 -139.143658792641 -525.867080147834</f>
        <v>-1430.568949717808</v>
      </c>
      <c r="P1855">
        <f>-760.102127570017 -166.892818388906 -232.96524293527</f>
        <v>-1159.9601888941929</v>
      </c>
      <c r="Q1855">
        <f>-587.184785882083 -20.9532093390937 -315.742819224039</f>
        <v>-923.88081444521572</v>
      </c>
      <c r="R1855" t="s">
        <v>22952</v>
      </c>
      <c r="S1855" t="s">
        <v>22953</v>
      </c>
      <c r="T1855" t="s">
        <v>22954</v>
      </c>
      <c r="U1855" t="s">
        <v>22955</v>
      </c>
      <c r="V1855">
        <f>-715.473089124008 -51.59497304448 -93.8493252290532</f>
        <v>-860.91738739754112</v>
      </c>
      <c r="W1855" t="s">
        <v>22956</v>
      </c>
      <c r="X1855" t="s">
        <v>22957</v>
      </c>
      <c r="Y1855" t="s">
        <v>22958</v>
      </c>
    </row>
    <row r="1856" spans="1:25" x14ac:dyDescent="0.3">
      <c r="A1856">
        <v>92750</v>
      </c>
      <c r="B1856" t="s">
        <v>22959</v>
      </c>
      <c r="C1856" t="s">
        <v>22960</v>
      </c>
      <c r="D1856" t="s">
        <v>22961</v>
      </c>
      <c r="E1856" t="s">
        <v>22962</v>
      </c>
      <c r="F1856" t="s">
        <v>22963</v>
      </c>
      <c r="G1856" t="s">
        <v>22964</v>
      </c>
      <c r="H1856" t="s">
        <v>22965</v>
      </c>
      <c r="I1856" t="s">
        <v>22966</v>
      </c>
      <c r="J1856" t="s">
        <v>22967</v>
      </c>
      <c r="K1856" t="s">
        <v>22968</v>
      </c>
      <c r="L1856" t="s">
        <v>22969</v>
      </c>
      <c r="M1856" t="s">
        <v>22970</v>
      </c>
      <c r="N1856">
        <f>-754.831578914212 -6.00856553511062 -556.820276486552</f>
        <v>-1317.6604209358745</v>
      </c>
      <c r="O1856">
        <f>-765.822664492695 -139.454877463434 -525.731848401802</f>
        <v>-1431.0093903579309</v>
      </c>
      <c r="P1856">
        <f>-760.140876526529 -167.062121815233 -232.820958083868</f>
        <v>-1160.0239564256301</v>
      </c>
      <c r="Q1856">
        <f>-587.293923581168 -21.1036324585423 -315.71187473944</f>
        <v>-924.10943077915022</v>
      </c>
      <c r="R1856" t="s">
        <v>22971</v>
      </c>
      <c r="S1856" t="s">
        <v>22972</v>
      </c>
      <c r="T1856" t="s">
        <v>22973</v>
      </c>
      <c r="U1856" t="s">
        <v>22974</v>
      </c>
      <c r="V1856">
        <f>-715.200305209255 -51.7599943725961 -93.8592880529402</f>
        <v>-860.81958763479133</v>
      </c>
      <c r="W1856" t="s">
        <v>22975</v>
      </c>
      <c r="X1856" t="s">
        <v>22976</v>
      </c>
      <c r="Y1856" t="s">
        <v>22977</v>
      </c>
    </row>
    <row r="1857" spans="1:25" x14ac:dyDescent="0.3">
      <c r="A1857">
        <v>92800</v>
      </c>
      <c r="B1857" t="s">
        <v>22978</v>
      </c>
      <c r="C1857" t="s">
        <v>22979</v>
      </c>
      <c r="D1857" t="s">
        <v>22980</v>
      </c>
      <c r="E1857" t="s">
        <v>22981</v>
      </c>
      <c r="F1857" t="s">
        <v>22982</v>
      </c>
      <c r="G1857" t="s">
        <v>22983</v>
      </c>
      <c r="H1857" t="s">
        <v>22984</v>
      </c>
      <c r="I1857" t="s">
        <v>22985</v>
      </c>
      <c r="J1857" t="s">
        <v>22986</v>
      </c>
      <c r="K1857" t="s">
        <v>22987</v>
      </c>
      <c r="L1857" t="s">
        <v>22988</v>
      </c>
      <c r="M1857" t="s">
        <v>22989</v>
      </c>
      <c r="N1857">
        <f>-755.539024852316 -6.94165285862732 -556.700446604755</f>
        <v>-1319.1811243156983</v>
      </c>
      <c r="O1857">
        <f>-766.167445858601 -140.393024883218 -525.455346486123</f>
        <v>-1432.0158172279421</v>
      </c>
      <c r="P1857">
        <f>-760.167475717005 -167.301077445202 -232.485772252749</f>
        <v>-1159.954325414956</v>
      </c>
      <c r="Q1857">
        <f>-587.493908439188 -21.2720148676081 -315.613661020155</f>
        <v>-924.37958432695109</v>
      </c>
      <c r="R1857" t="s">
        <v>22990</v>
      </c>
      <c r="S1857" t="s">
        <v>22991</v>
      </c>
      <c r="T1857" t="s">
        <v>22992</v>
      </c>
      <c r="U1857" t="s">
        <v>22993</v>
      </c>
      <c r="V1857">
        <f>-714.765240307316 -52.2129195454947 -93.8250685125381</f>
        <v>-860.8032283653489</v>
      </c>
      <c r="W1857" t="s">
        <v>22994</v>
      </c>
      <c r="X1857" t="s">
        <v>22995</v>
      </c>
      <c r="Y1857" t="s">
        <v>22996</v>
      </c>
    </row>
    <row r="1858" spans="1:25" x14ac:dyDescent="0.3">
      <c r="A1858">
        <v>92850</v>
      </c>
      <c r="B1858" t="s">
        <v>22997</v>
      </c>
      <c r="C1858" t="s">
        <v>22998</v>
      </c>
      <c r="D1858" t="s">
        <v>22999</v>
      </c>
      <c r="E1858" t="s">
        <v>23000</v>
      </c>
      <c r="F1858" t="s">
        <v>23001</v>
      </c>
      <c r="G1858" t="s">
        <v>23002</v>
      </c>
      <c r="H1858" t="s">
        <v>23003</v>
      </c>
      <c r="I1858" t="s">
        <v>23004</v>
      </c>
      <c r="J1858" t="s">
        <v>23005</v>
      </c>
      <c r="K1858" t="s">
        <v>23006</v>
      </c>
      <c r="L1858" t="s">
        <v>23007</v>
      </c>
      <c r="M1858" t="s">
        <v>23008</v>
      </c>
      <c r="N1858">
        <f>-755.772582106388 -7.43970274937465 -556.674995429687</f>
        <v>-1319.8872802854496</v>
      </c>
      <c r="O1858">
        <f>-766.161218897901 -140.893348712061 -525.365031940003</f>
        <v>-1432.4195995499649</v>
      </c>
      <c r="P1858">
        <f>-759.889769361579 -167.71435109723 -232.393262485749</f>
        <v>-1159.997382944558</v>
      </c>
      <c r="Q1858">
        <f>-587.655749596482 -21.2705189009937 -315.702854988025</f>
        <v>-924.62912348550071</v>
      </c>
      <c r="R1858" t="s">
        <v>23009</v>
      </c>
      <c r="S1858" t="s">
        <v>23010</v>
      </c>
      <c r="T1858" t="s">
        <v>23011</v>
      </c>
      <c r="U1858" t="s">
        <v>23012</v>
      </c>
      <c r="V1858">
        <f>-714.620596593259 -52.5971005205365 -93.8155513179538</f>
        <v>-861.03324843174937</v>
      </c>
      <c r="W1858" t="s">
        <v>23013</v>
      </c>
      <c r="X1858" t="s">
        <v>23014</v>
      </c>
      <c r="Y1858" t="s">
        <v>23015</v>
      </c>
    </row>
    <row r="1859" spans="1:25" x14ac:dyDescent="0.3">
      <c r="A1859">
        <v>92900</v>
      </c>
      <c r="B1859" t="s">
        <v>23016</v>
      </c>
      <c r="C1859" t="s">
        <v>23017</v>
      </c>
      <c r="D1859" t="s">
        <v>23018</v>
      </c>
      <c r="E1859" t="s">
        <v>23019</v>
      </c>
      <c r="F1859" t="s">
        <v>23020</v>
      </c>
      <c r="G1859" t="s">
        <v>23021</v>
      </c>
      <c r="H1859" t="s">
        <v>23022</v>
      </c>
      <c r="I1859" t="s">
        <v>23023</v>
      </c>
      <c r="J1859" t="s">
        <v>23024</v>
      </c>
      <c r="K1859" t="s">
        <v>23025</v>
      </c>
      <c r="L1859" t="s">
        <v>23026</v>
      </c>
      <c r="M1859" t="s">
        <v>23027</v>
      </c>
      <c r="N1859">
        <f>-755.996337697574 -8.24043465283171 -556.650317207362</f>
        <v>-1320.8870895577677</v>
      </c>
      <c r="O1859">
        <f>-765.862921452737 -141.704421084148 -525.23005289464</f>
        <v>-1432.797395431525</v>
      </c>
      <c r="P1859">
        <f>-758.99239688801 -168.414121917287 -232.261529470212</f>
        <v>-1159.6680482755091</v>
      </c>
      <c r="Q1859">
        <f>-587.61128322514 -21.1689159097564 -315.917162881051</f>
        <v>-924.69736201594742</v>
      </c>
      <c r="R1859" t="s">
        <v>23028</v>
      </c>
      <c r="S1859" t="s">
        <v>23029</v>
      </c>
      <c r="T1859" t="s">
        <v>23030</v>
      </c>
      <c r="U1859" t="s">
        <v>23031</v>
      </c>
      <c r="V1859">
        <f>-714.443433968639 -53.0273039106644 -93.7988382176507</f>
        <v>-861.2695760969541</v>
      </c>
      <c r="W1859" t="s">
        <v>23032</v>
      </c>
      <c r="X1859" t="s">
        <v>23033</v>
      </c>
      <c r="Y1859" t="s">
        <v>23034</v>
      </c>
    </row>
    <row r="1860" spans="1:25" x14ac:dyDescent="0.3">
      <c r="A1860">
        <v>92950</v>
      </c>
      <c r="B1860" t="s">
        <v>23035</v>
      </c>
      <c r="C1860" t="s">
        <v>23036</v>
      </c>
      <c r="D1860" t="s">
        <v>23037</v>
      </c>
      <c r="E1860" t="s">
        <v>23038</v>
      </c>
      <c r="F1860" t="s">
        <v>23039</v>
      </c>
      <c r="G1860" t="s">
        <v>23040</v>
      </c>
      <c r="H1860" t="s">
        <v>23041</v>
      </c>
      <c r="I1860" t="s">
        <v>23042</v>
      </c>
      <c r="J1860" t="s">
        <v>23043</v>
      </c>
      <c r="K1860" t="s">
        <v>23044</v>
      </c>
      <c r="L1860" t="s">
        <v>23045</v>
      </c>
      <c r="M1860" t="s">
        <v>23046</v>
      </c>
      <c r="N1860">
        <f>-756.130482263288 -8.73841664607244 -556.629563227233</f>
        <v>-1321.4984621365934</v>
      </c>
      <c r="O1860">
        <f>-765.735861869932 -142.216193938669 -525.163352210548</f>
        <v>-1433.1154080191491</v>
      </c>
      <c r="P1860">
        <f>-758.668899731215 -168.832484263045 -232.19089977465</f>
        <v>-1159.6922837689099</v>
      </c>
      <c r="Q1860">
        <f>-587.614041921203 -21.2645480390331 -315.945521546125</f>
        <v>-924.82411150636108</v>
      </c>
      <c r="R1860" t="s">
        <v>23047</v>
      </c>
      <c r="S1860" t="s">
        <v>23048</v>
      </c>
      <c r="T1860" t="s">
        <v>23049</v>
      </c>
      <c r="U1860" t="s">
        <v>23050</v>
      </c>
      <c r="V1860">
        <f>-714.515550075509 -53.5495457787101 -93.7995749575039</f>
        <v>-861.86467081172304</v>
      </c>
      <c r="W1860" t="s">
        <v>23051</v>
      </c>
      <c r="X1860" t="s">
        <v>23052</v>
      </c>
      <c r="Y1860" t="s">
        <v>23053</v>
      </c>
    </row>
    <row r="1861" spans="1:25" x14ac:dyDescent="0.3">
      <c r="A1861">
        <v>93000</v>
      </c>
      <c r="B1861" t="s">
        <v>23054</v>
      </c>
      <c r="C1861" t="s">
        <v>23055</v>
      </c>
      <c r="D1861" t="s">
        <v>23056</v>
      </c>
      <c r="E1861" t="s">
        <v>23057</v>
      </c>
      <c r="F1861" t="s">
        <v>23058</v>
      </c>
      <c r="G1861" t="s">
        <v>23059</v>
      </c>
      <c r="H1861" t="s">
        <v>23060</v>
      </c>
      <c r="I1861" t="s">
        <v>23061</v>
      </c>
      <c r="J1861" t="s">
        <v>23062</v>
      </c>
      <c r="K1861" t="s">
        <v>23063</v>
      </c>
      <c r="L1861" t="s">
        <v>23064</v>
      </c>
      <c r="M1861" t="s">
        <v>23065</v>
      </c>
      <c r="N1861">
        <f>-755.93122173522 -9.50351321259473 -556.66366612329</f>
        <v>-1322.0984010711047</v>
      </c>
      <c r="O1861">
        <f>-765.181227712456 -142.977844152905 -525.061262404986</f>
        <v>-1433.2203342703469</v>
      </c>
      <c r="P1861">
        <f>-758.016112038689 -169.199646693503 -232.055563355016</f>
        <v>-1159.2713220872081</v>
      </c>
      <c r="Q1861">
        <f>-587.124661504844 -21.5883448837701 -316.067001600876</f>
        <v>-924.78000798949006</v>
      </c>
      <c r="R1861" t="s">
        <v>23066</v>
      </c>
      <c r="S1861" t="s">
        <v>23067</v>
      </c>
      <c r="T1861" t="s">
        <v>23068</v>
      </c>
      <c r="U1861" t="s">
        <v>23069</v>
      </c>
      <c r="V1861">
        <f>-714.287818559587 -53.9782246542463 -93.8408083189473</f>
        <v>-862.10685153278064</v>
      </c>
      <c r="W1861" t="s">
        <v>23070</v>
      </c>
      <c r="X1861" t="s">
        <v>23071</v>
      </c>
      <c r="Y1861" t="s">
        <v>23072</v>
      </c>
    </row>
    <row r="1862" spans="1:25" x14ac:dyDescent="0.3">
      <c r="A1862">
        <v>93050</v>
      </c>
      <c r="B1862" t="s">
        <v>23073</v>
      </c>
      <c r="C1862" t="s">
        <v>23074</v>
      </c>
      <c r="D1862" t="s">
        <v>23075</v>
      </c>
      <c r="E1862" t="s">
        <v>23076</v>
      </c>
      <c r="F1862" t="s">
        <v>23077</v>
      </c>
      <c r="G1862" t="s">
        <v>23078</v>
      </c>
      <c r="H1862" t="s">
        <v>23079</v>
      </c>
      <c r="I1862" t="s">
        <v>23080</v>
      </c>
      <c r="J1862" t="s">
        <v>23081</v>
      </c>
      <c r="K1862" t="s">
        <v>23082</v>
      </c>
      <c r="L1862" t="s">
        <v>23083</v>
      </c>
      <c r="M1862" t="s">
        <v>23084</v>
      </c>
      <c r="N1862">
        <f>-755.72159720062 -9.83943590176432 -556.678796042016</f>
        <v>-1322.2398291444001</v>
      </c>
      <c r="O1862">
        <f>-764.840146757339 -143.307989196606 -525.011850064941</f>
        <v>-1433.159986018886</v>
      </c>
      <c r="P1862">
        <f>-757.697026549753 -169.291088191684 -231.984574226468</f>
        <v>-1158.972688967905</v>
      </c>
      <c r="Q1862">
        <f>-586.815172750424 -21.7667048783642 -316.167663417832</f>
        <v>-924.74954104662015</v>
      </c>
      <c r="R1862" t="s">
        <v>23085</v>
      </c>
      <c r="S1862" t="s">
        <v>23086</v>
      </c>
      <c r="T1862" t="s">
        <v>23087</v>
      </c>
      <c r="U1862" t="s">
        <v>23088</v>
      </c>
      <c r="V1862">
        <f>-714.109610434123 -54.1005384220525 -93.8571227877497</f>
        <v>-862.06727164392532</v>
      </c>
      <c r="W1862" t="s">
        <v>23089</v>
      </c>
      <c r="X1862" t="s">
        <v>23090</v>
      </c>
      <c r="Y1862" t="s">
        <v>23091</v>
      </c>
    </row>
    <row r="1863" spans="1:25" x14ac:dyDescent="0.3">
      <c r="A1863">
        <v>93100</v>
      </c>
      <c r="B1863" t="s">
        <v>23092</v>
      </c>
      <c r="C1863" t="s">
        <v>23093</v>
      </c>
      <c r="D1863" t="s">
        <v>23094</v>
      </c>
      <c r="E1863" t="s">
        <v>23095</v>
      </c>
      <c r="F1863" t="s">
        <v>23096</v>
      </c>
      <c r="G1863" t="s">
        <v>23097</v>
      </c>
      <c r="H1863" t="s">
        <v>23098</v>
      </c>
      <c r="I1863" t="s">
        <v>23099</v>
      </c>
      <c r="J1863" t="s">
        <v>23100</v>
      </c>
      <c r="K1863" t="s">
        <v>23101</v>
      </c>
      <c r="L1863" t="s">
        <v>23102</v>
      </c>
      <c r="M1863" t="s">
        <v>23103</v>
      </c>
      <c r="N1863">
        <f>-755.374852186249 -10.789991795576 -556.688111259232</f>
        <v>-1322.8529552410569</v>
      </c>
      <c r="O1863">
        <f>-764.241938668829 -144.235714038907 -524.894277389588</f>
        <v>-1433.3719300973239</v>
      </c>
      <c r="P1863">
        <f>-756.890203645412 -170.021329326978 -231.854553670146</f>
        <v>-1158.766086642536</v>
      </c>
      <c r="Q1863">
        <f>-586.248133814712 -22.4324476155091 -316.410211261851</f>
        <v>-925.090792692072</v>
      </c>
      <c r="R1863" t="s">
        <v>23104</v>
      </c>
      <c r="S1863" t="s">
        <v>23105</v>
      </c>
      <c r="T1863" t="s">
        <v>23106</v>
      </c>
      <c r="U1863" t="s">
        <v>23107</v>
      </c>
      <c r="V1863">
        <f>-713.773256814453 -54.8114770660713 -93.8495042470131</f>
        <v>-862.43423812753747</v>
      </c>
      <c r="W1863" t="s">
        <v>23108</v>
      </c>
      <c r="X1863" t="s">
        <v>23109</v>
      </c>
      <c r="Y1863" t="s">
        <v>23110</v>
      </c>
    </row>
    <row r="1864" spans="1:25" x14ac:dyDescent="0.3">
      <c r="A1864">
        <v>93150</v>
      </c>
      <c r="B1864" t="s">
        <v>23111</v>
      </c>
      <c r="C1864" t="s">
        <v>23112</v>
      </c>
      <c r="D1864" t="s">
        <v>23113</v>
      </c>
      <c r="E1864" t="s">
        <v>23114</v>
      </c>
      <c r="F1864" t="s">
        <v>23115</v>
      </c>
      <c r="G1864" t="s">
        <v>23116</v>
      </c>
      <c r="H1864" t="s">
        <v>23117</v>
      </c>
      <c r="I1864" t="s">
        <v>23118</v>
      </c>
      <c r="J1864" t="s">
        <v>23119</v>
      </c>
      <c r="K1864" t="s">
        <v>23120</v>
      </c>
      <c r="L1864" t="s">
        <v>23121</v>
      </c>
      <c r="M1864" t="s">
        <v>23122</v>
      </c>
      <c r="N1864">
        <f>-755.2693611687 -11.235703077122 -556.671508631814</f>
        <v>-1323.1765728776361</v>
      </c>
      <c r="O1864">
        <f>-764.003343861199 -144.677470734288 -524.828540387704</f>
        <v>-1433.5093549831911</v>
      </c>
      <c r="P1864">
        <f>-756.547051544176 -170.35299893814 -231.781962062827</f>
        <v>-1158.6820125451432</v>
      </c>
      <c r="Q1864">
        <f>-586.012257689839 -22.7195337195756 -316.476323148615</f>
        <v>-925.20811455802959</v>
      </c>
      <c r="R1864" t="s">
        <v>23123</v>
      </c>
      <c r="S1864" t="s">
        <v>23124</v>
      </c>
      <c r="T1864" t="s">
        <v>23125</v>
      </c>
      <c r="U1864" t="s">
        <v>23126</v>
      </c>
      <c r="V1864">
        <f>-713.603925593037 -55.0424858389631 -93.8565627201706</f>
        <v>-862.50297415217074</v>
      </c>
      <c r="W1864" t="s">
        <v>23127</v>
      </c>
      <c r="X1864" t="s">
        <v>23128</v>
      </c>
      <c r="Y1864" t="s">
        <v>23129</v>
      </c>
    </row>
    <row r="1865" spans="1:25" x14ac:dyDescent="0.3">
      <c r="A1865">
        <v>93200</v>
      </c>
      <c r="B1865" t="s">
        <v>23130</v>
      </c>
      <c r="C1865" t="s">
        <v>23131</v>
      </c>
      <c r="D1865" t="s">
        <v>23132</v>
      </c>
      <c r="E1865" t="s">
        <v>23133</v>
      </c>
      <c r="F1865" t="s">
        <v>23134</v>
      </c>
      <c r="G1865" t="s">
        <v>23135</v>
      </c>
      <c r="H1865" t="s">
        <v>23136</v>
      </c>
      <c r="I1865" t="s">
        <v>23137</v>
      </c>
      <c r="J1865" t="s">
        <v>23138</v>
      </c>
      <c r="K1865" t="s">
        <v>23139</v>
      </c>
      <c r="L1865" t="s">
        <v>23140</v>
      </c>
      <c r="M1865" t="s">
        <v>23141</v>
      </c>
      <c r="N1865">
        <f>-755.280948821961 -12.226932434663 -556.644462011423</f>
        <v>-1324.1523432680469</v>
      </c>
      <c r="O1865">
        <f>-763.722586582164 -145.659276808791 -524.678028517039</f>
        <v>-1434.0598919079939</v>
      </c>
      <c r="P1865">
        <f>-756.182831862743 -171.05980400433 -231.609557217871</f>
        <v>-1158.852193084944</v>
      </c>
      <c r="Q1865">
        <f>-586.025603332712 -23.0727812685695 -316.446095926114</f>
        <v>-925.54448052739554</v>
      </c>
      <c r="R1865" t="s">
        <v>23142</v>
      </c>
      <c r="S1865" t="s">
        <v>23143</v>
      </c>
      <c r="T1865" t="s">
        <v>23144</v>
      </c>
      <c r="U1865" t="s">
        <v>23145</v>
      </c>
      <c r="V1865">
        <f>-713.541718032653 -55.8635950160171 -93.8799885514143</f>
        <v>-863.28530160008438</v>
      </c>
      <c r="W1865" t="s">
        <v>23146</v>
      </c>
      <c r="X1865" t="s">
        <v>23147</v>
      </c>
      <c r="Y1865" t="s">
        <v>23148</v>
      </c>
    </row>
    <row r="1866" spans="1:25" x14ac:dyDescent="0.3">
      <c r="A1866">
        <v>93250</v>
      </c>
      <c r="B1866" t="s">
        <v>23149</v>
      </c>
      <c r="C1866" t="s">
        <v>23150</v>
      </c>
      <c r="D1866" t="s">
        <v>23151</v>
      </c>
      <c r="E1866" t="s">
        <v>23152</v>
      </c>
      <c r="F1866" t="s">
        <v>23153</v>
      </c>
      <c r="G1866" t="s">
        <v>23154</v>
      </c>
      <c r="H1866" t="s">
        <v>23155</v>
      </c>
      <c r="I1866" t="s">
        <v>23156</v>
      </c>
      <c r="J1866" t="s">
        <v>23157</v>
      </c>
      <c r="K1866" t="s">
        <v>23158</v>
      </c>
      <c r="L1866" t="s">
        <v>23159</v>
      </c>
      <c r="M1866" t="s">
        <v>23160</v>
      </c>
      <c r="N1866">
        <f>-755.288482255063 -12.5843639339453 -556.637672343842</f>
        <v>-1324.5105185328503</v>
      </c>
      <c r="O1866">
        <f>-763.608341175958 -146.018974897622 -524.626321945704</f>
        <v>-1434.2536380192842</v>
      </c>
      <c r="P1866">
        <f>-756.059961813595 -171.309529112984 -231.548618580164</f>
        <v>-1158.9181095067431</v>
      </c>
      <c r="Q1866">
        <f>-586.014983089852 -23.2400982683982 -316.466207772556</f>
        <v>-925.72128913080621</v>
      </c>
      <c r="R1866" t="s">
        <v>23161</v>
      </c>
      <c r="S1866" t="s">
        <v>23162</v>
      </c>
      <c r="T1866" t="s">
        <v>23163</v>
      </c>
      <c r="U1866" t="s">
        <v>23164</v>
      </c>
      <c r="V1866">
        <f>-713.623410289337 -56.2114868011488 -93.8731008275759</f>
        <v>-863.70799791806166</v>
      </c>
      <c r="W1866" t="s">
        <v>23165</v>
      </c>
      <c r="X1866" t="s">
        <v>23166</v>
      </c>
      <c r="Y1866" t="s">
        <v>23167</v>
      </c>
    </row>
    <row r="1867" spans="1:25" x14ac:dyDescent="0.3">
      <c r="A1867">
        <v>93300</v>
      </c>
      <c r="B1867" t="s">
        <v>23168</v>
      </c>
      <c r="C1867" t="s">
        <v>23169</v>
      </c>
      <c r="D1867" t="s">
        <v>23170</v>
      </c>
      <c r="E1867" t="s">
        <v>23171</v>
      </c>
      <c r="F1867" t="s">
        <v>23172</v>
      </c>
      <c r="G1867" t="s">
        <v>23173</v>
      </c>
      <c r="H1867" t="s">
        <v>23174</v>
      </c>
      <c r="I1867" t="s">
        <v>23175</v>
      </c>
      <c r="J1867" t="s">
        <v>23176</v>
      </c>
      <c r="K1867" t="s">
        <v>23177</v>
      </c>
      <c r="L1867" t="s">
        <v>23178</v>
      </c>
      <c r="M1867" t="s">
        <v>23179</v>
      </c>
      <c r="N1867">
        <f>-755.173817747654 -13.1138034397168 -556.632908378839</f>
        <v>-1324.9205295662098</v>
      </c>
      <c r="O1867">
        <f>-763.255447623877 -146.542463243617 -524.562217031934</f>
        <v>-1434.3601278994279</v>
      </c>
      <c r="P1867">
        <f>-755.790486484062 -171.66227958638 -231.467561922404</f>
        <v>-1158.9203279928461</v>
      </c>
      <c r="Q1867">
        <f>-586.020937208295 -23.3038300200406 -316.431699337609</f>
        <v>-925.75646656594449</v>
      </c>
      <c r="R1867" t="s">
        <v>23180</v>
      </c>
      <c r="S1867" t="s">
        <v>23181</v>
      </c>
      <c r="T1867" t="s">
        <v>23182</v>
      </c>
      <c r="U1867" t="s">
        <v>23183</v>
      </c>
      <c r="V1867">
        <f>-713.606688797959 -56.7877551081076 -93.8803268434126</f>
        <v>-864.27477074947922</v>
      </c>
      <c r="W1867" t="s">
        <v>23184</v>
      </c>
      <c r="X1867" t="s">
        <v>23185</v>
      </c>
      <c r="Y1867" t="s">
        <v>23186</v>
      </c>
    </row>
    <row r="1868" spans="1:25" x14ac:dyDescent="0.3">
      <c r="A1868">
        <v>93350</v>
      </c>
      <c r="B1868" t="s">
        <v>23187</v>
      </c>
      <c r="C1868" t="s">
        <v>23188</v>
      </c>
      <c r="D1868" t="s">
        <v>23189</v>
      </c>
      <c r="E1868" t="s">
        <v>23190</v>
      </c>
      <c r="F1868" t="s">
        <v>23191</v>
      </c>
      <c r="G1868" t="s">
        <v>23192</v>
      </c>
      <c r="H1868" t="s">
        <v>23193</v>
      </c>
      <c r="I1868" t="s">
        <v>23194</v>
      </c>
      <c r="J1868" t="s">
        <v>23195</v>
      </c>
      <c r="K1868" t="s">
        <v>23196</v>
      </c>
      <c r="L1868" t="s">
        <v>23197</v>
      </c>
      <c r="M1868" t="s">
        <v>23198</v>
      </c>
      <c r="N1868">
        <f>-755.092919054696 -13.3324626607007 -556.634551385082</f>
        <v>-1325.0599331004787</v>
      </c>
      <c r="O1868">
        <f>-763.088951065131 -146.765183086211 -524.546347657567</f>
        <v>-1434.400481808909</v>
      </c>
      <c r="P1868">
        <f>-755.683390644117 -171.829890963965 -231.44558628788</f>
        <v>-1158.9588678959619</v>
      </c>
      <c r="Q1868">
        <f>-585.923662015079 -23.4650494778389 -316.418333629649</f>
        <v>-925.80704512256693</v>
      </c>
      <c r="R1868" t="s">
        <v>23199</v>
      </c>
      <c r="S1868" t="s">
        <v>23200</v>
      </c>
      <c r="T1868" t="s">
        <v>23201</v>
      </c>
      <c r="U1868" t="s">
        <v>23202</v>
      </c>
      <c r="V1868">
        <f>-713.55715550012 -56.9084189190751 -93.8873592180006</f>
        <v>-864.35293363719563</v>
      </c>
      <c r="W1868" t="s">
        <v>23203</v>
      </c>
      <c r="X1868" t="s">
        <v>23204</v>
      </c>
      <c r="Y1868" t="s">
        <v>23205</v>
      </c>
    </row>
    <row r="1869" spans="1:25" x14ac:dyDescent="0.3">
      <c r="A1869">
        <v>93400</v>
      </c>
      <c r="B1869" t="s">
        <v>23206</v>
      </c>
      <c r="C1869" t="s">
        <v>23207</v>
      </c>
      <c r="D1869" t="s">
        <v>23208</v>
      </c>
      <c r="E1869" t="s">
        <v>23209</v>
      </c>
      <c r="F1869" t="s">
        <v>23210</v>
      </c>
      <c r="G1869" t="s">
        <v>23211</v>
      </c>
      <c r="H1869" t="s">
        <v>23212</v>
      </c>
      <c r="I1869" t="s">
        <v>23213</v>
      </c>
      <c r="J1869" t="s">
        <v>23214</v>
      </c>
      <c r="K1869" t="s">
        <v>23215</v>
      </c>
      <c r="L1869" t="s">
        <v>23216</v>
      </c>
      <c r="M1869" t="s">
        <v>23217</v>
      </c>
      <c r="N1869">
        <f>-754.992762673867 -13.8617870287619 -556.611933556359</f>
        <v>-1325.4664832589879</v>
      </c>
      <c r="O1869">
        <f>-762.794676921715 -147.300888288073 -524.506531688552</f>
        <v>-1434.6020968983398</v>
      </c>
      <c r="P1869">
        <f>-755.475890558333 -172.297744134505 -231.397796853363</f>
        <v>-1159.1714315462011</v>
      </c>
      <c r="Q1869">
        <f>-585.90906966597 -23.7524776454313 -316.44017279557</f>
        <v>-926.10172010697136</v>
      </c>
      <c r="R1869" t="s">
        <v>23218</v>
      </c>
      <c r="S1869" t="s">
        <v>23219</v>
      </c>
      <c r="T1869" t="s">
        <v>23220</v>
      </c>
      <c r="U1869" t="s">
        <v>23221</v>
      </c>
      <c r="V1869">
        <f>-713.552528609257 -57.4877183128949 -93.9060012859854</f>
        <v>-864.94624820813738</v>
      </c>
      <c r="W1869" t="s">
        <v>23222</v>
      </c>
      <c r="X1869" t="s">
        <v>23223</v>
      </c>
      <c r="Y1869" t="s">
        <v>23224</v>
      </c>
    </row>
    <row r="1870" spans="1:25" x14ac:dyDescent="0.3">
      <c r="A1870">
        <v>93450</v>
      </c>
      <c r="B1870" t="s">
        <v>23225</v>
      </c>
      <c r="C1870" t="s">
        <v>23226</v>
      </c>
      <c r="D1870" t="s">
        <v>23227</v>
      </c>
      <c r="E1870" t="s">
        <v>23228</v>
      </c>
      <c r="F1870" t="s">
        <v>23229</v>
      </c>
      <c r="G1870" t="s">
        <v>23230</v>
      </c>
      <c r="H1870" t="s">
        <v>23231</v>
      </c>
      <c r="I1870" t="s">
        <v>23232</v>
      </c>
      <c r="J1870" t="s">
        <v>23233</v>
      </c>
      <c r="K1870" t="s">
        <v>23234</v>
      </c>
      <c r="L1870" t="s">
        <v>23235</v>
      </c>
      <c r="M1870" t="s">
        <v>23236</v>
      </c>
      <c r="N1870">
        <f>-754.937308669862 -13.9872023442872 -556.618384824016</f>
        <v>-1325.5428958381651</v>
      </c>
      <c r="O1870">
        <f>-762.635677181574 -147.430115516228 -524.487917652577</f>
        <v>-1434.5537103503789</v>
      </c>
      <c r="P1870">
        <f>-755.276000209499 -172.42545089909 -231.379793486401</f>
        <v>-1159.08124459499</v>
      </c>
      <c r="Q1870">
        <f>-585.819500891535 -23.7454490030827 -316.406819787618</f>
        <v>-925.97176968223573</v>
      </c>
      <c r="R1870" t="s">
        <v>23237</v>
      </c>
      <c r="S1870" t="s">
        <v>23238</v>
      </c>
      <c r="T1870" t="s">
        <v>23239</v>
      </c>
      <c r="U1870" t="s">
        <v>23240</v>
      </c>
      <c r="V1870">
        <f>-713.507995403145 -57.5076184328939 -93.9090264793281</f>
        <v>-864.9246403153669</v>
      </c>
      <c r="W1870" t="s">
        <v>23241</v>
      </c>
      <c r="X1870" t="s">
        <v>23242</v>
      </c>
      <c r="Y1870" t="s">
        <v>23243</v>
      </c>
    </row>
    <row r="1871" spans="1:25" x14ac:dyDescent="0.3">
      <c r="A1871">
        <v>93500</v>
      </c>
      <c r="B1871" t="s">
        <v>23244</v>
      </c>
      <c r="C1871" t="s">
        <v>23245</v>
      </c>
      <c r="D1871" t="s">
        <v>23246</v>
      </c>
      <c r="E1871" t="s">
        <v>23247</v>
      </c>
      <c r="F1871" t="s">
        <v>23248</v>
      </c>
      <c r="G1871" t="s">
        <v>23249</v>
      </c>
      <c r="H1871" t="s">
        <v>23250</v>
      </c>
      <c r="I1871" t="s">
        <v>23251</v>
      </c>
      <c r="J1871" t="s">
        <v>23252</v>
      </c>
      <c r="K1871" t="s">
        <v>23253</v>
      </c>
      <c r="L1871" t="s">
        <v>23254</v>
      </c>
      <c r="M1871" t="s">
        <v>23255</v>
      </c>
      <c r="N1871">
        <f>-754.798027030725 -14.3095585972465 -556.638107937947</f>
        <v>-1325.7456935659184</v>
      </c>
      <c r="O1871">
        <f>-762.231910711758 -147.761110720163 -524.493945930856</f>
        <v>-1434.486967362777</v>
      </c>
      <c r="P1871">
        <f>-754.856864450396 -172.778431994964 -231.388265704797</f>
        <v>-1159.023562150157</v>
      </c>
      <c r="Q1871">
        <f>-585.621961589166 -23.7922235145832 -316.320700200072</f>
        <v>-925.7348853038211</v>
      </c>
      <c r="R1871" t="s">
        <v>23256</v>
      </c>
      <c r="S1871" t="s">
        <v>23257</v>
      </c>
      <c r="T1871" t="s">
        <v>23258</v>
      </c>
      <c r="U1871" t="s">
        <v>23259</v>
      </c>
      <c r="V1871">
        <f>-713.420207147477 -58.0010637606324 -93.9294324980837</f>
        <v>-865.35070340619302</v>
      </c>
      <c r="W1871" t="s">
        <v>23260</v>
      </c>
      <c r="X1871" t="s">
        <v>23261</v>
      </c>
      <c r="Y1871" t="s">
        <v>23262</v>
      </c>
    </row>
    <row r="1872" spans="1:25" x14ac:dyDescent="0.3">
      <c r="A1872">
        <v>93550</v>
      </c>
      <c r="B1872" t="s">
        <v>23263</v>
      </c>
      <c r="C1872" t="s">
        <v>23264</v>
      </c>
      <c r="D1872" t="s">
        <v>23265</v>
      </c>
      <c r="E1872" t="s">
        <v>23266</v>
      </c>
      <c r="F1872" t="s">
        <v>23267</v>
      </c>
      <c r="G1872" t="s">
        <v>23268</v>
      </c>
      <c r="H1872" t="s">
        <v>23269</v>
      </c>
      <c r="I1872" t="s">
        <v>23270</v>
      </c>
      <c r="J1872" t="s">
        <v>23271</v>
      </c>
      <c r="K1872" t="s">
        <v>23272</v>
      </c>
      <c r="L1872" t="s">
        <v>23273</v>
      </c>
      <c r="M1872" t="s">
        <v>23274</v>
      </c>
      <c r="N1872">
        <f>-754.748628181369 -14.3898422306731 -556.654368612037</f>
        <v>-1325.7928390240791</v>
      </c>
      <c r="O1872">
        <f>-762.05328564006 -147.854695828029 -524.530403103048</f>
        <v>-1434.438384571137</v>
      </c>
      <c r="P1872">
        <f>-754.641857790413 -172.925531332145 -231.430185891621</f>
        <v>-1158.9975750141791</v>
      </c>
      <c r="Q1872">
        <f>-585.530220819399 -23.7588889580984 -316.291241982566</f>
        <v>-925.58035176006342</v>
      </c>
      <c r="R1872" t="s">
        <v>23275</v>
      </c>
      <c r="S1872" t="s">
        <v>23276</v>
      </c>
      <c r="T1872" t="s">
        <v>23277</v>
      </c>
      <c r="U1872" t="s">
        <v>23278</v>
      </c>
      <c r="V1872">
        <f>-713.387682596329 -58.1306293483315 -93.9296663560883</f>
        <v>-865.44797830074879</v>
      </c>
      <c r="W1872" t="s">
        <v>23279</v>
      </c>
      <c r="X1872" t="s">
        <v>23280</v>
      </c>
      <c r="Y1872" t="s">
        <v>23281</v>
      </c>
    </row>
    <row r="1873" spans="1:25" x14ac:dyDescent="0.3">
      <c r="A1873">
        <v>93600</v>
      </c>
      <c r="B1873" t="s">
        <v>23282</v>
      </c>
      <c r="C1873" t="s">
        <v>23283</v>
      </c>
      <c r="D1873" t="s">
        <v>23284</v>
      </c>
      <c r="E1873" t="s">
        <v>23285</v>
      </c>
      <c r="F1873" t="s">
        <v>23286</v>
      </c>
      <c r="G1873" t="s">
        <v>23287</v>
      </c>
      <c r="H1873" t="s">
        <v>23288</v>
      </c>
      <c r="I1873" t="s">
        <v>23289</v>
      </c>
      <c r="J1873" t="s">
        <v>23290</v>
      </c>
      <c r="K1873" t="s">
        <v>23291</v>
      </c>
      <c r="L1873" t="s">
        <v>23292</v>
      </c>
      <c r="M1873" t="s">
        <v>23293</v>
      </c>
      <c r="N1873">
        <f>-754.544043014467 -14.6227235250431 -556.685155656905</f>
        <v>-1325.851922196415</v>
      </c>
      <c r="O1873">
        <f>-761.574482126696 -148.114419131669 -524.610558707794</f>
        <v>-1434.299459966159</v>
      </c>
      <c r="P1873">
        <f>-754.125481527513 -173.355767146328 -231.52594114976</f>
        <v>-1159.007189823601</v>
      </c>
      <c r="Q1873">
        <f>-585.368862944715 -23.6665091694711 -316.173533189883</f>
        <v>-925.20890530406905</v>
      </c>
      <c r="R1873" t="s">
        <v>23294</v>
      </c>
      <c r="S1873" t="s">
        <v>23295</v>
      </c>
      <c r="T1873" t="s">
        <v>23296</v>
      </c>
      <c r="U1873" t="s">
        <v>23297</v>
      </c>
      <c r="V1873">
        <f>-713.363762943071 -58.4762998778008 -93.9247515731929</f>
        <v>-865.76481439406473</v>
      </c>
      <c r="W1873" t="s">
        <v>23298</v>
      </c>
      <c r="X1873" t="s">
        <v>23299</v>
      </c>
      <c r="Y1873" t="s">
        <v>23300</v>
      </c>
    </row>
    <row r="1874" spans="1:25" x14ac:dyDescent="0.3">
      <c r="A1874">
        <v>93650</v>
      </c>
      <c r="B1874" t="s">
        <v>23301</v>
      </c>
      <c r="C1874" t="s">
        <v>23302</v>
      </c>
      <c r="D1874" t="s">
        <v>23303</v>
      </c>
      <c r="E1874" t="s">
        <v>23304</v>
      </c>
      <c r="F1874" t="s">
        <v>23305</v>
      </c>
      <c r="G1874" t="s">
        <v>23306</v>
      </c>
      <c r="H1874" t="s">
        <v>23307</v>
      </c>
      <c r="I1874" t="s">
        <v>23308</v>
      </c>
      <c r="J1874" t="s">
        <v>23309</v>
      </c>
      <c r="K1874" t="s">
        <v>23310</v>
      </c>
      <c r="L1874" t="s">
        <v>23311</v>
      </c>
      <c r="M1874" t="s">
        <v>23312</v>
      </c>
      <c r="N1874">
        <f>-754.415088827978 -14.7175177227175 -556.697488536573</f>
        <v>-1325.8300950872685</v>
      </c>
      <c r="O1874">
        <f>-761.317087889365 -148.218207357049 -524.654284254525</f>
        <v>-1434.1895795009391</v>
      </c>
      <c r="P1874">
        <f>-753.873224736223 -173.630289822337 -231.58425725634</f>
        <v>-1159.0877718149</v>
      </c>
      <c r="Q1874">
        <f>-585.274828975626 -23.6385352657614 -316.011335498471</f>
        <v>-924.9246997398584</v>
      </c>
      <c r="R1874" t="s">
        <v>23313</v>
      </c>
      <c r="S1874" t="s">
        <v>23314</v>
      </c>
      <c r="T1874" t="s">
        <v>23315</v>
      </c>
      <c r="U1874" t="s">
        <v>23316</v>
      </c>
      <c r="V1874">
        <f>-713.278464175209 -58.6242723897772 -93.9283961286661</f>
        <v>-865.83113269365231</v>
      </c>
      <c r="W1874" t="s">
        <v>23317</v>
      </c>
      <c r="X1874" t="s">
        <v>23318</v>
      </c>
      <c r="Y1874" t="s">
        <v>23319</v>
      </c>
    </row>
    <row r="1875" spans="1:25" x14ac:dyDescent="0.3">
      <c r="A1875">
        <v>93700</v>
      </c>
      <c r="B1875" t="s">
        <v>23320</v>
      </c>
      <c r="C1875" t="s">
        <v>23321</v>
      </c>
      <c r="D1875" t="s">
        <v>23322</v>
      </c>
      <c r="E1875" t="s">
        <v>23323</v>
      </c>
      <c r="F1875" t="s">
        <v>23324</v>
      </c>
      <c r="G1875" t="s">
        <v>23325</v>
      </c>
      <c r="H1875" t="s">
        <v>23326</v>
      </c>
      <c r="I1875" t="s">
        <v>23327</v>
      </c>
      <c r="J1875" t="s">
        <v>23328</v>
      </c>
      <c r="K1875" t="s">
        <v>23329</v>
      </c>
      <c r="L1875" t="s">
        <v>23330</v>
      </c>
      <c r="M1875" t="s">
        <v>23331</v>
      </c>
      <c r="N1875">
        <f>-754.136414893138 -15.0170772530294 -556.722272337762</f>
        <v>-1325.8757644839293</v>
      </c>
      <c r="O1875">
        <f>-760.75951612321 -148.538009961401 -524.699437744819</f>
        <v>-1433.9969638294301</v>
      </c>
      <c r="P1875">
        <f>-753.427097016238 -174.14277697373 -231.643416274769</f>
        <v>-1159.213290264737</v>
      </c>
      <c r="Q1875">
        <f>-585.163555831546 -23.5305150769389 -315.632379112724</f>
        <v>-924.32645002120876</v>
      </c>
      <c r="R1875" t="s">
        <v>23332</v>
      </c>
      <c r="S1875" t="s">
        <v>23333</v>
      </c>
      <c r="T1875" t="s">
        <v>23334</v>
      </c>
      <c r="U1875" t="s">
        <v>23335</v>
      </c>
      <c r="V1875">
        <f>-713.051045723227 -59.0560055919316 -93.9394874229266</f>
        <v>-866.04653873808525</v>
      </c>
      <c r="W1875" t="s">
        <v>23336</v>
      </c>
      <c r="X1875" t="s">
        <v>23337</v>
      </c>
      <c r="Y1875" t="s">
        <v>23338</v>
      </c>
    </row>
    <row r="1876" spans="1:25" x14ac:dyDescent="0.3">
      <c r="A1876">
        <v>93750</v>
      </c>
      <c r="B1876" t="s">
        <v>23339</v>
      </c>
      <c r="C1876" t="s">
        <v>23340</v>
      </c>
      <c r="D1876" t="s">
        <v>23341</v>
      </c>
      <c r="E1876" t="s">
        <v>23342</v>
      </c>
      <c r="F1876" t="s">
        <v>23343</v>
      </c>
      <c r="G1876" t="s">
        <v>23344</v>
      </c>
      <c r="H1876" t="s">
        <v>23345</v>
      </c>
      <c r="I1876" t="s">
        <v>23346</v>
      </c>
      <c r="J1876" t="s">
        <v>23347</v>
      </c>
      <c r="K1876" t="s">
        <v>23348</v>
      </c>
      <c r="L1876" t="s">
        <v>23349</v>
      </c>
      <c r="M1876" t="s">
        <v>23350</v>
      </c>
      <c r="N1876">
        <f>-753.953605119714 -15.1554815193704 -556.735666809482</f>
        <v>-1325.8447534485663</v>
      </c>
      <c r="O1876">
        <f>-760.445449504761 -148.68601009023 -524.716084769545</f>
        <v>-1433.8475443645359</v>
      </c>
      <c r="P1876">
        <f>-753.224193075256 -174.278148758795 -231.656120742179</f>
        <v>-1159.15846257623</v>
      </c>
      <c r="Q1876">
        <f>-584.96400507831 -23.5793049969589 -315.496919421475</f>
        <v>-924.0402294967439</v>
      </c>
      <c r="R1876" t="s">
        <v>23351</v>
      </c>
      <c r="S1876" t="s">
        <v>23352</v>
      </c>
      <c r="T1876" t="s">
        <v>23353</v>
      </c>
      <c r="U1876" t="s">
        <v>23354</v>
      </c>
      <c r="V1876">
        <f>-712.884702254023 -59.1712190618675 -93.9463970582391</f>
        <v>-866.00231837412957</v>
      </c>
      <c r="W1876" t="s">
        <v>23355</v>
      </c>
      <c r="X1876" t="s">
        <v>23356</v>
      </c>
      <c r="Y1876" t="s">
        <v>23357</v>
      </c>
    </row>
    <row r="1877" spans="1:25" x14ac:dyDescent="0.3">
      <c r="A1877">
        <v>93800</v>
      </c>
      <c r="B1877" t="s">
        <v>23358</v>
      </c>
      <c r="C1877" t="s">
        <v>23359</v>
      </c>
      <c r="D1877" t="s">
        <v>23360</v>
      </c>
      <c r="E1877" t="s">
        <v>23361</v>
      </c>
      <c r="F1877" t="s">
        <v>23362</v>
      </c>
      <c r="G1877" t="s">
        <v>23363</v>
      </c>
      <c r="H1877" t="s">
        <v>23364</v>
      </c>
      <c r="I1877" t="s">
        <v>23365</v>
      </c>
      <c r="J1877" t="s">
        <v>23366</v>
      </c>
      <c r="K1877" t="s">
        <v>23367</v>
      </c>
      <c r="L1877" t="s">
        <v>23368</v>
      </c>
      <c r="M1877" t="s">
        <v>23369</v>
      </c>
      <c r="N1877">
        <f>-753.798534155392 -15.5194219165385 -556.759325002586</f>
        <v>-1326.0772810745166</v>
      </c>
      <c r="O1877">
        <f>-760.0056354279 -149.068431931706 -524.759504637529</f>
        <v>-1433.8335719971349</v>
      </c>
      <c r="P1877">
        <f>-752.688940345046 -174.755881727736 -231.710323211129</f>
        <v>-1159.155145283911</v>
      </c>
      <c r="Q1877">
        <f>-584.80603694415 -23.6432790391332 -315.562578957493</f>
        <v>-924.01189494077619</v>
      </c>
      <c r="R1877" t="s">
        <v>23370</v>
      </c>
      <c r="S1877" t="s">
        <v>23371</v>
      </c>
      <c r="T1877" t="s">
        <v>23372</v>
      </c>
      <c r="U1877" t="s">
        <v>23373</v>
      </c>
      <c r="V1877">
        <f>-712.714443519192 -59.5847906306444 -93.9522689810341</f>
        <v>-866.25150313087045</v>
      </c>
      <c r="W1877" t="s">
        <v>23374</v>
      </c>
      <c r="X1877" t="s">
        <v>23375</v>
      </c>
      <c r="Y1877" t="s">
        <v>23376</v>
      </c>
    </row>
    <row r="1878" spans="1:25" x14ac:dyDescent="0.3">
      <c r="A1878">
        <v>93850</v>
      </c>
      <c r="B1878" t="s">
        <v>23377</v>
      </c>
      <c r="C1878" t="s">
        <v>23378</v>
      </c>
      <c r="D1878" t="s">
        <v>23379</v>
      </c>
      <c r="E1878" t="s">
        <v>23380</v>
      </c>
      <c r="F1878" t="s">
        <v>23381</v>
      </c>
      <c r="G1878" t="s">
        <v>23382</v>
      </c>
      <c r="H1878" t="s">
        <v>23383</v>
      </c>
      <c r="I1878" t="s">
        <v>23384</v>
      </c>
      <c r="J1878" t="s">
        <v>23385</v>
      </c>
      <c r="K1878" t="s">
        <v>23386</v>
      </c>
      <c r="L1878" t="s">
        <v>23387</v>
      </c>
      <c r="M1878" t="s">
        <v>23388</v>
      </c>
      <c r="N1878">
        <f>-753.781820365832 -15.6984186186035 -556.767024348302</f>
        <v>-1326.2472633327375</v>
      </c>
      <c r="O1878">
        <f>-759.843154770222 -149.261446336867 -524.797491098198</f>
        <v>-1433.9020922052869</v>
      </c>
      <c r="P1878">
        <f>-752.430568880771 -175.022227407241 -231.757078844496</f>
        <v>-1159.2098751325079</v>
      </c>
      <c r="Q1878">
        <f>-584.778573456223 -23.693799617231 -315.681920635672</f>
        <v>-924.15429370912591</v>
      </c>
      <c r="R1878" t="s">
        <v>23389</v>
      </c>
      <c r="S1878" t="s">
        <v>23390</v>
      </c>
      <c r="T1878" t="s">
        <v>23391</v>
      </c>
      <c r="U1878" t="s">
        <v>23392</v>
      </c>
      <c r="V1878">
        <f>-712.581580686085 -59.8459244910616 -93.9562791985695</f>
        <v>-866.38378437571612</v>
      </c>
      <c r="W1878" t="s">
        <v>23393</v>
      </c>
      <c r="X1878" t="s">
        <v>23394</v>
      </c>
      <c r="Y1878" t="s">
        <v>23395</v>
      </c>
    </row>
    <row r="1879" spans="1:25" x14ac:dyDescent="0.3">
      <c r="A1879">
        <v>93900</v>
      </c>
      <c r="B1879" t="s">
        <v>23396</v>
      </c>
      <c r="C1879" t="s">
        <v>23397</v>
      </c>
      <c r="D1879" t="s">
        <v>23398</v>
      </c>
      <c r="E1879" t="s">
        <v>23399</v>
      </c>
      <c r="F1879" t="s">
        <v>23400</v>
      </c>
      <c r="G1879" t="s">
        <v>23401</v>
      </c>
      <c r="H1879" t="s">
        <v>23402</v>
      </c>
      <c r="I1879" t="s">
        <v>23403</v>
      </c>
      <c r="J1879" t="s">
        <v>23404</v>
      </c>
      <c r="K1879" t="s">
        <v>23405</v>
      </c>
      <c r="L1879" t="s">
        <v>23406</v>
      </c>
      <c r="M1879" t="s">
        <v>23407</v>
      </c>
      <c r="N1879">
        <f>-753.781371944827 -16.2160823873228 -556.777861484883</f>
        <v>-1326.7753158170328</v>
      </c>
      <c r="O1879">
        <f>-759.465877148725 -149.80794937269 -524.863310594549</f>
        <v>-1434.1371371159639</v>
      </c>
      <c r="P1879">
        <f>-751.861264369473 -175.687007622497 -231.838328039661</f>
        <v>-1159.3866000316311</v>
      </c>
      <c r="Q1879">
        <f>-584.662826479846 -23.7973147615808 -315.654114610781</f>
        <v>-924.11425585220775</v>
      </c>
      <c r="R1879" t="s">
        <v>23408</v>
      </c>
      <c r="S1879" t="s">
        <v>23409</v>
      </c>
      <c r="T1879" t="s">
        <v>23410</v>
      </c>
      <c r="U1879" t="s">
        <v>23411</v>
      </c>
      <c r="V1879">
        <f>-712.427826930454 -60.4796806868367 -93.9645075226689</f>
        <v>-866.87201513995956</v>
      </c>
      <c r="W1879" t="s">
        <v>23412</v>
      </c>
      <c r="X1879" t="s">
        <v>23413</v>
      </c>
      <c r="Y1879" t="s">
        <v>23414</v>
      </c>
    </row>
    <row r="1880" spans="1:25" x14ac:dyDescent="0.3">
      <c r="A1880">
        <v>93950</v>
      </c>
      <c r="B1880" t="s">
        <v>23415</v>
      </c>
      <c r="C1880" t="s">
        <v>23416</v>
      </c>
      <c r="D1880" t="s">
        <v>23417</v>
      </c>
      <c r="E1880" t="s">
        <v>23418</v>
      </c>
      <c r="F1880" t="s">
        <v>23419</v>
      </c>
      <c r="G1880" t="s">
        <v>23420</v>
      </c>
      <c r="H1880" t="s">
        <v>23421</v>
      </c>
      <c r="I1880" t="s">
        <v>23422</v>
      </c>
      <c r="J1880" t="s">
        <v>23423</v>
      </c>
      <c r="K1880" t="s">
        <v>23424</v>
      </c>
      <c r="L1880" t="s">
        <v>23425</v>
      </c>
      <c r="M1880" t="s">
        <v>23426</v>
      </c>
      <c r="N1880">
        <f>-753.781781819371 -16.3272425248547 -556.791261411586</f>
        <v>-1326.9002857558116</v>
      </c>
      <c r="O1880">
        <f>-759.263058680281 -149.937074809457 -524.894369555165</f>
        <v>-1434.0945030449029</v>
      </c>
      <c r="P1880">
        <f>-751.559332146798 -175.820773830825 -231.872370445649</f>
        <v>-1159.2524764232721</v>
      </c>
      <c r="Q1880">
        <f>-584.574583683939 -23.6599772459656 -315.622308041923</f>
        <v>-923.85686897182757</v>
      </c>
      <c r="R1880" t="s">
        <v>23427</v>
      </c>
      <c r="S1880" t="s">
        <v>23428</v>
      </c>
      <c r="T1880" t="s">
        <v>23429</v>
      </c>
      <c r="U1880" t="s">
        <v>23430</v>
      </c>
      <c r="V1880">
        <f>-712.341397628741 -60.6112663286019 -93.9618105671378</f>
        <v>-866.91447452448074</v>
      </c>
      <c r="W1880" t="s">
        <v>23431</v>
      </c>
      <c r="X1880" t="s">
        <v>23432</v>
      </c>
      <c r="Y1880" t="s">
        <v>23433</v>
      </c>
    </row>
    <row r="1881" spans="1:25" x14ac:dyDescent="0.3">
      <c r="A1881">
        <v>94000</v>
      </c>
      <c r="B1881" t="s">
        <v>23434</v>
      </c>
      <c r="C1881" t="s">
        <v>23435</v>
      </c>
      <c r="D1881" t="s">
        <v>23436</v>
      </c>
      <c r="E1881" t="s">
        <v>23437</v>
      </c>
      <c r="F1881" t="s">
        <v>23438</v>
      </c>
      <c r="G1881" t="s">
        <v>23439</v>
      </c>
      <c r="H1881" t="s">
        <v>23440</v>
      </c>
      <c r="I1881" t="s">
        <v>23441</v>
      </c>
      <c r="J1881" t="s">
        <v>23442</v>
      </c>
      <c r="K1881" t="s">
        <v>23443</v>
      </c>
      <c r="L1881" t="s">
        <v>23444</v>
      </c>
      <c r="M1881" t="s">
        <v>23445</v>
      </c>
      <c r="N1881">
        <f>-753.787750461843 -16.5813279213812 -556.80940848017</f>
        <v>-1327.178486863394</v>
      </c>
      <c r="O1881">
        <f>-758.871253395307 -150.216776975118 -524.952548142992</f>
        <v>-1434.0405785134171</v>
      </c>
      <c r="P1881">
        <f>-750.984959522619 -176.151727384572 -231.939953570068</f>
        <v>-1159.0766404772589</v>
      </c>
      <c r="Q1881">
        <f>-584.43093871564 -23.5723213944443 -315.785859109486</f>
        <v>-923.78911921957024</v>
      </c>
      <c r="R1881" t="s">
        <v>23446</v>
      </c>
      <c r="S1881" t="s">
        <v>23447</v>
      </c>
      <c r="T1881" t="s">
        <v>23448</v>
      </c>
      <c r="U1881" t="s">
        <v>23449</v>
      </c>
      <c r="V1881">
        <f>-712.212386122172 -60.9425772744248 -93.9787569524987</f>
        <v>-867.13372034909548</v>
      </c>
      <c r="W1881" t="s">
        <v>23450</v>
      </c>
      <c r="X1881" t="s">
        <v>23451</v>
      </c>
      <c r="Y1881" t="s">
        <v>23452</v>
      </c>
    </row>
    <row r="1882" spans="1:25" x14ac:dyDescent="0.3">
      <c r="A1882">
        <v>94050</v>
      </c>
      <c r="B1882" t="s">
        <v>23453</v>
      </c>
      <c r="C1882" t="s">
        <v>23454</v>
      </c>
      <c r="D1882" t="s">
        <v>23455</v>
      </c>
      <c r="E1882" t="s">
        <v>23456</v>
      </c>
      <c r="F1882" t="s">
        <v>23457</v>
      </c>
      <c r="G1882" t="s">
        <v>23458</v>
      </c>
      <c r="H1882" t="s">
        <v>23459</v>
      </c>
      <c r="I1882" t="s">
        <v>23460</v>
      </c>
      <c r="J1882" t="s">
        <v>23461</v>
      </c>
      <c r="K1882" t="s">
        <v>23462</v>
      </c>
      <c r="L1882" t="s">
        <v>23463</v>
      </c>
      <c r="M1882" t="s">
        <v>23464</v>
      </c>
      <c r="N1882">
        <f>-753.811639879628 -16.6159773196239 -556.839617138895</f>
        <v>-1327.2672343381469</v>
      </c>
      <c r="O1882">
        <f>-758.741305042549 -150.266408854882 -525.018556171476</f>
        <v>-1434.026270068907</v>
      </c>
      <c r="P1882">
        <f>-750.735442581056 -176.329884365941 -232.02056414882</f>
        <v>-1159.085891095817</v>
      </c>
      <c r="Q1882">
        <f>-584.507789783784 -23.4653836889538 -315.995080653247</f>
        <v>-923.9682541259848</v>
      </c>
      <c r="R1882" t="s">
        <v>23465</v>
      </c>
      <c r="S1882" t="s">
        <v>23466</v>
      </c>
      <c r="T1882" t="s">
        <v>23467</v>
      </c>
      <c r="U1882" t="s">
        <v>23468</v>
      </c>
      <c r="V1882">
        <f>-712.19134662674 -61.0527296849023 -93.9887768148092</f>
        <v>-867.23285312645146</v>
      </c>
      <c r="W1882" t="s">
        <v>23469</v>
      </c>
      <c r="X1882" t="s">
        <v>23470</v>
      </c>
      <c r="Y1882" t="s">
        <v>23471</v>
      </c>
    </row>
    <row r="1883" spans="1:25" x14ac:dyDescent="0.3">
      <c r="A1883">
        <v>94100</v>
      </c>
      <c r="B1883" t="s">
        <v>23472</v>
      </c>
      <c r="C1883" t="s">
        <v>23473</v>
      </c>
      <c r="D1883" t="s">
        <v>23474</v>
      </c>
      <c r="E1883" t="s">
        <v>23475</v>
      </c>
      <c r="F1883" t="s">
        <v>23476</v>
      </c>
      <c r="G1883" t="s">
        <v>23477</v>
      </c>
      <c r="H1883" t="s">
        <v>23478</v>
      </c>
      <c r="I1883" t="s">
        <v>23479</v>
      </c>
      <c r="J1883" t="s">
        <v>23480</v>
      </c>
      <c r="K1883" t="s">
        <v>23481</v>
      </c>
      <c r="L1883" t="s">
        <v>23482</v>
      </c>
      <c r="M1883" t="s">
        <v>23483</v>
      </c>
      <c r="N1883">
        <f>-754.008554997415 -16.9677504206791 -556.872043893115</f>
        <v>-1327.8483493112089</v>
      </c>
      <c r="O1883">
        <f>-758.587664660564 -150.646695680438 -525.144886222248</f>
        <v>-1434.37924656325</v>
      </c>
      <c r="P1883">
        <f>-750.339470329906 -177.04002732166 -232.183108439525</f>
        <v>-1159.5626060910911</v>
      </c>
      <c r="Q1883">
        <f>-584.63825883263 -23.5955026677486 -316.140071698471</f>
        <v>-924.37383319884952</v>
      </c>
      <c r="R1883" t="s">
        <v>23484</v>
      </c>
      <c r="S1883" t="s">
        <v>23485</v>
      </c>
      <c r="T1883" t="s">
        <v>23486</v>
      </c>
      <c r="U1883" t="s">
        <v>23487</v>
      </c>
      <c r="V1883">
        <f>-712.30840394432 -61.5922812308283 -93.988742441486</f>
        <v>-867.88942761663441</v>
      </c>
      <c r="W1883" t="s">
        <v>23488</v>
      </c>
      <c r="X1883" t="s">
        <v>23489</v>
      </c>
      <c r="Y1883" t="s">
        <v>23490</v>
      </c>
    </row>
    <row r="1884" spans="1:25" x14ac:dyDescent="0.3">
      <c r="A1884">
        <v>94150</v>
      </c>
      <c r="B1884" t="s">
        <v>23491</v>
      </c>
      <c r="C1884" t="s">
        <v>23492</v>
      </c>
      <c r="D1884" t="s">
        <v>23493</v>
      </c>
      <c r="E1884" t="s">
        <v>23494</v>
      </c>
      <c r="F1884" t="s">
        <v>23495</v>
      </c>
      <c r="G1884" t="s">
        <v>23496</v>
      </c>
      <c r="H1884" t="s">
        <v>23497</v>
      </c>
      <c r="I1884" t="s">
        <v>23498</v>
      </c>
      <c r="J1884" t="s">
        <v>23499</v>
      </c>
      <c r="K1884" t="s">
        <v>23500</v>
      </c>
      <c r="L1884" t="s">
        <v>23501</v>
      </c>
      <c r="M1884" t="s">
        <v>23502</v>
      </c>
      <c r="N1884">
        <f>-754.13857273366 -17.14338746051 -556.861013802469</f>
        <v>-1328.1429739966388</v>
      </c>
      <c r="O1884">
        <f>-758.538008171816 -150.822265434557 -525.135493153074</f>
        <v>-1434.4957667594472</v>
      </c>
      <c r="P1884">
        <f>-750.21020335521 -177.277820375229 -232.181698113822</f>
        <v>-1159.6697218442609</v>
      </c>
      <c r="Q1884">
        <f>-584.572799761516 -23.7085238702541 -316.035868099829</f>
        <v>-924.317191731599</v>
      </c>
      <c r="R1884" t="s">
        <v>23503</v>
      </c>
      <c r="S1884" t="s">
        <v>23504</v>
      </c>
      <c r="T1884" t="s">
        <v>23505</v>
      </c>
      <c r="U1884" t="s">
        <v>23506</v>
      </c>
      <c r="V1884">
        <f>-712.285084704153 -61.772938795496 -93.9882015527357</f>
        <v>-868.04622505238467</v>
      </c>
      <c r="W1884" t="s">
        <v>23507</v>
      </c>
      <c r="X1884" t="s">
        <v>23508</v>
      </c>
      <c r="Y1884" t="s">
        <v>23509</v>
      </c>
    </row>
    <row r="1885" spans="1:25" x14ac:dyDescent="0.3">
      <c r="A1885">
        <v>94200</v>
      </c>
      <c r="B1885" t="s">
        <v>23510</v>
      </c>
      <c r="C1885" t="s">
        <v>23511</v>
      </c>
      <c r="D1885" t="s">
        <v>23512</v>
      </c>
      <c r="E1885" t="s">
        <v>23513</v>
      </c>
      <c r="F1885" t="s">
        <v>23514</v>
      </c>
      <c r="G1885" t="s">
        <v>23515</v>
      </c>
      <c r="H1885" t="s">
        <v>23516</v>
      </c>
      <c r="I1885" t="s">
        <v>23517</v>
      </c>
      <c r="J1885" t="s">
        <v>23518</v>
      </c>
      <c r="K1885" t="s">
        <v>23519</v>
      </c>
      <c r="L1885" t="s">
        <v>23520</v>
      </c>
      <c r="M1885" t="s">
        <v>23521</v>
      </c>
      <c r="N1885">
        <f>-754.463129155554 -17.5006277254711 -556.845228313762</f>
        <v>-1328.8089851947871</v>
      </c>
      <c r="O1885">
        <f>-758.520376449972 -151.199381318234 -525.127758286396</f>
        <v>-1434.847516054602</v>
      </c>
      <c r="P1885">
        <f>-749.906750342377 -177.542578720977 -232.172031708096</f>
        <v>-1159.6213607714499</v>
      </c>
      <c r="Q1885">
        <f>-584.666907794541 -23.5849661476748 -316.098763707643</f>
        <v>-924.35063764985875</v>
      </c>
      <c r="R1885" t="s">
        <v>23522</v>
      </c>
      <c r="S1885" t="s">
        <v>23523</v>
      </c>
      <c r="T1885" t="s">
        <v>23524</v>
      </c>
      <c r="U1885" t="s">
        <v>23525</v>
      </c>
      <c r="V1885">
        <f>-712.275867299602 -62.0330215373335 -94.0038615937877</f>
        <v>-868.31275043072333</v>
      </c>
      <c r="W1885" t="s">
        <v>23526</v>
      </c>
      <c r="X1885" t="s">
        <v>23527</v>
      </c>
      <c r="Y1885" t="s">
        <v>23528</v>
      </c>
    </row>
    <row r="1886" spans="1:25" x14ac:dyDescent="0.3">
      <c r="A1886">
        <v>94250</v>
      </c>
      <c r="B1886" t="s">
        <v>23529</v>
      </c>
      <c r="C1886" t="s">
        <v>23530</v>
      </c>
      <c r="D1886" t="s">
        <v>23531</v>
      </c>
      <c r="E1886" t="s">
        <v>23532</v>
      </c>
      <c r="F1886" t="s">
        <v>23533</v>
      </c>
      <c r="G1886" t="s">
        <v>23534</v>
      </c>
      <c r="H1886" t="s">
        <v>23535</v>
      </c>
      <c r="I1886" t="s">
        <v>23536</v>
      </c>
      <c r="J1886" t="s">
        <v>23537</v>
      </c>
      <c r="K1886" t="s">
        <v>23538</v>
      </c>
      <c r="L1886" t="s">
        <v>23539</v>
      </c>
      <c r="M1886" t="s">
        <v>23540</v>
      </c>
      <c r="N1886">
        <f>-754.726592598969 -17.7149103279903 -556.834700933718</f>
        <v>-1329.2762038606772</v>
      </c>
      <c r="O1886">
        <f>-758.58988096709 -151.424240396334 -525.140977660457</f>
        <v>-1435.1550990238811</v>
      </c>
      <c r="P1886">
        <f>-749.83688144164 -177.756365695036 -232.188314349739</f>
        <v>-1159.7815614864151</v>
      </c>
      <c r="Q1886">
        <f>-584.830389394517 -23.5770926935857 -316.167651789376</f>
        <v>-924.57513387747872</v>
      </c>
      <c r="R1886" t="s">
        <v>23541</v>
      </c>
      <c r="S1886" t="s">
        <v>23542</v>
      </c>
      <c r="T1886" t="s">
        <v>23543</v>
      </c>
      <c r="U1886" t="s">
        <v>23544</v>
      </c>
      <c r="V1886">
        <f>-712.316507589663 -62.2737303834131 -93.9973594647356</f>
        <v>-868.58759743781172</v>
      </c>
      <c r="W1886" t="s">
        <v>23545</v>
      </c>
      <c r="X1886" t="s">
        <v>23546</v>
      </c>
      <c r="Y1886" t="s">
        <v>23547</v>
      </c>
    </row>
    <row r="1887" spans="1:25" x14ac:dyDescent="0.3">
      <c r="A1887">
        <v>94300</v>
      </c>
      <c r="B1887" t="s">
        <v>23548</v>
      </c>
      <c r="C1887" t="s">
        <v>23549</v>
      </c>
      <c r="D1887" t="s">
        <v>23550</v>
      </c>
      <c r="E1887" t="s">
        <v>23551</v>
      </c>
      <c r="F1887" t="s">
        <v>23552</v>
      </c>
      <c r="G1887" t="s">
        <v>23553</v>
      </c>
      <c r="H1887" t="s">
        <v>23554</v>
      </c>
      <c r="I1887" t="s">
        <v>23555</v>
      </c>
      <c r="J1887" t="s">
        <v>23556</v>
      </c>
      <c r="K1887" t="s">
        <v>23557</v>
      </c>
      <c r="L1887" t="s">
        <v>23558</v>
      </c>
      <c r="M1887" t="s">
        <v>23559</v>
      </c>
      <c r="N1887">
        <f>-755.284867054497 -18.1562285615657 -556.820547801094</f>
        <v>-1330.2616434171568</v>
      </c>
      <c r="O1887">
        <f>-758.759337920764 -151.887875935231 -525.173221417135</f>
        <v>-1435.82043527313</v>
      </c>
      <c r="P1887">
        <f>-749.620831836914 -178.379498870934 -232.246873790929</f>
        <v>-1160.2472044987769</v>
      </c>
      <c r="Q1887">
        <f>-585.268981403724 -23.6320063247351 -316.46413604456</f>
        <v>-925.36512377301915</v>
      </c>
      <c r="R1887" t="s">
        <v>23560</v>
      </c>
      <c r="S1887" t="s">
        <v>23561</v>
      </c>
      <c r="T1887" t="s">
        <v>23562</v>
      </c>
      <c r="U1887" t="s">
        <v>23563</v>
      </c>
      <c r="V1887">
        <f>-712.559696500407 -62.9108468166019 -93.9893752456111</f>
        <v>-869.45991856261992</v>
      </c>
      <c r="W1887" t="s">
        <v>23564</v>
      </c>
      <c r="X1887" t="s">
        <v>23565</v>
      </c>
      <c r="Y1887" t="s">
        <v>23566</v>
      </c>
    </row>
    <row r="1888" spans="1:25" x14ac:dyDescent="0.3">
      <c r="A1888">
        <v>94350</v>
      </c>
      <c r="B1888" t="s">
        <v>23567</v>
      </c>
      <c r="C1888" t="s">
        <v>23568</v>
      </c>
      <c r="D1888" t="s">
        <v>23569</v>
      </c>
      <c r="E1888" t="s">
        <v>23570</v>
      </c>
      <c r="F1888" t="s">
        <v>23571</v>
      </c>
      <c r="G1888" t="s">
        <v>23572</v>
      </c>
      <c r="H1888" t="s">
        <v>23573</v>
      </c>
      <c r="I1888" t="s">
        <v>23574</v>
      </c>
      <c r="J1888" t="s">
        <v>23575</v>
      </c>
      <c r="K1888" t="s">
        <v>23576</v>
      </c>
      <c r="L1888" t="s">
        <v>23577</v>
      </c>
      <c r="M1888" t="s">
        <v>23578</v>
      </c>
      <c r="N1888">
        <f>-755.557067473726 -18.3858527508855 -556.819481643657</f>
        <v>-1330.7624018682686</v>
      </c>
      <c r="O1888">
        <f>-758.83959652081 -152.13451611732 -525.222798545542</f>
        <v>-1436.196911183672</v>
      </c>
      <c r="P1888">
        <f>-749.551752483118 -178.646476977229 -232.30288320034</f>
        <v>-1160.5011126606869</v>
      </c>
      <c r="Q1888">
        <f>-585.493123445634 -23.6463104008037 -316.626886213163</f>
        <v>-925.76632005960073</v>
      </c>
      <c r="R1888" t="s">
        <v>23579</v>
      </c>
      <c r="S1888" t="s">
        <v>23580</v>
      </c>
      <c r="T1888" t="s">
        <v>23581</v>
      </c>
      <c r="U1888" t="s">
        <v>23582</v>
      </c>
      <c r="V1888">
        <f>-712.685618650451 -63.1873125959567 -93.9835409541547</f>
        <v>-869.85647220056239</v>
      </c>
      <c r="W1888" t="s">
        <v>23583</v>
      </c>
      <c r="X1888" t="s">
        <v>23584</v>
      </c>
      <c r="Y1888" t="s">
        <v>23585</v>
      </c>
    </row>
    <row r="1889" spans="1:25" x14ac:dyDescent="0.3">
      <c r="A1889">
        <v>94400</v>
      </c>
      <c r="B1889" t="s">
        <v>23586</v>
      </c>
      <c r="C1889" t="s">
        <v>23587</v>
      </c>
      <c r="D1889" t="s">
        <v>23588</v>
      </c>
      <c r="E1889" t="s">
        <v>23589</v>
      </c>
      <c r="F1889" t="s">
        <v>23590</v>
      </c>
      <c r="G1889" t="s">
        <v>23591</v>
      </c>
      <c r="H1889" t="s">
        <v>23592</v>
      </c>
      <c r="I1889" t="s">
        <v>23593</v>
      </c>
      <c r="J1889" t="s">
        <v>23594</v>
      </c>
      <c r="K1889" t="s">
        <v>23595</v>
      </c>
      <c r="L1889" t="s">
        <v>23596</v>
      </c>
      <c r="M1889" t="s">
        <v>23597</v>
      </c>
      <c r="N1889">
        <f>-756.238917408755 -18.7835624422582 -556.800242340735</f>
        <v>-1331.8227221917482</v>
      </c>
      <c r="O1889">
        <f>-759.171247367034 -152.568069048571 -525.29311699624</f>
        <v>-1437.032433411845</v>
      </c>
      <c r="P1889">
        <f>-749.57213914619 -179.284539310506 -232.401811163157</f>
        <v>-1161.258489619853</v>
      </c>
      <c r="Q1889">
        <f>-586.026782550359 -23.784916618212 -316.803521721675</f>
        <v>-926.61522089024606</v>
      </c>
      <c r="R1889" t="s">
        <v>23598</v>
      </c>
      <c r="S1889" t="s">
        <v>23599</v>
      </c>
      <c r="T1889" t="s">
        <v>23600</v>
      </c>
      <c r="U1889" t="s">
        <v>23601</v>
      </c>
      <c r="V1889">
        <f>-713.030917186141 -63.6674101224221 -93.9545624278928</f>
        <v>-870.6528897364559</v>
      </c>
      <c r="W1889" t="s">
        <v>23602</v>
      </c>
      <c r="X1889" t="s">
        <v>23603</v>
      </c>
      <c r="Y1889" t="s">
        <v>23604</v>
      </c>
    </row>
    <row r="1890" spans="1:25" x14ac:dyDescent="0.3">
      <c r="A1890">
        <v>94450</v>
      </c>
      <c r="B1890" t="s">
        <v>23605</v>
      </c>
      <c r="C1890" t="s">
        <v>23606</v>
      </c>
      <c r="D1890" t="s">
        <v>23607</v>
      </c>
      <c r="E1890" t="s">
        <v>23608</v>
      </c>
      <c r="F1890" t="s">
        <v>23609</v>
      </c>
      <c r="G1890" t="s">
        <v>23610</v>
      </c>
      <c r="H1890" t="s">
        <v>23611</v>
      </c>
      <c r="I1890" t="s">
        <v>23612</v>
      </c>
      <c r="J1890" t="s">
        <v>23613</v>
      </c>
      <c r="K1890" t="s">
        <v>23614</v>
      </c>
      <c r="L1890" t="s">
        <v>23615</v>
      </c>
      <c r="M1890" t="s">
        <v>23616</v>
      </c>
      <c r="N1890">
        <f>-756.618713917062 -19.0519551153031 -556.785795222644</f>
        <v>-1332.456464255009</v>
      </c>
      <c r="O1890">
        <f>-759.405779981145 -152.845669440904 -525.331904716987</f>
        <v>-1437.5833541390359</v>
      </c>
      <c r="P1890">
        <f>-749.647501563225 -179.646856568372 -232.453622690021</f>
        <v>-1161.7479808216181</v>
      </c>
      <c r="Q1890">
        <f>-586.311652906382 -23.9396585123748 -316.87824921309</f>
        <v>-927.12956063184674</v>
      </c>
      <c r="R1890" t="s">
        <v>23617</v>
      </c>
      <c r="S1890" t="s">
        <v>23618</v>
      </c>
      <c r="T1890" t="s">
        <v>23619</v>
      </c>
      <c r="U1890" t="s">
        <v>23620</v>
      </c>
      <c r="V1890">
        <f>-713.234749817788 -64.1276248651566 -93.9484232688534</f>
        <v>-871.31079795179801</v>
      </c>
      <c r="W1890" t="s">
        <v>23621</v>
      </c>
      <c r="X1890" t="s">
        <v>23622</v>
      </c>
      <c r="Y1890" t="s">
        <v>23623</v>
      </c>
    </row>
    <row r="1891" spans="1:25" x14ac:dyDescent="0.3">
      <c r="A1891">
        <v>94500</v>
      </c>
      <c r="B1891" t="s">
        <v>23624</v>
      </c>
      <c r="C1891" t="s">
        <v>23625</v>
      </c>
      <c r="D1891" t="s">
        <v>23626</v>
      </c>
      <c r="E1891" t="s">
        <v>23627</v>
      </c>
      <c r="F1891" t="s">
        <v>23628</v>
      </c>
      <c r="G1891" t="s">
        <v>23629</v>
      </c>
      <c r="H1891" t="s">
        <v>23630</v>
      </c>
      <c r="I1891" t="s">
        <v>23631</v>
      </c>
      <c r="J1891" t="s">
        <v>23632</v>
      </c>
      <c r="K1891" t="s">
        <v>23633</v>
      </c>
      <c r="L1891" t="s">
        <v>23634</v>
      </c>
      <c r="M1891" t="s">
        <v>23635</v>
      </c>
      <c r="N1891">
        <f>-757.420803175382 -19.5653742844363 -556.758674467845</f>
        <v>-1333.7448519276634</v>
      </c>
      <c r="O1891">
        <f>-759.871613919422 -153.396687504685 -525.432665235091</f>
        <v>-1438.700966659198</v>
      </c>
      <c r="P1891">
        <f>-749.852606050393 -180.470482506738 -232.588361520869</f>
        <v>-1162.9114500779999</v>
      </c>
      <c r="Q1891">
        <f>-587.015242761191 -24.2390584590387 -317.007511974317</f>
        <v>-928.26181319454668</v>
      </c>
      <c r="R1891" t="s">
        <v>23636</v>
      </c>
      <c r="S1891" t="s">
        <v>23637</v>
      </c>
      <c r="T1891" t="s">
        <v>23638</v>
      </c>
      <c r="U1891" t="s">
        <v>23639</v>
      </c>
      <c r="V1891">
        <f>-713.622922426415 -64.8368395588684 -93.923410755437</f>
        <v>-872.3831727407204</v>
      </c>
      <c r="W1891" t="s">
        <v>23640</v>
      </c>
      <c r="X1891" t="s">
        <v>23641</v>
      </c>
      <c r="Y1891" t="s">
        <v>23642</v>
      </c>
    </row>
    <row r="1892" spans="1:25" x14ac:dyDescent="0.3">
      <c r="A1892">
        <v>94550</v>
      </c>
      <c r="B1892" t="s">
        <v>23643</v>
      </c>
      <c r="C1892" t="s">
        <v>23644</v>
      </c>
      <c r="D1892" t="s">
        <v>23645</v>
      </c>
      <c r="E1892" t="s">
        <v>23646</v>
      </c>
      <c r="F1892" t="s">
        <v>23647</v>
      </c>
      <c r="G1892" t="s">
        <v>23648</v>
      </c>
      <c r="H1892" t="s">
        <v>23649</v>
      </c>
      <c r="I1892" t="s">
        <v>23650</v>
      </c>
      <c r="J1892" t="s">
        <v>23651</v>
      </c>
      <c r="K1892" t="s">
        <v>23652</v>
      </c>
      <c r="L1892" t="s">
        <v>23653</v>
      </c>
      <c r="M1892" t="s">
        <v>23654</v>
      </c>
      <c r="N1892">
        <f>-757.851288408123 -19.8189903522195 -556.744649606966</f>
        <v>-1334.4149283673087</v>
      </c>
      <c r="O1892">
        <f>-760.12151411414 -153.664836457785 -525.482753915055</f>
        <v>-1439.26910448698</v>
      </c>
      <c r="P1892">
        <f>-749.972647320773 -180.898630301045 -232.657531223863</f>
        <v>-1163.5288088456812</v>
      </c>
      <c r="Q1892">
        <f>-587.371162442824 -24.3998532203254 -317.035990388545</f>
        <v>-928.80700605169443</v>
      </c>
      <c r="R1892" t="s">
        <v>23655</v>
      </c>
      <c r="S1892" t="s">
        <v>23656</v>
      </c>
      <c r="T1892" t="s">
        <v>23657</v>
      </c>
      <c r="U1892" t="s">
        <v>23658</v>
      </c>
      <c r="V1892">
        <f>-713.81480343723 -65.187491803295 -93.90637413531</f>
        <v>-872.90866937583496</v>
      </c>
      <c r="W1892" t="s">
        <v>23659</v>
      </c>
      <c r="X1892" t="s">
        <v>23660</v>
      </c>
      <c r="Y1892" t="s">
        <v>23661</v>
      </c>
    </row>
    <row r="1893" spans="1:25" x14ac:dyDescent="0.3">
      <c r="A1893">
        <v>94600</v>
      </c>
      <c r="B1893" t="s">
        <v>23662</v>
      </c>
      <c r="C1893" t="s">
        <v>23663</v>
      </c>
      <c r="D1893" t="s">
        <v>23664</v>
      </c>
      <c r="E1893" t="s">
        <v>23665</v>
      </c>
      <c r="F1893" t="s">
        <v>23666</v>
      </c>
      <c r="G1893" t="s">
        <v>23667</v>
      </c>
      <c r="H1893" t="s">
        <v>23668</v>
      </c>
      <c r="I1893" t="s">
        <v>23669</v>
      </c>
      <c r="J1893" t="s">
        <v>23670</v>
      </c>
      <c r="K1893" t="s">
        <v>23671</v>
      </c>
      <c r="L1893" t="s">
        <v>23672</v>
      </c>
      <c r="M1893" t="s">
        <v>23673</v>
      </c>
      <c r="N1893">
        <f>-758.839974239797 -20.2327599038347 -556.703544698409</f>
        <v>-1335.7762788420407</v>
      </c>
      <c r="O1893">
        <f>-760.731546415539 -154.113504923895 -525.557637762982</f>
        <v>-1440.4026891024159</v>
      </c>
      <c r="P1893">
        <f>-750.263718106719 -181.580940839167 -232.765713963702</f>
        <v>-1164.610372909588</v>
      </c>
      <c r="Q1893">
        <f>-588.082908245032 -24.5868816670275 -317.033800846819</f>
        <v>-929.70359075887836</v>
      </c>
      <c r="R1893" t="s">
        <v>23674</v>
      </c>
      <c r="S1893" t="s">
        <v>23675</v>
      </c>
      <c r="T1893" t="s">
        <v>23676</v>
      </c>
      <c r="U1893" t="s">
        <v>23677</v>
      </c>
      <c r="V1893">
        <f>-714.199150710701 -65.6534543893533 -93.8764983955741</f>
        <v>-873.72910349562846</v>
      </c>
      <c r="W1893" t="s">
        <v>23678</v>
      </c>
      <c r="X1893" t="s">
        <v>23679</v>
      </c>
      <c r="Y1893" t="s">
        <v>23680</v>
      </c>
    </row>
    <row r="1894" spans="1:25" x14ac:dyDescent="0.3">
      <c r="A1894">
        <v>94650</v>
      </c>
      <c r="B1894" t="s">
        <v>23681</v>
      </c>
      <c r="C1894" t="s">
        <v>23682</v>
      </c>
      <c r="D1894" t="s">
        <v>23683</v>
      </c>
      <c r="E1894" t="s">
        <v>23684</v>
      </c>
      <c r="F1894" t="s">
        <v>23685</v>
      </c>
      <c r="G1894" t="s">
        <v>23686</v>
      </c>
      <c r="H1894" t="s">
        <v>23687</v>
      </c>
      <c r="I1894" t="s">
        <v>23688</v>
      </c>
      <c r="J1894" t="s">
        <v>23689</v>
      </c>
      <c r="K1894" t="s">
        <v>23690</v>
      </c>
      <c r="L1894" t="s">
        <v>23691</v>
      </c>
      <c r="M1894" t="s">
        <v>23692</v>
      </c>
      <c r="N1894">
        <f>-759.599571236693 -20.5328941271757 -556.665032673223</f>
        <v>-1336.7974980370918</v>
      </c>
      <c r="O1894">
        <f>-761.350867625542 -154.425608306792 -525.566131990158</f>
        <v>-1441.3426079224921</v>
      </c>
      <c r="P1894">
        <f>-750.67149395558 -181.942129712416 -232.786388701974</f>
        <v>-1165.40001236997</v>
      </c>
      <c r="Q1894">
        <f>-588.624969389255 -24.8082214690796 -317.052097717904</f>
        <v>-930.48528857623864</v>
      </c>
      <c r="R1894" t="s">
        <v>23693</v>
      </c>
      <c r="S1894" t="s">
        <v>23694</v>
      </c>
      <c r="T1894" t="s">
        <v>23695</v>
      </c>
      <c r="U1894" t="s">
        <v>23696</v>
      </c>
      <c r="V1894">
        <f>-714.554232274779 -66.0441983936407 -93.8342088789793</f>
        <v>-874.43263954739905</v>
      </c>
      <c r="W1894" t="s">
        <v>23697</v>
      </c>
      <c r="X1894" t="s">
        <v>23698</v>
      </c>
      <c r="Y1894" t="s">
        <v>23699</v>
      </c>
    </row>
    <row r="1895" spans="1:25" x14ac:dyDescent="0.3">
      <c r="A1895">
        <v>94700</v>
      </c>
      <c r="B1895" t="s">
        <v>23700</v>
      </c>
      <c r="C1895" t="s">
        <v>23701</v>
      </c>
      <c r="D1895" t="s">
        <v>23702</v>
      </c>
      <c r="E1895" t="s">
        <v>23703</v>
      </c>
      <c r="F1895" t="s">
        <v>23704</v>
      </c>
      <c r="G1895" t="s">
        <v>23705</v>
      </c>
      <c r="H1895" t="s">
        <v>23706</v>
      </c>
      <c r="I1895" t="s">
        <v>23707</v>
      </c>
      <c r="J1895" t="s">
        <v>23708</v>
      </c>
      <c r="K1895" t="s">
        <v>23709</v>
      </c>
      <c r="L1895" t="s">
        <v>23710</v>
      </c>
      <c r="M1895" t="s">
        <v>23711</v>
      </c>
      <c r="N1895">
        <f>-761.069589481396 -20.9328142375191 -556.629072977257</f>
        <v>-1338.6314766961721</v>
      </c>
      <c r="O1895">
        <f>-762.593223297509 -154.837798093972 -525.576803648785</f>
        <v>-1443.007825040266</v>
      </c>
      <c r="P1895">
        <f>-751.448085502488 -182.408738118588 -232.819582067266</f>
        <v>-1166.6764056883419</v>
      </c>
      <c r="Q1895">
        <f>-589.91229257409 -24.7785233226559 -317.13918519709</f>
        <v>-931.8300010938359</v>
      </c>
      <c r="R1895" t="s">
        <v>23712</v>
      </c>
      <c r="S1895" t="s">
        <v>23713</v>
      </c>
      <c r="T1895" t="s">
        <v>23714</v>
      </c>
      <c r="U1895" t="s">
        <v>23715</v>
      </c>
      <c r="V1895">
        <f>-715.21027383465 -66.5755006842526 -93.7901898518758</f>
        <v>-875.57596437077837</v>
      </c>
      <c r="W1895" t="s">
        <v>23716</v>
      </c>
      <c r="X1895" t="s">
        <v>23717</v>
      </c>
      <c r="Y1895" t="s">
        <v>23718</v>
      </c>
    </row>
    <row r="1896" spans="1:25" x14ac:dyDescent="0.3">
      <c r="A1896">
        <v>94750</v>
      </c>
      <c r="B1896" t="s">
        <v>23719</v>
      </c>
      <c r="C1896" t="s">
        <v>23720</v>
      </c>
      <c r="D1896" t="s">
        <v>23721</v>
      </c>
      <c r="E1896" t="s">
        <v>23722</v>
      </c>
      <c r="F1896" t="s">
        <v>23723</v>
      </c>
      <c r="G1896" t="s">
        <v>23724</v>
      </c>
      <c r="H1896" t="s">
        <v>23725</v>
      </c>
      <c r="I1896" t="s">
        <v>23726</v>
      </c>
      <c r="J1896" t="s">
        <v>23727</v>
      </c>
      <c r="K1896" t="s">
        <v>23728</v>
      </c>
      <c r="L1896" t="s">
        <v>23729</v>
      </c>
      <c r="M1896" t="s">
        <v>23730</v>
      </c>
      <c r="N1896">
        <f>-761.862924635713 -20.9498663851411 -556.630625620981</f>
        <v>-1339.443416641835</v>
      </c>
      <c r="O1896">
        <f>-763.242780471444 -154.866427705369 -525.594338286823</f>
        <v>-1443.703546463636</v>
      </c>
      <c r="P1896">
        <f>-751.872123757665 -182.500441294567 -232.851643268254</f>
        <v>-1167.224208320486</v>
      </c>
      <c r="Q1896">
        <f>-590.805759799679 -24.3869159809317 -317.163954076632</f>
        <v>-932.35662985724275</v>
      </c>
      <c r="R1896" t="s">
        <v>23731</v>
      </c>
      <c r="S1896" t="s">
        <v>23732</v>
      </c>
      <c r="T1896" t="s">
        <v>23733</v>
      </c>
      <c r="U1896" t="s">
        <v>23734</v>
      </c>
      <c r="V1896">
        <f>-715.653802880792 -66.6230613393811 -93.7663831889457</f>
        <v>-876.04324740911886</v>
      </c>
      <c r="W1896" t="s">
        <v>23735</v>
      </c>
      <c r="X1896" t="s">
        <v>23736</v>
      </c>
      <c r="Y1896" t="s">
        <v>23737</v>
      </c>
    </row>
    <row r="1897" spans="1:25" x14ac:dyDescent="0.3">
      <c r="A1897">
        <v>94800</v>
      </c>
      <c r="B1897" t="s">
        <v>23738</v>
      </c>
      <c r="C1897" t="s">
        <v>23739</v>
      </c>
      <c r="D1897" t="s">
        <v>23740</v>
      </c>
      <c r="E1897" t="s">
        <v>23741</v>
      </c>
      <c r="F1897" t="s">
        <v>23742</v>
      </c>
      <c r="G1897" t="s">
        <v>23743</v>
      </c>
      <c r="H1897" t="s">
        <v>23744</v>
      </c>
      <c r="I1897" t="s">
        <v>23745</v>
      </c>
      <c r="J1897" t="s">
        <v>23746</v>
      </c>
      <c r="K1897" t="s">
        <v>23747</v>
      </c>
      <c r="L1897" t="s">
        <v>23748</v>
      </c>
      <c r="M1897" t="s">
        <v>23749</v>
      </c>
      <c r="N1897">
        <f>-763.606373928725 -21.0774206663466 -556.557916436089</f>
        <v>-1341.2417110311608</v>
      </c>
      <c r="O1897">
        <f>-764.712774972617 -154.979988723114 -525.51784160702</f>
        <v>-1445.210605302751</v>
      </c>
      <c r="P1897">
        <f>-752.561478933351 -182.946156725166 -232.838056294808</f>
        <v>-1168.3456919533251</v>
      </c>
      <c r="Q1897">
        <f>-592.681465338041 -23.3088971708439 -316.535082819212</f>
        <v>-932.52544532809691</v>
      </c>
      <c r="R1897" t="s">
        <v>23750</v>
      </c>
      <c r="S1897" t="s">
        <v>23751</v>
      </c>
      <c r="T1897" t="s">
        <v>23752</v>
      </c>
      <c r="U1897" t="s">
        <v>23753</v>
      </c>
      <c r="V1897">
        <f>-716.730468010129 -66.755797189247 -93.7129978959767</f>
        <v>-877.19926309535276</v>
      </c>
      <c r="W1897" t="s">
        <v>23754</v>
      </c>
      <c r="X1897" t="s">
        <v>23755</v>
      </c>
      <c r="Y1897" t="s">
        <v>23756</v>
      </c>
    </row>
    <row r="1898" spans="1:25" x14ac:dyDescent="0.3">
      <c r="A1898">
        <v>94850</v>
      </c>
      <c r="B1898" t="s">
        <v>23757</v>
      </c>
      <c r="C1898" t="s">
        <v>23758</v>
      </c>
      <c r="D1898" t="s">
        <v>23759</v>
      </c>
      <c r="E1898" t="s">
        <v>23760</v>
      </c>
      <c r="F1898" t="s">
        <v>23761</v>
      </c>
      <c r="G1898" t="s">
        <v>23762</v>
      </c>
      <c r="H1898" t="s">
        <v>23763</v>
      </c>
      <c r="I1898" t="s">
        <v>23764</v>
      </c>
      <c r="J1898" t="s">
        <v>23765</v>
      </c>
      <c r="K1898" t="s">
        <v>23766</v>
      </c>
      <c r="L1898" t="s">
        <v>23767</v>
      </c>
      <c r="M1898" t="s">
        <v>23768</v>
      </c>
      <c r="N1898">
        <f>-765.318249724539 -21.4303724952947 -556.404567012788</f>
        <v>-1343.1531892326216</v>
      </c>
      <c r="O1898">
        <f>-766.201504473043 -155.338795344744 -525.320708272241</f>
        <v>-1446.861008090028</v>
      </c>
      <c r="P1898">
        <f>-752.882727150597 -183.687102862873 -232.728469933942</f>
        <v>-1169.298299947412</v>
      </c>
      <c r="Q1898">
        <f>-594.464804996302 -22.4763459737101 -316.189350560507</f>
        <v>-933.13050153051904</v>
      </c>
      <c r="R1898" t="s">
        <v>23769</v>
      </c>
      <c r="S1898" t="s">
        <v>23770</v>
      </c>
      <c r="T1898" t="s">
        <v>23771</v>
      </c>
      <c r="U1898" t="s">
        <v>23772</v>
      </c>
      <c r="V1898">
        <f>-717.539699902868 -67.1964155749517 -93.675675396329</f>
        <v>-878.41179087414878</v>
      </c>
      <c r="W1898" t="s">
        <v>23773</v>
      </c>
      <c r="X1898" t="s">
        <v>23774</v>
      </c>
      <c r="Y1898" t="s">
        <v>23775</v>
      </c>
    </row>
    <row r="1899" spans="1:25" x14ac:dyDescent="0.3">
      <c r="A1899">
        <v>94900</v>
      </c>
      <c r="B1899" t="s">
        <v>23757</v>
      </c>
      <c r="C1899" t="s">
        <v>23758</v>
      </c>
      <c r="D1899" t="s">
        <v>23759</v>
      </c>
      <c r="E1899" t="s">
        <v>23760</v>
      </c>
      <c r="F1899" t="s">
        <v>23761</v>
      </c>
      <c r="G1899" t="s">
        <v>23762</v>
      </c>
      <c r="H1899" t="s">
        <v>23763</v>
      </c>
      <c r="I1899" t="s">
        <v>23764</v>
      </c>
      <c r="J1899" t="s">
        <v>23765</v>
      </c>
      <c r="K1899" t="s">
        <v>23766</v>
      </c>
      <c r="L1899" t="s">
        <v>23767</v>
      </c>
      <c r="M1899" t="s">
        <v>23768</v>
      </c>
      <c r="N1899">
        <f>-765.318249724539 -21.4303724952947 -556.404567012788</f>
        <v>-1343.1531892326216</v>
      </c>
      <c r="O1899">
        <f>-766.201504473043 -155.338795344744 -525.320708272241</f>
        <v>-1446.861008090028</v>
      </c>
      <c r="P1899">
        <f>-752.882727150597 -183.687102862873 -232.728469933942</f>
        <v>-1169.298299947412</v>
      </c>
      <c r="Q1899">
        <f>-594.464804996302 -22.4763459737101 -316.189350560507</f>
        <v>-933.13050153051904</v>
      </c>
      <c r="R1899" t="s">
        <v>23769</v>
      </c>
      <c r="S1899" t="s">
        <v>23770</v>
      </c>
      <c r="T1899" t="s">
        <v>23771</v>
      </c>
      <c r="U1899" t="s">
        <v>23772</v>
      </c>
      <c r="V1899">
        <f>-717.539699902868 -67.1964155749517 -93.675675396329</f>
        <v>-878.41179087414878</v>
      </c>
      <c r="W1899" t="s">
        <v>23773</v>
      </c>
      <c r="X1899" t="s">
        <v>23774</v>
      </c>
      <c r="Y1899" t="s">
        <v>23775</v>
      </c>
    </row>
    <row r="1900" spans="1:25" x14ac:dyDescent="0.3">
      <c r="A1900">
        <v>94950</v>
      </c>
      <c r="B1900" t="s">
        <v>23776</v>
      </c>
      <c r="C1900" t="s">
        <v>23777</v>
      </c>
      <c r="D1900" t="s">
        <v>23778</v>
      </c>
      <c r="E1900" t="s">
        <v>23779</v>
      </c>
      <c r="F1900" t="s">
        <v>23780</v>
      </c>
      <c r="G1900" t="s">
        <v>23781</v>
      </c>
      <c r="H1900" t="s">
        <v>23782</v>
      </c>
      <c r="I1900" t="s">
        <v>23783</v>
      </c>
      <c r="J1900" t="s">
        <v>23784</v>
      </c>
      <c r="K1900" t="s">
        <v>23785</v>
      </c>
      <c r="L1900" t="s">
        <v>23786</v>
      </c>
      <c r="M1900" t="s">
        <v>23787</v>
      </c>
      <c r="N1900">
        <f>-766.984194601109 -21.8028827936589 -556.276536933765</f>
        <v>-1345.0636143285328</v>
      </c>
      <c r="O1900">
        <f>-767.674899583496 -155.71824662818 -525.187996248084</f>
        <v>-1448.58114245976</v>
      </c>
      <c r="P1900">
        <f>-752.840637861994 -184.450053124599 -232.706183729945</f>
        <v>-1169.9968747165381</v>
      </c>
      <c r="Q1900">
        <f>-595.957616591536 -21.942344725421 -316.550000922848</f>
        <v>-934.44996223980502</v>
      </c>
      <c r="R1900" t="s">
        <v>23788</v>
      </c>
      <c r="S1900" t="s">
        <v>23789</v>
      </c>
      <c r="T1900" t="s">
        <v>23790</v>
      </c>
      <c r="U1900" t="s">
        <v>23791</v>
      </c>
      <c r="V1900">
        <f>-718.126075533645 -67.4960855048596 -93.6346137178949</f>
        <v>-879.25677475639952</v>
      </c>
      <c r="W1900" t="s">
        <v>23792</v>
      </c>
      <c r="X1900" t="s">
        <v>23793</v>
      </c>
      <c r="Y1900" t="s">
        <v>23794</v>
      </c>
    </row>
    <row r="1901" spans="1:25" x14ac:dyDescent="0.3">
      <c r="A1901">
        <v>95000</v>
      </c>
      <c r="B1901" t="s">
        <v>23795</v>
      </c>
      <c r="C1901" t="s">
        <v>23796</v>
      </c>
      <c r="D1901" t="s">
        <v>23797</v>
      </c>
      <c r="E1901" t="s">
        <v>23798</v>
      </c>
      <c r="F1901" t="s">
        <v>23799</v>
      </c>
      <c r="G1901" t="s">
        <v>23800</v>
      </c>
      <c r="H1901" t="s">
        <v>23801</v>
      </c>
      <c r="I1901" t="s">
        <v>23802</v>
      </c>
      <c r="J1901" t="s">
        <v>23803</v>
      </c>
      <c r="K1901" t="s">
        <v>23804</v>
      </c>
      <c r="L1901" t="s">
        <v>23805</v>
      </c>
      <c r="M1901" t="s">
        <v>23806</v>
      </c>
      <c r="N1901">
        <f>-768.370873777011 -22.0587773718562 -556.180294379765</f>
        <v>-1346.6099455286321</v>
      </c>
      <c r="O1901">
        <f>-768.835331506339 -155.99943642575 -525.205583792559</f>
        <v>-1450.040351724648</v>
      </c>
      <c r="P1901">
        <f>-753.410963343377 -185.176025315444 -232.798288951198</f>
        <v>-1171.3852776100191</v>
      </c>
      <c r="Q1901">
        <f>-596.436043892458 -22.6047465608301 -316.34679226067</f>
        <v>-935.38758271395807</v>
      </c>
      <c r="R1901" t="s">
        <v>23807</v>
      </c>
      <c r="S1901" t="s">
        <v>23808</v>
      </c>
      <c r="T1901" t="s">
        <v>23809</v>
      </c>
      <c r="U1901" t="s">
        <v>23810</v>
      </c>
      <c r="V1901">
        <f>-718.499211094615 -67.9167210523788 -93.5937737980107</f>
        <v>-880.0097059450045</v>
      </c>
      <c r="W1901" t="s">
        <v>23811</v>
      </c>
      <c r="X1901" t="s">
        <v>23812</v>
      </c>
      <c r="Y1901" t="s">
        <v>23813</v>
      </c>
    </row>
    <row r="1902" spans="1:25" x14ac:dyDescent="0.3">
      <c r="A1902">
        <v>95050</v>
      </c>
      <c r="B1902" t="s">
        <v>23814</v>
      </c>
      <c r="C1902" t="s">
        <v>23815</v>
      </c>
      <c r="D1902" t="s">
        <v>23816</v>
      </c>
      <c r="E1902" t="s">
        <v>23817</v>
      </c>
      <c r="F1902" t="s">
        <v>23818</v>
      </c>
      <c r="G1902" t="s">
        <v>23819</v>
      </c>
      <c r="H1902" t="s">
        <v>23820</v>
      </c>
      <c r="I1902" t="s">
        <v>23821</v>
      </c>
      <c r="J1902" t="s">
        <v>23822</v>
      </c>
      <c r="K1902" t="s">
        <v>23823</v>
      </c>
      <c r="L1902" t="s">
        <v>23824</v>
      </c>
      <c r="M1902" t="s">
        <v>23825</v>
      </c>
      <c r="N1902">
        <f>-768.912337248094 -22.10947360404 -556.142053885121</f>
        <v>-1347.1638647372549</v>
      </c>
      <c r="O1902">
        <f>-769.00279961086 -156.017452962624 -525.081998305747</f>
        <v>-1450.1022508792312</v>
      </c>
      <c r="P1902">
        <f>-753.599710907232 -185.107931510012 -232.665065746477</f>
        <v>-1171.372708163721</v>
      </c>
      <c r="Q1902">
        <f>-595.733780303012 -23.244561698237 -315.90828438835</f>
        <v>-934.88662638959909</v>
      </c>
      <c r="R1902" t="s">
        <v>23826</v>
      </c>
      <c r="S1902" t="s">
        <v>23827</v>
      </c>
      <c r="T1902" t="s">
        <v>23828</v>
      </c>
      <c r="U1902" t="s">
        <v>23829</v>
      </c>
      <c r="V1902">
        <f>-718.620244527702 -67.8665186735395 -93.5763527638483</f>
        <v>-880.06311596508976</v>
      </c>
      <c r="W1902" t="s">
        <v>23830</v>
      </c>
      <c r="X1902" t="s">
        <v>23831</v>
      </c>
      <c r="Y1902" t="s">
        <v>23832</v>
      </c>
    </row>
    <row r="1903" spans="1:25" x14ac:dyDescent="0.3">
      <c r="A1903">
        <v>95100</v>
      </c>
      <c r="B1903" t="s">
        <v>23833</v>
      </c>
      <c r="C1903" t="s">
        <v>23834</v>
      </c>
      <c r="D1903" t="s">
        <v>23835</v>
      </c>
      <c r="E1903" t="s">
        <v>23836</v>
      </c>
      <c r="F1903" t="s">
        <v>23837</v>
      </c>
      <c r="G1903" t="s">
        <v>23838</v>
      </c>
      <c r="H1903" t="s">
        <v>23839</v>
      </c>
      <c r="I1903" t="s">
        <v>23840</v>
      </c>
      <c r="J1903" t="s">
        <v>23841</v>
      </c>
      <c r="K1903" t="s">
        <v>23842</v>
      </c>
      <c r="L1903" t="s">
        <v>23843</v>
      </c>
      <c r="M1903" t="s">
        <v>23844</v>
      </c>
      <c r="N1903">
        <f>-770.142302771453 -22.9182058279534 -555.984886866055</f>
        <v>-1349.0453954654615</v>
      </c>
      <c r="O1903">
        <f>-769.477651689371 -156.719242876512 -524.509576826577</f>
        <v>-1450.7064713924601</v>
      </c>
      <c r="P1903">
        <f>-753.460350280234 -184.544875050019 -232.002398660689</f>
        <v>-1170.007623990942</v>
      </c>
      <c r="Q1903">
        <f>-591.974634030725 -26.7598839435648 -316.128174020672</f>
        <v>-934.86269199496178</v>
      </c>
      <c r="R1903" t="s">
        <v>23845</v>
      </c>
      <c r="S1903" t="s">
        <v>23846</v>
      </c>
      <c r="T1903" t="s">
        <v>23847</v>
      </c>
      <c r="U1903" t="s">
        <v>23848</v>
      </c>
      <c r="V1903">
        <f>-719.114488087735 -68.4241185405733 -93.5447373382805</f>
        <v>-881.08334396658881</v>
      </c>
      <c r="W1903" t="s">
        <v>23849</v>
      </c>
      <c r="X1903" t="s">
        <v>23850</v>
      </c>
      <c r="Y1903" t="s">
        <v>23851</v>
      </c>
    </row>
    <row r="1904" spans="1:25" x14ac:dyDescent="0.3">
      <c r="A1904">
        <v>95150</v>
      </c>
      <c r="B1904" t="s">
        <v>23852</v>
      </c>
      <c r="C1904" t="s">
        <v>23853</v>
      </c>
      <c r="D1904" t="s">
        <v>23854</v>
      </c>
      <c r="E1904" t="s">
        <v>23855</v>
      </c>
      <c r="F1904" t="s">
        <v>23856</v>
      </c>
      <c r="G1904" t="s">
        <v>23857</v>
      </c>
      <c r="H1904" t="s">
        <v>23858</v>
      </c>
      <c r="I1904" t="s">
        <v>23859</v>
      </c>
      <c r="J1904" t="s">
        <v>23860</v>
      </c>
      <c r="K1904" t="s">
        <v>23861</v>
      </c>
      <c r="L1904" t="s">
        <v>23862</v>
      </c>
      <c r="M1904" t="s">
        <v>23863</v>
      </c>
      <c r="N1904">
        <f>-770.872094578094 -23.5483887732446 -555.861896235755</f>
        <v>-1350.2823795870936</v>
      </c>
      <c r="O1904">
        <f>-769.898372112421 -157.309913228458 -524.167061572466</f>
        <v>-1451.3753469133449</v>
      </c>
      <c r="P1904">
        <f>-753.190277072419 -184.782408406967 -231.665273722528</f>
        <v>-1169.6379592019139</v>
      </c>
      <c r="Q1904">
        <f>-589.690209638234 -30.0673968847264 -317.583164473809</f>
        <v>-937.34077099676938</v>
      </c>
      <c r="R1904" t="s">
        <v>23864</v>
      </c>
      <c r="S1904" t="s">
        <v>23865</v>
      </c>
      <c r="T1904" t="s">
        <v>23866</v>
      </c>
      <c r="U1904" t="s">
        <v>23867</v>
      </c>
      <c r="V1904">
        <f>-719.490951208164 -68.8062903622586 -93.5185266006009</f>
        <v>-881.81576817102348</v>
      </c>
      <c r="W1904" t="s">
        <v>23868</v>
      </c>
      <c r="X1904" t="s">
        <v>23869</v>
      </c>
      <c r="Y1904" t="s">
        <v>23870</v>
      </c>
    </row>
    <row r="1905" spans="1:25" x14ac:dyDescent="0.3">
      <c r="A1905">
        <v>95200</v>
      </c>
      <c r="B1905" t="s">
        <v>23871</v>
      </c>
      <c r="C1905" t="s">
        <v>23872</v>
      </c>
      <c r="D1905" t="s">
        <v>23873</v>
      </c>
      <c r="E1905" t="s">
        <v>23874</v>
      </c>
      <c r="F1905" t="s">
        <v>23875</v>
      </c>
      <c r="G1905" t="s">
        <v>23876</v>
      </c>
      <c r="H1905" t="s">
        <v>23877</v>
      </c>
      <c r="I1905" t="s">
        <v>23878</v>
      </c>
      <c r="J1905" t="s">
        <v>23879</v>
      </c>
      <c r="K1905" t="s">
        <v>23880</v>
      </c>
      <c r="L1905" t="s">
        <v>23881</v>
      </c>
      <c r="M1905" t="s">
        <v>23882</v>
      </c>
      <c r="N1905">
        <f>-772.493791260363 -25.029168327118 -555.587764196428</f>
        <v>-1353.110723783909</v>
      </c>
      <c r="O1905">
        <f>-771.415421631688 -158.79209161035 -523.856598777031</f>
        <v>-1454.0641120190689</v>
      </c>
      <c r="P1905">
        <f>-752.284191118933 -187.108202152889 -231.583709159467</f>
        <v>-1170.9761024312891</v>
      </c>
      <c r="Q1905">
        <f>-586.027027819245 -39.9803589133787 -325.193460720608</f>
        <v>-951.20084745323175</v>
      </c>
      <c r="R1905" t="s">
        <v>23883</v>
      </c>
      <c r="S1905" t="s">
        <v>23884</v>
      </c>
      <c r="T1905" t="s">
        <v>23885</v>
      </c>
      <c r="U1905" t="s">
        <v>23886</v>
      </c>
      <c r="V1905">
        <f>-720.424922178913 -69.7404730704432 -93.4530059322249</f>
        <v>-883.61840118158102</v>
      </c>
      <c r="W1905" t="s">
        <v>23887</v>
      </c>
      <c r="X1905" t="s">
        <v>23888</v>
      </c>
      <c r="Y1905" t="s">
        <v>23889</v>
      </c>
    </row>
    <row r="1906" spans="1:25" x14ac:dyDescent="0.3">
      <c r="A1906">
        <v>95250</v>
      </c>
      <c r="B1906" t="s">
        <v>23890</v>
      </c>
      <c r="C1906" t="s">
        <v>23891</v>
      </c>
      <c r="D1906" t="s">
        <v>23892</v>
      </c>
      <c r="E1906" t="s">
        <v>23893</v>
      </c>
      <c r="F1906" t="s">
        <v>23894</v>
      </c>
      <c r="G1906" t="s">
        <v>23895</v>
      </c>
      <c r="H1906" t="s">
        <v>23896</v>
      </c>
      <c r="I1906" t="s">
        <v>23897</v>
      </c>
      <c r="J1906" t="s">
        <v>23898</v>
      </c>
      <c r="K1906" t="s">
        <v>23899</v>
      </c>
      <c r="L1906" t="s">
        <v>23900</v>
      </c>
      <c r="M1906" t="s">
        <v>23901</v>
      </c>
      <c r="N1906">
        <f>-773.468493394188 -25.648103596553 -555.450870039321</f>
        <v>-1354.5674670300621</v>
      </c>
      <c r="O1906">
        <f>-772.510840222205 -159.430655545957 -523.784528387999</f>
        <v>-1455.726024156161</v>
      </c>
      <c r="P1906">
        <f>-751.180496702971 -189.65664718274 -231.855373673505</f>
        <v>-1172.692517559216</v>
      </c>
      <c r="Q1906">
        <f>-585.1497079921 -45.9197559559514 -330.973386132693</f>
        <v>-962.04285008074442</v>
      </c>
      <c r="R1906" t="s">
        <v>23902</v>
      </c>
      <c r="S1906" t="s">
        <v>23903</v>
      </c>
      <c r="T1906" t="s">
        <v>23904</v>
      </c>
      <c r="U1906" t="s">
        <v>23905</v>
      </c>
      <c r="V1906">
        <f>-720.890108337154 -70.2850566286299 -93.3913230432952</f>
        <v>-884.56648800907908</v>
      </c>
      <c r="W1906" t="s">
        <v>23906</v>
      </c>
      <c r="X1906" t="s">
        <v>23907</v>
      </c>
      <c r="Y1906" t="s">
        <v>23908</v>
      </c>
    </row>
    <row r="1907" spans="1:25" x14ac:dyDescent="0.3">
      <c r="A1907">
        <v>95300</v>
      </c>
      <c r="B1907" t="s">
        <v>23909</v>
      </c>
      <c r="C1907" t="s">
        <v>23910</v>
      </c>
      <c r="D1907" t="s">
        <v>23911</v>
      </c>
      <c r="E1907" t="s">
        <v>23912</v>
      </c>
      <c r="F1907" t="s">
        <v>23913</v>
      </c>
      <c r="G1907" t="s">
        <v>23914</v>
      </c>
      <c r="H1907">
        <f>-776.912560305092 -0.872035629019138 -610.94853073728</f>
        <v>-1388.7331266713911</v>
      </c>
      <c r="I1907" t="s">
        <v>23915</v>
      </c>
      <c r="J1907" t="s">
        <v>23916</v>
      </c>
      <c r="K1907" t="s">
        <v>23917</v>
      </c>
      <c r="L1907" t="s">
        <v>23918</v>
      </c>
      <c r="M1907" t="s">
        <v>23919</v>
      </c>
      <c r="N1907">
        <f>-775.08325651688 -26.7059284012284 -555.24778520816</f>
        <v>-1357.0369701262684</v>
      </c>
      <c r="O1907">
        <f>-774.483301799623 -160.551311754848 -523.883615672051</f>
        <v>-1458.9182292265218</v>
      </c>
      <c r="P1907">
        <f>-748.159017033767 -197.689547293437 -233.162114581324</f>
        <v>-1179.010678908528</v>
      </c>
      <c r="Q1907">
        <f>-584.806619470064 -59.4453454891652 -343.866267183254</f>
        <v>-988.11823214248329</v>
      </c>
      <c r="R1907" t="s">
        <v>23920</v>
      </c>
      <c r="S1907" t="s">
        <v>23921</v>
      </c>
      <c r="T1907" t="s">
        <v>23922</v>
      </c>
      <c r="U1907" t="s">
        <v>23923</v>
      </c>
      <c r="V1907">
        <f>-721.508557599154 -71.2018198110482 -93.2545360902085</f>
        <v>-885.9649135004106</v>
      </c>
      <c r="W1907" t="s">
        <v>23924</v>
      </c>
      <c r="X1907" t="s">
        <v>23925</v>
      </c>
      <c r="Y1907" t="s">
        <v>23926</v>
      </c>
    </row>
    <row r="1908" spans="1:25" x14ac:dyDescent="0.3">
      <c r="A1908">
        <v>95350</v>
      </c>
      <c r="B1908" t="s">
        <v>23927</v>
      </c>
      <c r="C1908" t="s">
        <v>23928</v>
      </c>
      <c r="D1908" t="s">
        <v>23929</v>
      </c>
      <c r="E1908" t="s">
        <v>23930</v>
      </c>
      <c r="F1908" t="s">
        <v>23931</v>
      </c>
      <c r="G1908" t="s">
        <v>23932</v>
      </c>
      <c r="H1908">
        <f>-777.546705150346 -1.48469078950893 -610.864620495804</f>
        <v>-1389.896016435659</v>
      </c>
      <c r="I1908">
        <f>-746.118824983678 -0.105880470017837 -687.776379843244</f>
        <v>-1434.0010852969399</v>
      </c>
      <c r="J1908" t="s">
        <v>23933</v>
      </c>
      <c r="K1908" t="s">
        <v>23934</v>
      </c>
      <c r="L1908" t="s">
        <v>23935</v>
      </c>
      <c r="M1908" t="s">
        <v>23936</v>
      </c>
      <c r="N1908">
        <f>-775.685935016706 -27.2989401609752 -555.155923887172</f>
        <v>-1358.1407990648531</v>
      </c>
      <c r="O1908">
        <f>-775.208868274353 -161.177361582089 -523.953431090352</f>
        <v>-1460.3396609467941</v>
      </c>
      <c r="P1908">
        <f>-747.048065583813 -201.128059974777 -233.777381461642</f>
        <v>-1181.9535070202319</v>
      </c>
      <c r="Q1908">
        <f>-585.604294009833 -65.5416600105477 -350.40953370928</f>
        <v>-1001.5554877296607</v>
      </c>
      <c r="R1908" t="s">
        <v>23937</v>
      </c>
      <c r="S1908" t="s">
        <v>23938</v>
      </c>
      <c r="T1908" t="s">
        <v>23939</v>
      </c>
      <c r="U1908" t="s">
        <v>23940</v>
      </c>
      <c r="V1908">
        <f>-721.805223783748 -71.6060912593905 -93.2008230424667</f>
        <v>-886.61213808560524</v>
      </c>
      <c r="W1908" t="s">
        <v>23941</v>
      </c>
      <c r="X1908" t="s">
        <v>23942</v>
      </c>
      <c r="Y1908" t="s">
        <v>23943</v>
      </c>
    </row>
    <row r="1909" spans="1:25" x14ac:dyDescent="0.3">
      <c r="A1909">
        <v>95400</v>
      </c>
      <c r="B1909" t="s">
        <v>23944</v>
      </c>
      <c r="C1909" t="s">
        <v>23945</v>
      </c>
      <c r="D1909" t="s">
        <v>23946</v>
      </c>
      <c r="E1909" t="s">
        <v>23947</v>
      </c>
      <c r="F1909" t="s">
        <v>23948</v>
      </c>
      <c r="G1909" t="s">
        <v>23949</v>
      </c>
      <c r="H1909">
        <f>-778.970764694218 -2.82264748213947 -610.711454958171</f>
        <v>-1392.5048671345285</v>
      </c>
      <c r="I1909">
        <f>-747.552313586765 -1.49776325903235 -687.62804397732</f>
        <v>-1436.6781208231173</v>
      </c>
      <c r="J1909" t="s">
        <v>23950</v>
      </c>
      <c r="K1909" t="s">
        <v>23951</v>
      </c>
      <c r="L1909" t="s">
        <v>23952</v>
      </c>
      <c r="M1909" t="s">
        <v>23953</v>
      </c>
      <c r="N1909">
        <f>-777.077276993268 -28.6075580937058 -554.990322610736</f>
        <v>-1360.6751576977099</v>
      </c>
      <c r="O1909">
        <f>-776.906414157924 -162.52917211369 -523.979385312014</f>
        <v>-1463.4149715836279</v>
      </c>
      <c r="P1909">
        <f>-746.012055568282 -206.643248342633 -234.685961414424</f>
        <v>-1187.341265325339</v>
      </c>
      <c r="Q1909">
        <f>-588.572380671737 -77.2428540320564 -363.212924435264</f>
        <v>-1029.0281591390574</v>
      </c>
      <c r="R1909" t="s">
        <v>23954</v>
      </c>
      <c r="S1909" t="s">
        <v>23955</v>
      </c>
      <c r="T1909" t="s">
        <v>23956</v>
      </c>
      <c r="U1909" t="s">
        <v>23957</v>
      </c>
      <c r="V1909">
        <f>-722.731499079462 -72.7064562923315 -93.0637649501758</f>
        <v>-888.50172032196929</v>
      </c>
      <c r="W1909" t="s">
        <v>23958</v>
      </c>
      <c r="X1909" t="s">
        <v>23959</v>
      </c>
      <c r="Y1909" t="s">
        <v>23960</v>
      </c>
    </row>
    <row r="1910" spans="1:25" x14ac:dyDescent="0.3">
      <c r="A1910">
        <v>95450</v>
      </c>
      <c r="B1910" t="s">
        <v>23961</v>
      </c>
      <c r="C1910" t="s">
        <v>23962</v>
      </c>
      <c r="D1910" t="s">
        <v>23963</v>
      </c>
      <c r="E1910" t="s">
        <v>23964</v>
      </c>
      <c r="F1910" t="s">
        <v>23965</v>
      </c>
      <c r="G1910" t="s">
        <v>23966</v>
      </c>
      <c r="H1910">
        <f>-779.768628346892 -3.6791296729532 -610.617337793692</f>
        <v>-1394.065095813537</v>
      </c>
      <c r="I1910">
        <f>-748.373214104698 -2.42549951771434 -687.544577943788</f>
        <v>-1438.3432915662004</v>
      </c>
      <c r="J1910" t="s">
        <v>23967</v>
      </c>
      <c r="K1910" t="s">
        <v>23968</v>
      </c>
      <c r="L1910" t="s">
        <v>23969</v>
      </c>
      <c r="M1910" t="s">
        <v>23970</v>
      </c>
      <c r="N1910">
        <f>-777.8566947229 -29.4319873565355 -554.881871105741</f>
        <v>-1362.1705531851765</v>
      </c>
      <c r="O1910">
        <f>-777.940105747899 -163.350889855816 -523.884352013004</f>
        <v>-1465.1753476167191</v>
      </c>
      <c r="P1910">
        <f>-745.963160243626 -208.504812468576 -234.869115462397</f>
        <v>-1189.3370881745991</v>
      </c>
      <c r="Q1910">
        <f>-590.789766589073 -82.6479579390536 -369.524545775185</f>
        <v>-1042.9622703033117</v>
      </c>
      <c r="R1910" t="s">
        <v>23971</v>
      </c>
      <c r="S1910" t="s">
        <v>23972</v>
      </c>
      <c r="T1910" t="s">
        <v>23973</v>
      </c>
      <c r="U1910" t="s">
        <v>23974</v>
      </c>
      <c r="V1910">
        <f>-723.182201371667 -73.3784645467397 -92.9861596991012</f>
        <v>-889.54682561750792</v>
      </c>
      <c r="W1910" t="s">
        <v>23975</v>
      </c>
      <c r="X1910" t="s">
        <v>23976</v>
      </c>
      <c r="Y1910" t="s">
        <v>23977</v>
      </c>
    </row>
    <row r="1911" spans="1:25" x14ac:dyDescent="0.3">
      <c r="A1911">
        <v>95500</v>
      </c>
      <c r="B1911" t="s">
        <v>23978</v>
      </c>
      <c r="C1911" t="s">
        <v>23979</v>
      </c>
      <c r="D1911" t="s">
        <v>23980</v>
      </c>
      <c r="E1911" t="s">
        <v>23981</v>
      </c>
      <c r="F1911" t="s">
        <v>23982</v>
      </c>
      <c r="G1911">
        <f>-777.862887279852 -0.982404743039751 -485.987770553421</f>
        <v>-1264.8330625763128</v>
      </c>
      <c r="H1911">
        <f>-781.110556644105 -5.59188157118501 -610.442624707631</f>
        <v>-1397.1450629229212</v>
      </c>
      <c r="I1911">
        <f>-749.739325057229 -4.51228815833815 -687.382243140606</f>
        <v>-1441.6338563561731</v>
      </c>
      <c r="J1911" t="s">
        <v>23983</v>
      </c>
      <c r="K1911" t="s">
        <v>23984</v>
      </c>
      <c r="L1911" t="s">
        <v>23985</v>
      </c>
      <c r="M1911" t="s">
        <v>23986</v>
      </c>
      <c r="N1911">
        <f>-779.197650727062 -31.2498490011235 -554.663446177565</f>
        <v>-1365.1109459057504</v>
      </c>
      <c r="O1911">
        <f>-779.736529823625 -165.165382374276 -523.601710409946</f>
        <v>-1468.5036226078469</v>
      </c>
      <c r="P1911">
        <f>-745.916986712482 -211.112094754177 -234.921318749822</f>
        <v>-1191.9504002164808</v>
      </c>
      <c r="Q1911">
        <f>-595.256833382742 -93.7089071014486 -381.784869485797</f>
        <v>-1070.7506099699876</v>
      </c>
      <c r="R1911" t="s">
        <v>23987</v>
      </c>
      <c r="S1911" t="s">
        <v>23988</v>
      </c>
      <c r="T1911" t="s">
        <v>23989</v>
      </c>
      <c r="U1911" t="s">
        <v>23990</v>
      </c>
      <c r="V1911">
        <f>-724.094435518596 -74.6001761844514 -92.8544494951487</f>
        <v>-891.54906119819611</v>
      </c>
      <c r="W1911" t="s">
        <v>23991</v>
      </c>
      <c r="X1911" t="s">
        <v>23992</v>
      </c>
      <c r="Y1911" t="s">
        <v>23993</v>
      </c>
    </row>
    <row r="1912" spans="1:25" x14ac:dyDescent="0.3">
      <c r="A1912">
        <v>95550</v>
      </c>
      <c r="B1912" t="s">
        <v>23994</v>
      </c>
      <c r="C1912" t="s">
        <v>23995</v>
      </c>
      <c r="D1912" t="s">
        <v>23996</v>
      </c>
      <c r="E1912" t="s">
        <v>23997</v>
      </c>
      <c r="F1912" t="s">
        <v>23998</v>
      </c>
      <c r="G1912">
        <f>-778.395201189663 -1.78843959455207 -485.918214719531</f>
        <v>-1266.101855503746</v>
      </c>
      <c r="H1912">
        <f>-781.688592855434 -6.49812204197519 -610.368169714764</f>
        <v>-1398.5548846121733</v>
      </c>
      <c r="I1912">
        <f>-750.326460077182 -5.49101836627005 -687.312542723266</f>
        <v>-1443.1300211667181</v>
      </c>
      <c r="J1912" t="s">
        <v>23999</v>
      </c>
      <c r="K1912" t="s">
        <v>24000</v>
      </c>
      <c r="L1912" t="s">
        <v>24001</v>
      </c>
      <c r="M1912" t="s">
        <v>24002</v>
      </c>
      <c r="N1912">
        <f>-779.780070372534 -32.1115014157549 -554.568300444347</f>
        <v>-1366.4598722326359</v>
      </c>
      <c r="O1912">
        <f>-780.531972551655 -166.019629390603 -523.489160867959</f>
        <v>-1470.0407628102171</v>
      </c>
      <c r="P1912">
        <f>-745.700297944382 -211.869928956407 -234.913933241141</f>
        <v>-1192.48416014193</v>
      </c>
      <c r="Q1912">
        <f>-597.52180063701 -99.1187759945115 -387.822980994514</f>
        <v>-1084.4635576260355</v>
      </c>
      <c r="R1912" t="s">
        <v>24003</v>
      </c>
      <c r="S1912" t="s">
        <v>24004</v>
      </c>
      <c r="T1912" t="s">
        <v>24005</v>
      </c>
      <c r="U1912" t="s">
        <v>24006</v>
      </c>
      <c r="V1912">
        <f>-724.591123674632 -75.1890429348468 -92.7778168667602</f>
        <v>-892.55798347623897</v>
      </c>
      <c r="W1912" t="s">
        <v>24007</v>
      </c>
      <c r="X1912" t="s">
        <v>24008</v>
      </c>
      <c r="Y1912" t="s">
        <v>24009</v>
      </c>
    </row>
    <row r="1913" spans="1:25" x14ac:dyDescent="0.3">
      <c r="A1913">
        <v>95600</v>
      </c>
      <c r="B1913" t="s">
        <v>24010</v>
      </c>
      <c r="C1913" t="s">
        <v>24011</v>
      </c>
      <c r="D1913" t="s">
        <v>24012</v>
      </c>
      <c r="E1913" t="s">
        <v>24013</v>
      </c>
      <c r="F1913" t="s">
        <v>24014</v>
      </c>
      <c r="G1913">
        <f>-779.242299991178 -3.59219808096032 -485.804505842061</f>
        <v>-1268.6390039141993</v>
      </c>
      <c r="H1913">
        <f>-782.496998767669 -8.56373964761792 -610.245266144458</f>
        <v>-1401.3060045597449</v>
      </c>
      <c r="I1913">
        <f>-751.12379932451 -7.69782932715975 -687.186823370628</f>
        <v>-1446.0084520222977</v>
      </c>
      <c r="J1913" t="s">
        <v>24015</v>
      </c>
      <c r="K1913" t="s">
        <v>24016</v>
      </c>
      <c r="L1913" t="s">
        <v>24017</v>
      </c>
      <c r="M1913" t="s">
        <v>24018</v>
      </c>
      <c r="N1913">
        <f>-780.644933797742 -34.0603022522955 -554.390072530541</f>
        <v>-1369.0953085805786</v>
      </c>
      <c r="O1913">
        <f>-781.722894132859 -167.937834185951 -523.194966431598</f>
        <v>-1472.855694750408</v>
      </c>
      <c r="P1913">
        <f>-744.334714978464 -213.291518129443 -234.861212503779</f>
        <v>-1192.4874456116861</v>
      </c>
      <c r="Q1913">
        <f>-601.501928727386 -109.589910880258 -398.860039897558</f>
        <v>-1109.951879505202</v>
      </c>
      <c r="R1913" t="s">
        <v>24019</v>
      </c>
      <c r="S1913" t="s">
        <v>24020</v>
      </c>
      <c r="T1913" t="s">
        <v>24021</v>
      </c>
      <c r="U1913" t="s">
        <v>24022</v>
      </c>
      <c r="V1913">
        <f>-725.49407732287 -76.726963911168 -92.6585049264849</f>
        <v>-894.87954616052286</v>
      </c>
      <c r="W1913" t="s">
        <v>24023</v>
      </c>
      <c r="X1913" t="s">
        <v>24024</v>
      </c>
      <c r="Y1913" t="s">
        <v>24025</v>
      </c>
    </row>
    <row r="1914" spans="1:25" x14ac:dyDescent="0.3">
      <c r="A1914">
        <v>95650</v>
      </c>
      <c r="B1914" t="s">
        <v>24026</v>
      </c>
      <c r="C1914" t="s">
        <v>24027</v>
      </c>
      <c r="D1914" t="s">
        <v>24028</v>
      </c>
      <c r="E1914" t="s">
        <v>24029</v>
      </c>
      <c r="F1914">
        <f>-775.251553786866 -0.555812193465044 -396.860164165453</f>
        <v>-1172.667530145784</v>
      </c>
      <c r="G1914">
        <f>-779.552042534556 -4.55748814287153 -485.763031301945</f>
        <v>-1269.8725619793724</v>
      </c>
      <c r="H1914">
        <f>-782.724792485348 -9.66873461577416 -610.200312246651</f>
        <v>-1402.5938393477732</v>
      </c>
      <c r="I1914">
        <f>-751.347876200705 -8.87055560640056 -687.141078964673</f>
        <v>-1447.3595107717786</v>
      </c>
      <c r="J1914" t="s">
        <v>24030</v>
      </c>
      <c r="K1914" t="s">
        <v>24031</v>
      </c>
      <c r="L1914" t="s">
        <v>24032</v>
      </c>
      <c r="M1914" t="s">
        <v>24033</v>
      </c>
      <c r="N1914">
        <f>-780.921751303345 -35.1027059237115 -554.314999227758</f>
        <v>-1370.3394564548144</v>
      </c>
      <c r="O1914">
        <f>-782.094021861217 -168.95464607836 -523.030596005897</f>
        <v>-1474.0792639454739</v>
      </c>
      <c r="P1914">
        <f>-743.380630778918 -213.851193136454 -234.800248104531</f>
        <v>-1192.0320720199029</v>
      </c>
      <c r="Q1914">
        <f>-603.242108576272 -114.757382932514 -403.893396500549</f>
        <v>-1121.8928880093349</v>
      </c>
      <c r="R1914" t="s">
        <v>24034</v>
      </c>
      <c r="S1914" t="s">
        <v>24035</v>
      </c>
      <c r="T1914" t="s">
        <v>24036</v>
      </c>
      <c r="U1914" t="s">
        <v>24037</v>
      </c>
      <c r="V1914">
        <f>-725.943257602281 -77.4834139068823 -92.6106585504011</f>
        <v>-896.03733005956451</v>
      </c>
      <c r="W1914" t="s">
        <v>24038</v>
      </c>
      <c r="X1914" t="s">
        <v>24039</v>
      </c>
      <c r="Y1914" t="s">
        <v>24040</v>
      </c>
    </row>
    <row r="1915" spans="1:25" x14ac:dyDescent="0.3">
      <c r="A1915">
        <v>95700</v>
      </c>
      <c r="B1915" t="s">
        <v>24041</v>
      </c>
      <c r="C1915" t="s">
        <v>24042</v>
      </c>
      <c r="D1915" t="s">
        <v>24043</v>
      </c>
      <c r="E1915" t="s">
        <v>24044</v>
      </c>
      <c r="F1915">
        <f>-776.005686332392 -2.25737887118134 -396.795939341926</f>
        <v>-1175.0590045454992</v>
      </c>
      <c r="G1915">
        <f>-780.163965738013 -6.45909286874121 -485.696448632094</f>
        <v>-1272.3195072388482</v>
      </c>
      <c r="H1915">
        <f>-783.118949118548 -11.9001572986404 -610.125101158952</f>
        <v>-1405.1442075761404</v>
      </c>
      <c r="I1915">
        <f>-751.803198957103 -11.2706070159843 -687.092358532248</f>
        <v>-1450.1661645053352</v>
      </c>
      <c r="J1915" t="s">
        <v>24045</v>
      </c>
      <c r="K1915" t="s">
        <v>24046</v>
      </c>
      <c r="L1915" t="s">
        <v>24047</v>
      </c>
      <c r="M1915" t="s">
        <v>24048</v>
      </c>
      <c r="N1915">
        <f>-781.429953624915 -37.1860581174185 -554.169041480756</f>
        <v>-1372.7850532230896</v>
      </c>
      <c r="O1915">
        <f>-782.662288243969 -170.992640599259 -522.6719068041</f>
        <v>-1476.3268356473279</v>
      </c>
      <c r="P1915">
        <f>-741.783666731952 -215.370047038659 -234.660013724907</f>
        <v>-1191.8137274955179</v>
      </c>
      <c r="Q1915">
        <f>-607.375834520655 -124.841095492686 -412.957288452397</f>
        <v>-1145.174218465738</v>
      </c>
      <c r="R1915" t="s">
        <v>24049</v>
      </c>
      <c r="S1915" t="s">
        <v>24050</v>
      </c>
      <c r="T1915" t="s">
        <v>24051</v>
      </c>
      <c r="U1915" t="s">
        <v>24052</v>
      </c>
      <c r="V1915">
        <f>-726.89852004943 -78.7951679844148 -92.5135504896354</f>
        <v>-898.2072385234801</v>
      </c>
      <c r="W1915" t="s">
        <v>24053</v>
      </c>
      <c r="X1915" t="s">
        <v>24054</v>
      </c>
      <c r="Y1915" t="s">
        <v>24055</v>
      </c>
    </row>
    <row r="1916" spans="1:25" x14ac:dyDescent="0.3">
      <c r="A1916">
        <v>95750</v>
      </c>
      <c r="B1916" t="s">
        <v>24056</v>
      </c>
      <c r="C1916" t="s">
        <v>24057</v>
      </c>
      <c r="D1916" t="s">
        <v>24058</v>
      </c>
      <c r="E1916" t="s">
        <v>24059</v>
      </c>
      <c r="F1916">
        <f>-776.353149411385 -3.07173137913105 -396.750355870097</f>
        <v>-1176.1752366606129</v>
      </c>
      <c r="G1916">
        <f>-780.430788817842 -7.36952168097537 -485.649993494442</f>
        <v>-1273.4503039932592</v>
      </c>
      <c r="H1916">
        <f>-783.265997043178 -12.9710033876415 -610.074272238458</f>
        <v>-1406.3112726692775</v>
      </c>
      <c r="I1916">
        <f>-752.006563317564 -12.4244502148508 -687.065026394019</f>
        <v>-1451.4960399264337</v>
      </c>
      <c r="J1916" t="s">
        <v>24060</v>
      </c>
      <c r="K1916" t="s">
        <v>24061</v>
      </c>
      <c r="L1916" t="s">
        <v>24062</v>
      </c>
      <c r="M1916" t="s">
        <v>24063</v>
      </c>
      <c r="N1916">
        <f>-781.632410913056 -38.1847223753166 -554.084072175303</f>
        <v>-1373.9012054636755</v>
      </c>
      <c r="O1916">
        <f>-782.86020887116 -171.969587408582 -522.496112503621</f>
        <v>-1477.325908783363</v>
      </c>
      <c r="P1916">
        <f>-741.306541898035 -216.093644165699 -234.542093677945</f>
        <v>-1191.9422797416792</v>
      </c>
      <c r="Q1916">
        <f>-609.613457693685 -129.831498224438 -416.933425620742</f>
        <v>-1156.3783815388651</v>
      </c>
      <c r="R1916" t="s">
        <v>24064</v>
      </c>
      <c r="S1916" t="s">
        <v>24065</v>
      </c>
      <c r="T1916" t="s">
        <v>24066</v>
      </c>
      <c r="U1916" t="s">
        <v>24067</v>
      </c>
      <c r="V1916">
        <f>-727.406466444652 -79.5252172722053 -92.4525046974544</f>
        <v>-899.38418841431167</v>
      </c>
      <c r="W1916" t="s">
        <v>24068</v>
      </c>
      <c r="X1916" t="s">
        <v>24069</v>
      </c>
      <c r="Y1916" t="s">
        <v>24070</v>
      </c>
    </row>
    <row r="1917" spans="1:25" x14ac:dyDescent="0.3">
      <c r="A1917">
        <v>95800</v>
      </c>
      <c r="B1917" t="s">
        <v>24071</v>
      </c>
      <c r="C1917" t="s">
        <v>24072</v>
      </c>
      <c r="D1917" t="s">
        <v>24073</v>
      </c>
      <c r="E1917">
        <f>-770.536748769653 -0.155985215472811 -307.918055909934</f>
        <v>-1078.6107898950597</v>
      </c>
      <c r="F1917">
        <f>-777.16919295141 -4.99812503664134 -396.635715794602</f>
        <v>-1178.8030337826533</v>
      </c>
      <c r="G1917">
        <f>-781.05453700918 -9.44267053137173 -485.536779540906</f>
        <v>-1276.0339870814578</v>
      </c>
      <c r="H1917">
        <f>-783.595133065153 -15.2917055902342 -609.956023672942</f>
        <v>-1408.8428623283294</v>
      </c>
      <c r="I1917">
        <f>-752.486206255449 -14.8586568915384 -687.008391109609</f>
        <v>-1454.3532542565963</v>
      </c>
      <c r="J1917" t="s">
        <v>24074</v>
      </c>
      <c r="K1917" t="s">
        <v>24075</v>
      </c>
      <c r="L1917" t="s">
        <v>24076</v>
      </c>
      <c r="M1917" t="s">
        <v>24077</v>
      </c>
      <c r="N1917">
        <f>-782.097659093503 -40.39402434518 -553.911982227589</f>
        <v>-1376.403665666272</v>
      </c>
      <c r="O1917">
        <f>-783.436961589375 -174.148790720646 -522.192326506329</f>
        <v>-1479.77807881635</v>
      </c>
      <c r="P1917">
        <f>-741.687843298175 -217.403708499978 -234.134643545282</f>
        <v>-1193.2261953434349</v>
      </c>
      <c r="Q1917">
        <f>-614.22054315262 -140.555655446027 -423.600570581023</f>
        <v>-1178.3767691796702</v>
      </c>
      <c r="R1917" t="s">
        <v>24078</v>
      </c>
      <c r="S1917" t="s">
        <v>24079</v>
      </c>
      <c r="T1917" t="s">
        <v>24080</v>
      </c>
      <c r="U1917" t="s">
        <v>24081</v>
      </c>
      <c r="V1917">
        <f>-728.572013691886 -81.4293239214433 -92.3093351709592</f>
        <v>-902.3106727842885</v>
      </c>
      <c r="W1917" t="s">
        <v>24082</v>
      </c>
      <c r="X1917" t="s">
        <v>24083</v>
      </c>
      <c r="Y1917" t="s">
        <v>24084</v>
      </c>
    </row>
    <row r="1918" spans="1:25" x14ac:dyDescent="0.3">
      <c r="A1918">
        <v>95850</v>
      </c>
      <c r="B1918" t="s">
        <v>24085</v>
      </c>
      <c r="C1918" t="s">
        <v>24086</v>
      </c>
      <c r="D1918" t="s">
        <v>24087</v>
      </c>
      <c r="E1918">
        <f>-771.049000037093 -1.05205769463146 -307.849324539364</f>
        <v>-1079.9503822710885</v>
      </c>
      <c r="F1918">
        <f>-777.585918871481 -5.93730987928825 -396.571713471776</f>
        <v>-1180.0949422225453</v>
      </c>
      <c r="G1918">
        <f>-781.356731448036 -10.444341155302 -485.474398548096</f>
        <v>-1277.275471151434</v>
      </c>
      <c r="H1918">
        <f>-783.717866678648 -16.4018142331688 -609.892012485181</f>
        <v>-1410.0116933969978</v>
      </c>
      <c r="I1918">
        <f>-752.679912086651 -16.0238122023497 -686.973422897712</f>
        <v>-1455.6771471867128</v>
      </c>
      <c r="J1918" t="s">
        <v>24088</v>
      </c>
      <c r="K1918" t="s">
        <v>24089</v>
      </c>
      <c r="L1918" t="s">
        <v>24090</v>
      </c>
      <c r="M1918" t="s">
        <v>24091</v>
      </c>
      <c r="N1918">
        <f>-782.319033339499 -41.4556213291128 -553.823715959583</f>
        <v>-1377.5983706281947</v>
      </c>
      <c r="O1918">
        <f>-783.8262404004 -175.191563489726 -522.056011552656</f>
        <v>-1481.073815442782</v>
      </c>
      <c r="P1918">
        <f>-742.471188012268 -217.998172517801 -233.874543810385</f>
        <v>-1194.3439043404539</v>
      </c>
      <c r="Q1918">
        <f>-616.467309016497 -146.107070852393 -426.242769663682</f>
        <v>-1188.8171495325719</v>
      </c>
      <c r="R1918" t="s">
        <v>24092</v>
      </c>
      <c r="S1918" t="s">
        <v>24093</v>
      </c>
      <c r="T1918" t="s">
        <v>24094</v>
      </c>
      <c r="U1918" t="s">
        <v>24095</v>
      </c>
      <c r="V1918">
        <f>-729.145124005089 -82.3004530474716 -92.2343821821025</f>
        <v>-903.6799592346631</v>
      </c>
      <c r="W1918" t="s">
        <v>24096</v>
      </c>
      <c r="X1918" t="s">
        <v>24097</v>
      </c>
      <c r="Y1918" t="s">
        <v>24098</v>
      </c>
    </row>
    <row r="1919" spans="1:25" x14ac:dyDescent="0.3">
      <c r="A1919">
        <v>95900</v>
      </c>
      <c r="B1919" t="s">
        <v>24099</v>
      </c>
      <c r="C1919" t="s">
        <v>24100</v>
      </c>
      <c r="D1919" t="s">
        <v>24101</v>
      </c>
      <c r="E1919">
        <f>-772.017227450932 -2.8243933366391 -307.722986641894</f>
        <v>-1082.564607429465</v>
      </c>
      <c r="F1919">
        <f>-778.336141157381 -7.77128618326879 -396.457597487385</f>
        <v>-1182.5650248280349</v>
      </c>
      <c r="G1919">
        <f>-781.85497010726 -12.379996071825 -485.365505666682</f>
        <v>-1279.6004718457671</v>
      </c>
      <c r="H1919">
        <f>-783.828749677665 -18.5229882440128 -609.780885173889</f>
        <v>-1412.1326230955669</v>
      </c>
      <c r="I1919">
        <f>-752.908357249696 -18.2564983145414 -686.909836032189</f>
        <v>-1458.0746915964264</v>
      </c>
      <c r="J1919" t="s">
        <v>24102</v>
      </c>
      <c r="K1919" t="s">
        <v>24103</v>
      </c>
      <c r="L1919" t="s">
        <v>24104</v>
      </c>
      <c r="M1919" t="s">
        <v>24105</v>
      </c>
      <c r="N1919">
        <f>-782.660838702016 -43.4936212250766 -553.670140126656</f>
        <v>-1379.8246000537486</v>
      </c>
      <c r="O1919">
        <f>-784.59681426659 -177.194230701378 -521.762225077848</f>
        <v>-1483.5532700458161</v>
      </c>
      <c r="P1919">
        <f>-744.478262933254 -219.368010704307 -233.312669336116</f>
        <v>-1197.1589429736771</v>
      </c>
      <c r="Q1919">
        <f>-620.848779056068 -156.381438270648 -430.288077159474</f>
        <v>-1207.5182944861899</v>
      </c>
      <c r="R1919" t="s">
        <v>24106</v>
      </c>
      <c r="S1919" t="s">
        <v>24107</v>
      </c>
      <c r="T1919" t="s">
        <v>24108</v>
      </c>
      <c r="U1919" t="s">
        <v>24109</v>
      </c>
      <c r="V1919">
        <f>-730.465139720842 -84.2281054823789 -92.079314553523</f>
        <v>-906.77255975674382</v>
      </c>
      <c r="W1919" t="s">
        <v>24110</v>
      </c>
      <c r="X1919" t="s">
        <v>24111</v>
      </c>
      <c r="Y1919" t="s">
        <v>24112</v>
      </c>
    </row>
    <row r="1920" spans="1:25" x14ac:dyDescent="0.3">
      <c r="A1920">
        <v>95950</v>
      </c>
      <c r="B1920" t="s">
        <v>24113</v>
      </c>
      <c r="C1920" t="s">
        <v>24114</v>
      </c>
      <c r="D1920" t="s">
        <v>24115</v>
      </c>
      <c r="E1920">
        <f>-772.381957446928 -3.53588842894715 -307.664526877422</f>
        <v>-1083.5823727532972</v>
      </c>
      <c r="F1920">
        <f>-778.589128752545 -8.49837794735618 -396.406204783897</f>
        <v>-1183.4937114837981</v>
      </c>
      <c r="G1920">
        <f>-781.981763879312 -13.1412112048499 -485.317322918058</f>
        <v>-1280.4402980022198</v>
      </c>
      <c r="H1920">
        <f>-783.764360108654 -19.3517510644119 -609.732113523825</f>
        <v>-1412.8482246968911</v>
      </c>
      <c r="I1920">
        <f>-752.89530080172 -19.1272025169294 -686.881949938749</f>
        <v>-1458.9044532573985</v>
      </c>
      <c r="J1920" t="s">
        <v>24116</v>
      </c>
      <c r="K1920" t="s">
        <v>24117</v>
      </c>
      <c r="L1920" t="s">
        <v>24118</v>
      </c>
      <c r="M1920" t="s">
        <v>24119</v>
      </c>
      <c r="N1920">
        <f>-782.721178588711 -44.2923540749694 -553.605647283255</f>
        <v>-1380.6191799469354</v>
      </c>
      <c r="O1920">
        <f>-784.929782385422 -177.976724479328 -521.626778693194</f>
        <v>-1484.5332855579441</v>
      </c>
      <c r="P1920">
        <f>-745.663107125903 -219.769098814756 -233.00452951915</f>
        <v>-1198.4367354598091</v>
      </c>
      <c r="Q1920">
        <f>-622.961557093881 -160.688471164109 -431.7624627222</f>
        <v>-1215.4124909801899</v>
      </c>
      <c r="R1920" t="s">
        <v>24120</v>
      </c>
      <c r="S1920" t="s">
        <v>24121</v>
      </c>
      <c r="T1920" t="s">
        <v>24122</v>
      </c>
      <c r="U1920" t="s">
        <v>24123</v>
      </c>
      <c r="V1920">
        <f>-731.069384937252 -84.9472781820639 -91.9972087329102</f>
        <v>-908.01387185222609</v>
      </c>
      <c r="W1920" t="s">
        <v>24124</v>
      </c>
      <c r="X1920" t="s">
        <v>24125</v>
      </c>
      <c r="Y1920" t="s">
        <v>24126</v>
      </c>
    </row>
    <row r="1921" spans="1:25" x14ac:dyDescent="0.3">
      <c r="A1921">
        <v>96000</v>
      </c>
      <c r="B1921" t="s">
        <v>24127</v>
      </c>
      <c r="C1921" t="s">
        <v>24128</v>
      </c>
      <c r="D1921" t="s">
        <v>24129</v>
      </c>
      <c r="E1921">
        <f>-773.148353559284 -5.0588488938979 -307.454317424206</f>
        <v>-1085.6615198773879</v>
      </c>
      <c r="F1921">
        <f>-779.163228592454 -10.0571718346437 -396.207215837318</f>
        <v>-1185.4276162644155</v>
      </c>
      <c r="G1921">
        <f>-782.337199581393 -14.7747370006107 -485.122317550453</f>
        <v>-1282.2342541324565</v>
      </c>
      <c r="H1921">
        <f>-783.787529008105 -21.1319804445654 -609.534140719634</f>
        <v>-1414.4536501723046</v>
      </c>
      <c r="I1921">
        <f>-753.000603235052 -20.9817170773474 -686.716925517023</f>
        <v>-1460.6992458294226</v>
      </c>
      <c r="J1921" t="s">
        <v>24130</v>
      </c>
      <c r="K1921" t="s">
        <v>24131</v>
      </c>
      <c r="L1921" t="s">
        <v>24132</v>
      </c>
      <c r="M1921" t="s">
        <v>24133</v>
      </c>
      <c r="N1921">
        <f>-782.970727126903 -46.0069454526249 -553.374731089012</f>
        <v>-1382.3524036685399</v>
      </c>
      <c r="O1921">
        <f>-785.706039122231 -179.64273274216 -521.243389486617</f>
        <v>-1486.5921613510081</v>
      </c>
      <c r="P1921">
        <f>-748.47096162936 -220.640273118867 -232.238199597072</f>
        <v>-1201.349434345299</v>
      </c>
      <c r="Q1921">
        <f>-626.834657559894 -168.761606090775 -433.64347782625</f>
        <v>-1229.2397414769189</v>
      </c>
      <c r="R1921" t="s">
        <v>24134</v>
      </c>
      <c r="S1921" t="s">
        <v>24135</v>
      </c>
      <c r="T1921" t="s">
        <v>24136</v>
      </c>
      <c r="U1921" t="s">
        <v>24137</v>
      </c>
      <c r="V1921">
        <f>-732.343374802359 -86.4855084025412 -91.7954643290497</f>
        <v>-910.62434753394984</v>
      </c>
      <c r="W1921" t="s">
        <v>24138</v>
      </c>
      <c r="X1921" t="s">
        <v>24139</v>
      </c>
      <c r="Y1921" t="s">
        <v>24140</v>
      </c>
    </row>
    <row r="1922" spans="1:25" x14ac:dyDescent="0.3">
      <c r="A1922">
        <v>96050</v>
      </c>
      <c r="B1922" t="s">
        <v>24141</v>
      </c>
      <c r="C1922" t="s">
        <v>24142</v>
      </c>
      <c r="D1922" t="s">
        <v>24143</v>
      </c>
      <c r="E1922">
        <f>-773.5064842902 -5.79071735934508 -307.336943939132</f>
        <v>-1086.634145588677</v>
      </c>
      <c r="F1922">
        <f>-779.450163260701 -10.787495203796 -396.094811461591</f>
        <v>-1186.3324699260879</v>
      </c>
      <c r="G1922">
        <f>-782.543931389247 -15.513555373821 -485.012386098576</f>
        <v>-1283.0698728616439</v>
      </c>
      <c r="H1922">
        <f>-783.872065716802 -21.8932671589043 -609.424387312106</f>
        <v>-1415.1897201878123</v>
      </c>
      <c r="I1922">
        <f>-753.100056311898 -21.7478047850818 -686.613009293188</f>
        <v>-1461.4608703901679</v>
      </c>
      <c r="J1922" t="s">
        <v>24144</v>
      </c>
      <c r="K1922" t="s">
        <v>24145</v>
      </c>
      <c r="L1922" t="s">
        <v>24146</v>
      </c>
      <c r="M1922" t="s">
        <v>24147</v>
      </c>
      <c r="N1922">
        <f>-783.147733445275 -46.758289163985 -553.259179128033</f>
        <v>-1383.165201737293</v>
      </c>
      <c r="O1922">
        <f>-786.109072527242 -180.375925203006 -521.075664386706</f>
        <v>-1487.5606621169541</v>
      </c>
      <c r="P1922">
        <f>-749.909597183404 -220.667483466469 -231.839782623085</f>
        <v>-1202.4168632729579</v>
      </c>
      <c r="Q1922">
        <f>-628.202898053156 -172.036433076098 -434.011533500905</f>
        <v>-1234.250864630159</v>
      </c>
      <c r="R1922" t="s">
        <v>24148</v>
      </c>
      <c r="S1922" t="s">
        <v>24149</v>
      </c>
      <c r="T1922" t="s">
        <v>24150</v>
      </c>
      <c r="U1922" t="s">
        <v>24151</v>
      </c>
      <c r="V1922">
        <f>-732.890895810656 -87.2723294238451 -91.6946899778947</f>
        <v>-911.85791521239582</v>
      </c>
      <c r="W1922" t="s">
        <v>24152</v>
      </c>
      <c r="X1922" t="s">
        <v>24153</v>
      </c>
      <c r="Y1922" t="s">
        <v>24154</v>
      </c>
    </row>
    <row r="1923" spans="1:25" x14ac:dyDescent="0.3">
      <c r="A1923">
        <v>96100</v>
      </c>
      <c r="B1923" t="s">
        <v>24155</v>
      </c>
      <c r="C1923" t="s">
        <v>24156</v>
      </c>
      <c r="D1923">
        <f>-764.990826530103 -1.47121836519636 -209.097969413239</f>
        <v>-975.56001430853848</v>
      </c>
      <c r="E1923">
        <f>-774.239622560881 -7.32435681197899 -307.112607617162</f>
        <v>-1088.6765869900219</v>
      </c>
      <c r="F1923">
        <f>-780.079703109744 -12.317750344532 -395.877598816315</f>
        <v>-1188.275052270591</v>
      </c>
      <c r="G1923">
        <f>-783.039659157375 -17.0558867224968 -484.798943466513</f>
        <v>-1284.8944893463847</v>
      </c>
      <c r="H1923">
        <f>-784.149935318425 -23.4697711875694 -609.211369533766</f>
        <v>-1416.8310760397603</v>
      </c>
      <c r="I1923">
        <f>-753.358012478493 -23.3422921105991 -686.392184371194</f>
        <v>-1463.0924889602861</v>
      </c>
      <c r="J1923" t="s">
        <v>24157</v>
      </c>
      <c r="K1923" t="s">
        <v>24158</v>
      </c>
      <c r="L1923" t="s">
        <v>24159</v>
      </c>
      <c r="M1923" t="s">
        <v>24160</v>
      </c>
      <c r="N1923">
        <f>-783.586800719962 -48.3194671691022 -553.037726135231</f>
        <v>-1384.9439940242951</v>
      </c>
      <c r="O1923">
        <f>-786.822919501757 -181.87801968816 -520.654350030595</f>
        <v>-1489.3552892205121</v>
      </c>
      <c r="P1923">
        <f>-751.96511177535 -221.082449829049 -231.104402764028</f>
        <v>-1204.1519643684269</v>
      </c>
      <c r="Q1923">
        <f>-629.398090467802 -177.170391589452 -433.835520033915</f>
        <v>-1240.4040020911691</v>
      </c>
      <c r="R1923" t="s">
        <v>24161</v>
      </c>
      <c r="S1923" t="s">
        <v>24162</v>
      </c>
      <c r="T1923" t="s">
        <v>24163</v>
      </c>
      <c r="U1923" t="s">
        <v>24164</v>
      </c>
      <c r="V1923">
        <f>-733.765939389195 -88.8523770441996 -91.5067812501511</f>
        <v>-914.12509768354562</v>
      </c>
      <c r="W1923" t="s">
        <v>24165</v>
      </c>
      <c r="X1923" t="s">
        <v>24166</v>
      </c>
      <c r="Y1923" t="s">
        <v>24167</v>
      </c>
    </row>
    <row r="1924" spans="1:25" x14ac:dyDescent="0.3">
      <c r="A1924">
        <v>96150</v>
      </c>
      <c r="B1924" t="s">
        <v>24168</v>
      </c>
      <c r="C1924" t="s">
        <v>24169</v>
      </c>
      <c r="D1924">
        <f>-765.352847724213 -2.28274488698776 -208.999163972666</f>
        <v>-976.63475658386676</v>
      </c>
      <c r="E1924">
        <f>-774.550895218235 -8.12517905179629 -307.019257843886</f>
        <v>-1089.6953321139174</v>
      </c>
      <c r="F1924">
        <f>-780.326865240208 -13.1107797868729 -395.788756542893</f>
        <v>-1189.2264015699739</v>
      </c>
      <c r="G1924">
        <f>-783.204690453927 -17.8442447393736 -484.713207269032</f>
        <v>-1285.7621424623326</v>
      </c>
      <c r="H1924">
        <f>-784.181275691221 -24.2552708297346 -609.126831354269</f>
        <v>-1417.5633778752247</v>
      </c>
      <c r="I1924">
        <f>-753.374488949628 -24.1235918648651 -686.301548138065</f>
        <v>-1463.7996289525581</v>
      </c>
      <c r="J1924" t="s">
        <v>24170</v>
      </c>
      <c r="K1924" t="s">
        <v>24171</v>
      </c>
      <c r="L1924" t="s">
        <v>24172</v>
      </c>
      <c r="M1924" t="s">
        <v>24173</v>
      </c>
      <c r="N1924">
        <f>-783.70223771875 -49.1063285083383 -552.952904154573</f>
        <v>-1385.7614703816612</v>
      </c>
      <c r="O1924">
        <f>-787.050131881104 -182.651174335991 -520.515984857571</f>
        <v>-1490.2172910746658</v>
      </c>
      <c r="P1924">
        <f>-752.779192075146 -221.790761432738 -230.887245164646</f>
        <v>-1205.45719867253</v>
      </c>
      <c r="Q1924">
        <f>-629.869057170423 -179.132229271809 -433.678312821936</f>
        <v>-1242.679599264168</v>
      </c>
      <c r="R1924" t="s">
        <v>24174</v>
      </c>
      <c r="S1924" t="s">
        <v>24175</v>
      </c>
      <c r="T1924" t="s">
        <v>24176</v>
      </c>
      <c r="U1924" t="s">
        <v>24177</v>
      </c>
      <c r="V1924">
        <f>-734.131004520984 -89.6103195721259 -91.4119266264535</f>
        <v>-915.1532507195634</v>
      </c>
      <c r="W1924" t="s">
        <v>24178</v>
      </c>
      <c r="X1924" t="s">
        <v>24179</v>
      </c>
      <c r="Y1924" t="s">
        <v>24180</v>
      </c>
    </row>
    <row r="1925" spans="1:25" x14ac:dyDescent="0.3">
      <c r="A1925">
        <v>96200</v>
      </c>
      <c r="B1925" t="s">
        <v>24181</v>
      </c>
      <c r="C1925" t="s">
        <v>24182</v>
      </c>
      <c r="D1925">
        <f>-766.021487038191 -4.1153713227402 -208.758541805538</f>
        <v>-978.89540016646924</v>
      </c>
      <c r="E1925">
        <f>-775.132936019247 -9.88303012020469 -306.791184488251</f>
        <v>-1091.8071506277029</v>
      </c>
      <c r="F1925">
        <f>-780.794888250414 -14.790080160735 -395.572327361829</f>
        <v>-1191.1572957729782</v>
      </c>
      <c r="G1925">
        <f>-783.522485675102 -19.4348262440822 -484.506270322469</f>
        <v>-1287.4635822416531</v>
      </c>
      <c r="H1925">
        <f>-784.251063739254 -25.7120649925209 -608.928283183887</f>
        <v>-1418.891411915662</v>
      </c>
      <c r="I1925">
        <f>-753.428275067007 -25.5214332742128 -686.096689962806</f>
        <v>-1465.0463983040258</v>
      </c>
      <c r="J1925" t="s">
        <v>24183</v>
      </c>
      <c r="K1925" t="s">
        <v>24184</v>
      </c>
      <c r="L1925" t="s">
        <v>24185</v>
      </c>
      <c r="M1925" t="s">
        <v>24186</v>
      </c>
      <c r="N1925">
        <f>-783.895245133198 -50.6235125894571 -552.780343244171</f>
        <v>-1387.2991009668262</v>
      </c>
      <c r="O1925">
        <f>-787.362540172023 -184.177068093203 -520.390477429995</f>
        <v>-1491.9300856952209</v>
      </c>
      <c r="P1925">
        <f>-753.976863530684 -224.129637996802 -230.769238155673</f>
        <v>-1208.8757396831591</v>
      </c>
      <c r="Q1925">
        <f>-630.522471147682 -181.817182758187 -433.30207646772</f>
        <v>-1245.6417303735889</v>
      </c>
      <c r="R1925" t="s">
        <v>24187</v>
      </c>
      <c r="S1925" t="s">
        <v>24188</v>
      </c>
      <c r="T1925" t="s">
        <v>24189</v>
      </c>
      <c r="U1925" t="s">
        <v>24190</v>
      </c>
      <c r="V1925">
        <f>-734.81420111939 -91.4415153823829 -91.2120057670026</f>
        <v>-917.46772226877545</v>
      </c>
      <c r="W1925" t="s">
        <v>24191</v>
      </c>
      <c r="X1925" t="s">
        <v>24192</v>
      </c>
      <c r="Y1925" t="s">
        <v>24193</v>
      </c>
    </row>
    <row r="1926" spans="1:25" x14ac:dyDescent="0.3">
      <c r="A1926">
        <v>96250</v>
      </c>
      <c r="B1926" t="s">
        <v>24194</v>
      </c>
      <c r="C1926" t="s">
        <v>24195</v>
      </c>
      <c r="D1926">
        <f>-766.301894264839 -5.10487214088994 -208.630263928655</f>
        <v>-980.03703033438399</v>
      </c>
      <c r="E1926">
        <f>-775.379100438184 -10.8210319236218 -306.668903598171</f>
        <v>-1092.8690359599768</v>
      </c>
      <c r="F1926">
        <f>-780.998353317774 -15.6706809126913 -395.455994308267</f>
        <v>-1192.1250285387323</v>
      </c>
      <c r="G1926">
        <f>-783.671298618436 -20.2469318736235 -484.395107421775</f>
        <v>-1288.3133379138344</v>
      </c>
      <c r="H1926">
        <f>-784.310489675132 -26.4167227986561 -608.82311108765</f>
        <v>-1419.5503235614381</v>
      </c>
      <c r="I1926">
        <f>-753.481680490859 -26.1603416207556 -685.988690443539</f>
        <v>-1465.6307125551537</v>
      </c>
      <c r="J1926" t="s">
        <v>24196</v>
      </c>
      <c r="K1926" t="s">
        <v>24197</v>
      </c>
      <c r="L1926" t="s">
        <v>24198</v>
      </c>
      <c r="M1926" t="s">
        <v>24199</v>
      </c>
      <c r="N1926">
        <f>-783.969738880623 -51.3767146484406 -552.696551807948</f>
        <v>-1388.0430053370117</v>
      </c>
      <c r="O1926">
        <f>-787.296950646154 -184.945132937925 -520.365710814168</f>
        <v>-1492.6077943982468</v>
      </c>
      <c r="P1926">
        <f>-754.199007144887 -225.758460971344 -230.831675787053</f>
        <v>-1210.789143903284</v>
      </c>
      <c r="Q1926">
        <f>-630.626580710115 -182.964429717071 -433.191258400679</f>
        <v>-1246.782268827865</v>
      </c>
      <c r="R1926" t="s">
        <v>24200</v>
      </c>
      <c r="S1926" t="s">
        <v>24201</v>
      </c>
      <c r="T1926" t="s">
        <v>24202</v>
      </c>
      <c r="U1926" t="s">
        <v>24203</v>
      </c>
      <c r="V1926">
        <f>-735.054923689282 -92.4281593655426 -91.1067492866237</f>
        <v>-918.58983234144819</v>
      </c>
      <c r="W1926" t="s">
        <v>24204</v>
      </c>
      <c r="X1926" t="s">
        <v>24205</v>
      </c>
      <c r="Y1926" t="s">
        <v>24206</v>
      </c>
    </row>
    <row r="1927" spans="1:25" x14ac:dyDescent="0.3">
      <c r="A1927">
        <v>96300</v>
      </c>
      <c r="B1927" t="s">
        <v>24207</v>
      </c>
      <c r="C1927" t="s">
        <v>24208</v>
      </c>
      <c r="D1927">
        <f>-766.981729957269 -7.3098997883119 -208.369529636152</f>
        <v>-982.66115938173289</v>
      </c>
      <c r="E1927">
        <f>-776.004885474238 -12.9290593220055 -306.418779380006</f>
        <v>-1095.3527241762495</v>
      </c>
      <c r="F1927">
        <f>-781.542833310642 -17.6534306262911 -395.217756271417</f>
        <v>-1194.4140202083499</v>
      </c>
      <c r="G1927">
        <f>-784.101059956547 -22.0655318724341 -484.168428449528</f>
        <v>-1290.3350202785091</v>
      </c>
      <c r="H1927">
        <f>-784.544362482389 -27.9647659925154 -608.610492740789</f>
        <v>-1421.1196212156933</v>
      </c>
      <c r="I1927">
        <f>-753.668457584186 -27.4500330615194 -685.756045188673</f>
        <v>-1466.8745358343785</v>
      </c>
      <c r="J1927" t="s">
        <v>24209</v>
      </c>
      <c r="K1927" t="s">
        <v>24210</v>
      </c>
      <c r="L1927" t="s">
        <v>24211</v>
      </c>
      <c r="M1927" t="s">
        <v>24212</v>
      </c>
      <c r="N1927">
        <f>-784.187616576036 -53.0463137095585 -552.5380947996</f>
        <v>-1389.7720250851944</v>
      </c>
      <c r="O1927">
        <f>-786.988872254019 -186.671327723703 -520.403245786944</f>
        <v>-1494.0634457646661</v>
      </c>
      <c r="P1927">
        <f>-753.885483047872 -229.707191678254 -231.191706372016</f>
        <v>-1214.7843810981419</v>
      </c>
      <c r="Q1927">
        <f>-630.521448937157 -184.253220406997 -433.097980639702</f>
        <v>-1247.8726499838558</v>
      </c>
      <c r="R1927" t="s">
        <v>24213</v>
      </c>
      <c r="S1927" t="s">
        <v>24214</v>
      </c>
      <c r="T1927" t="s">
        <v>24215</v>
      </c>
      <c r="U1927" t="s">
        <v>24216</v>
      </c>
      <c r="V1927">
        <f>-735.497416976663 -94.6222338465127 -90.9052198075836</f>
        <v>-921.02487063075932</v>
      </c>
      <c r="W1927" t="s">
        <v>24217</v>
      </c>
      <c r="X1927" t="s">
        <v>24218</v>
      </c>
      <c r="Y1927" t="s">
        <v>24219</v>
      </c>
    </row>
    <row r="1928" spans="1:25" x14ac:dyDescent="0.3">
      <c r="A1928">
        <v>96350</v>
      </c>
      <c r="B1928" t="s">
        <v>24220</v>
      </c>
      <c r="C1928">
        <f>-747.516264937297 -0.351549378584195 -94.4025138037058</f>
        <v>-842.27032811958702</v>
      </c>
      <c r="D1928">
        <f>-767.380307795284 -8.40908849879065 -208.230046339895</f>
        <v>-984.01944263396967</v>
      </c>
      <c r="E1928">
        <f>-776.379793166895 -13.9771387818325 -306.284547577036</f>
        <v>-1096.6414795257635</v>
      </c>
      <c r="F1928">
        <f>-781.876818689952 -18.6288431154583 -395.089782885617</f>
        <v>-1195.5954446910273</v>
      </c>
      <c r="G1928">
        <f>-784.374446952675 -22.9411770430588 -484.047085141583</f>
        <v>-1291.3627091373169</v>
      </c>
      <c r="H1928">
        <f>-784.711480409092 -28.6722534348007 -608.497456563466</f>
        <v>-1421.8811904073586</v>
      </c>
      <c r="I1928">
        <f>-753.794813582872 -27.9851234665848 -685.625305324916</f>
        <v>-1467.4052423743728</v>
      </c>
      <c r="J1928" t="s">
        <v>24221</v>
      </c>
      <c r="K1928" t="s">
        <v>24222</v>
      </c>
      <c r="L1928" t="s">
        <v>24223</v>
      </c>
      <c r="M1928" t="s">
        <v>24224</v>
      </c>
      <c r="N1928">
        <f>-784.327114152052 -53.8289508441587 -552.458888625138</f>
        <v>-1390.6149536213488</v>
      </c>
      <c r="O1928">
        <f>-786.727380111087 -187.501969228249 -520.459793540807</f>
        <v>-1494.689142880143</v>
      </c>
      <c r="P1928">
        <f>-753.35442093204 -231.846369463086 -231.477055955039</f>
        <v>-1216.6778463501651</v>
      </c>
      <c r="Q1928">
        <f>-630.074495977767 -184.508365705643 -433.001316378602</f>
        <v>-1247.5841780620119</v>
      </c>
      <c r="R1928" t="s">
        <v>24225</v>
      </c>
      <c r="S1928" t="s">
        <v>24226</v>
      </c>
      <c r="T1928" t="s">
        <v>24227</v>
      </c>
      <c r="U1928" t="s">
        <v>24228</v>
      </c>
      <c r="V1928">
        <f>-735.682986792747 -95.7163368170086 -90.788576338764</f>
        <v>-922.18789994851954</v>
      </c>
      <c r="W1928" t="s">
        <v>24229</v>
      </c>
      <c r="X1928" t="s">
        <v>24230</v>
      </c>
      <c r="Y1928" t="s">
        <v>24231</v>
      </c>
    </row>
    <row r="1929" spans="1:25" x14ac:dyDescent="0.3">
      <c r="A1929">
        <v>96400</v>
      </c>
      <c r="B1929" t="s">
        <v>24232</v>
      </c>
      <c r="C1929">
        <f>-748.132009959431 -2.58651793056924 -94.1878841976013</f>
        <v>-844.90641208760155</v>
      </c>
      <c r="D1929">
        <f>-768.015070821891 -10.6958320640013 -208.008478827722</f>
        <v>-986.71938171361421</v>
      </c>
      <c r="E1929">
        <f>-776.935494835637 -16.1616055214945 -306.075936880748</f>
        <v>-1099.1730372378795</v>
      </c>
      <c r="F1929">
        <f>-782.320368648021 -20.6650623429341 -394.895674423135</f>
        <v>-1197.8811054140901</v>
      </c>
      <c r="G1929">
        <f>-784.663992312041 -24.7712393162262 -483.867056162563</f>
        <v>-1293.3022877908302</v>
      </c>
      <c r="H1929">
        <f>-784.741126101055 -30.1531843090665 -608.3331994737</f>
        <v>-1423.2275098838215</v>
      </c>
      <c r="I1929">
        <f>-753.718971215128 -29.0665248867817 -685.414252333732</f>
        <v>-1468.1997484356416</v>
      </c>
      <c r="J1929">
        <f>-785.125961554343 -0.104812292484667 -554.758436023185</f>
        <v>-1339.9892098700127</v>
      </c>
      <c r="K1929" t="s">
        <v>24233</v>
      </c>
      <c r="L1929" t="s">
        <v>24234</v>
      </c>
      <c r="M1929" t="s">
        <v>24235</v>
      </c>
      <c r="N1929">
        <f>-784.288447834198 -55.4647632401782 -552.365080048122</f>
        <v>-1392.1182911224982</v>
      </c>
      <c r="O1929">
        <f>-785.701161256562 -189.217794543375 -520.658418531198</f>
        <v>-1495.5773743311352</v>
      </c>
      <c r="P1929">
        <f>-751.647933077719 -236.262074262275 -232.182378981179</f>
        <v>-1220.0923863211731</v>
      </c>
      <c r="Q1929">
        <f>-628.109882483733 -184.227346657907 -432.38637941116</f>
        <v>-1244.7236085528</v>
      </c>
      <c r="R1929" t="s">
        <v>24236</v>
      </c>
      <c r="S1929" t="s">
        <v>24237</v>
      </c>
      <c r="T1929" t="s">
        <v>24238</v>
      </c>
      <c r="U1929" t="s">
        <v>24239</v>
      </c>
      <c r="V1929">
        <f>-735.819955792654 -98.0420454526634 -90.5889499129554</f>
        <v>-924.4509511582728</v>
      </c>
      <c r="W1929" t="s">
        <v>24240</v>
      </c>
      <c r="X1929" t="s">
        <v>24241</v>
      </c>
      <c r="Y1929" t="s">
        <v>24242</v>
      </c>
    </row>
    <row r="1930" spans="1:25" x14ac:dyDescent="0.3">
      <c r="A1930">
        <v>96450</v>
      </c>
      <c r="B1930" t="s">
        <v>24243</v>
      </c>
      <c r="C1930">
        <f>-748.391417522642 -3.75787443859781 -94.0927382217737</f>
        <v>-846.24203018301353</v>
      </c>
      <c r="D1930">
        <f>-768.250696537998 -11.9045968867831 -207.914777893577</f>
        <v>-988.07007131835815</v>
      </c>
      <c r="E1930">
        <f>-777.129972707569 -17.3319554154898 -305.988032619933</f>
        <v>-1100.4499607429918</v>
      </c>
      <c r="F1930">
        <f>-782.468475190137 -21.7744552642553 -394.813810933586</f>
        <v>-1199.0567413879783</v>
      </c>
      <c r="G1930">
        <f>-784.755627463066 -25.7917063534298 -483.790558612084</f>
        <v>-1294.3378924285798</v>
      </c>
      <c r="H1930">
        <f>-784.742849656344 -31.0208630942252 -608.263329193369</f>
        <v>-1424.0270419439382</v>
      </c>
      <c r="I1930">
        <f>-753.684255396075 -29.7402626591122 -685.326686718732</f>
        <v>-1468.7512047739192</v>
      </c>
      <c r="J1930">
        <f>-785.25718396043 -1.03982696225034 -554.651851624654</f>
        <v>-1340.9488625473343</v>
      </c>
      <c r="K1930" t="s">
        <v>24244</v>
      </c>
      <c r="L1930" t="s">
        <v>24245</v>
      </c>
      <c r="M1930" t="s">
        <v>24246</v>
      </c>
      <c r="N1930">
        <f>-784.239800051071 -56.3996125514009 -552.326241919702</f>
        <v>-1392.965654522174</v>
      </c>
      <c r="O1930">
        <f>-785.143068314723 -190.19561006707 -520.769265880656</f>
        <v>-1496.1079442624491</v>
      </c>
      <c r="P1930">
        <f>-750.665497819425 -238.602604577761 -232.569243621325</f>
        <v>-1221.837346018511</v>
      </c>
      <c r="Q1930">
        <f>-626.785615708455 -184.257529338663 -431.946367824294</f>
        <v>-1242.989512871412</v>
      </c>
      <c r="R1930" t="s">
        <v>24247</v>
      </c>
      <c r="S1930" t="s">
        <v>24248</v>
      </c>
      <c r="T1930" t="s">
        <v>24249</v>
      </c>
      <c r="U1930" t="s">
        <v>24250</v>
      </c>
      <c r="V1930">
        <f>-735.872687341285 -99.1717160428907 -90.5121233003769</f>
        <v>-925.55652668455252</v>
      </c>
      <c r="W1930" t="s">
        <v>24251</v>
      </c>
      <c r="X1930" t="s">
        <v>24252</v>
      </c>
      <c r="Y1930" t="s">
        <v>24253</v>
      </c>
    </row>
    <row r="1931" spans="1:25" x14ac:dyDescent="0.3">
      <c r="A1931">
        <v>96500</v>
      </c>
      <c r="B1931" t="s">
        <v>24254</v>
      </c>
      <c r="C1931">
        <f>-748.809789981816 -5.74670911183944 -93.8911972452404</f>
        <v>-848.44769633889587</v>
      </c>
      <c r="D1931">
        <f>-768.59272332592 -13.9548622777322 -207.722163468315</f>
        <v>-990.26974907196723</v>
      </c>
      <c r="E1931">
        <f>-777.387398879413 -19.2895746920203 -305.808089096744</f>
        <v>-1102.4850626681773</v>
      </c>
      <c r="F1931">
        <f>-782.639413589807 -23.5932040260655 -394.645777795451</f>
        <v>-1200.8783954113235</v>
      </c>
      <c r="G1931">
        <f>-784.828796934431 -27.4137887141835 -483.63379735251</f>
        <v>-1295.8763830011244</v>
      </c>
      <c r="H1931">
        <f>-784.666865662143 -32.3068036115342 -608.120107870996</f>
        <v>-1425.0937771446731</v>
      </c>
      <c r="I1931">
        <f>-753.539304160098 -30.6141035294177 -685.147551805575</f>
        <v>-1469.3009594950906</v>
      </c>
      <c r="J1931">
        <f>-785.442552999335 -2.47487049118445 -554.428658408341</f>
        <v>-1342.3460818988606</v>
      </c>
      <c r="K1931" t="s">
        <v>24255</v>
      </c>
      <c r="L1931" t="s">
        <v>24256</v>
      </c>
      <c r="M1931" t="s">
        <v>24257</v>
      </c>
      <c r="N1931">
        <f>-784.033590499771 -57.8323473945402 -552.250942702876</f>
        <v>-1394.1168805971872</v>
      </c>
      <c r="O1931">
        <f>-783.905428436987 -191.708697897038 -521.025312562838</f>
        <v>-1496.6394388968631</v>
      </c>
      <c r="P1931">
        <f>-748.632108705449 -242.506640932202 -233.333546336428</f>
        <v>-1224.4722959740791</v>
      </c>
      <c r="Q1931">
        <f>-623.689570625548 -183.747139661839 -430.786185965094</f>
        <v>-1238.222896252481</v>
      </c>
      <c r="R1931" t="s">
        <v>24258</v>
      </c>
      <c r="S1931" t="s">
        <v>24259</v>
      </c>
      <c r="T1931" t="s">
        <v>24260</v>
      </c>
      <c r="U1931" t="s">
        <v>24261</v>
      </c>
      <c r="V1931">
        <f>-735.840570948443 -101.165593514856 -90.3603500493901</f>
        <v>-927.36651451268915</v>
      </c>
      <c r="W1931" t="s">
        <v>24262</v>
      </c>
      <c r="X1931" t="s">
        <v>24263</v>
      </c>
      <c r="Y1931" t="s">
        <v>24264</v>
      </c>
    </row>
    <row r="1932" spans="1:25" x14ac:dyDescent="0.3">
      <c r="A1932">
        <v>96550</v>
      </c>
      <c r="B1932" t="s">
        <v>24265</v>
      </c>
      <c r="C1932">
        <f>-748.991129491062 -6.64751431579384 -93.7902945419911</f>
        <v>-849.42893834884694</v>
      </c>
      <c r="D1932">
        <f>-768.755600856664 -14.8987625991174 -207.621342550095</f>
        <v>-991.27570600587637</v>
      </c>
      <c r="E1932">
        <f>-777.516247714141 -20.1817055869064 -305.713142103923</f>
        <v>-1103.4110954049704</v>
      </c>
      <c r="F1932">
        <f>-782.728468677893 -24.4044519189665 -394.557005994017</f>
        <v>-1201.6899265908764</v>
      </c>
      <c r="G1932">
        <f>-784.868720134329 -28.1090040658519 -483.551041125348</f>
        <v>-1296.5287653255289</v>
      </c>
      <c r="H1932">
        <f>-784.627723144662 -32.8021414189777 -608.044871666789</f>
        <v>-1425.4747362304288</v>
      </c>
      <c r="I1932">
        <f>-753.452939828656 -30.9007034422511 -685.048516111508</f>
        <v>-1469.402159382415</v>
      </c>
      <c r="J1932">
        <f>-785.530826674539 -3.05906530408606 -554.306358807249</f>
        <v>-1342.8962507858741</v>
      </c>
      <c r="K1932" t="s">
        <v>24266</v>
      </c>
      <c r="L1932" t="s">
        <v>24267</v>
      </c>
      <c r="M1932" t="s">
        <v>24268</v>
      </c>
      <c r="N1932">
        <f>-783.936723129403 -58.4148878643994 -552.216403245831</f>
        <v>-1394.5680142396334</v>
      </c>
      <c r="O1932">
        <f>-783.399529170652 -192.340492199677 -521.203873856873</f>
        <v>-1496.9438952272021</v>
      </c>
      <c r="P1932">
        <f>-747.75637419563 -243.81017997765 -233.676997456442</f>
        <v>-1225.2435516297219</v>
      </c>
      <c r="Q1932">
        <f>-622.106211860338 -183.198175557145 -430.118161482965</f>
        <v>-1235.422548900448</v>
      </c>
      <c r="R1932" t="s">
        <v>24269</v>
      </c>
      <c r="S1932" t="s">
        <v>24270</v>
      </c>
      <c r="T1932" t="s">
        <v>24271</v>
      </c>
      <c r="U1932" t="s">
        <v>24272</v>
      </c>
      <c r="V1932">
        <f>-735.758542274422 -102.043182876902 -90.2737375362897</f>
        <v>-928.07546268761371</v>
      </c>
      <c r="W1932" t="s">
        <v>24273</v>
      </c>
      <c r="X1932" t="s">
        <v>24274</v>
      </c>
      <c r="Y1932" t="s">
        <v>24275</v>
      </c>
    </row>
    <row r="1933" spans="1:25" x14ac:dyDescent="0.3">
      <c r="A1933">
        <v>96600</v>
      </c>
      <c r="B1933" t="s">
        <v>24276</v>
      </c>
      <c r="C1933">
        <f>-749.407311921835 -8.6283550775388 -93.5802892866346</f>
        <v>-851.61595628600844</v>
      </c>
      <c r="D1933">
        <f>-769.162291236803 -16.9667057271329 -207.406610261747</f>
        <v>-993.53560722568284</v>
      </c>
      <c r="E1933">
        <f>-777.855285025789 -22.1551346403508 -305.509556680072</f>
        <v>-1105.5199763462119</v>
      </c>
      <c r="F1933">
        <f>-782.979672778698 -26.226878583594 -394.365551952842</f>
        <v>-1203.572103315134</v>
      </c>
      <c r="G1933">
        <f>-785.004804381869 -29.7124602734809 -483.371154470182</f>
        <v>-1298.0884191255318</v>
      </c>
      <c r="H1933">
        <f>-784.572219487848 -34.0287897320911 -607.878190294717</f>
        <v>-1426.4791995146561</v>
      </c>
      <c r="I1933">
        <f>-753.290278778346 -31.7127863411833 -684.826789367359</f>
        <v>-1469.8298544868883</v>
      </c>
      <c r="J1933">
        <f>-785.736534210075 -4.45423658288246 -554.0514168194</f>
        <v>-1344.2421876123574</v>
      </c>
      <c r="K1933" t="s">
        <v>24277</v>
      </c>
      <c r="L1933" t="s">
        <v>24278</v>
      </c>
      <c r="M1933" t="s">
        <v>24279</v>
      </c>
      <c r="N1933">
        <f>-783.788630136467 -59.804541160584 -552.125951993545</f>
        <v>-1395.7191232905959</v>
      </c>
      <c r="O1933">
        <f>-782.437773444116 -193.7904733163 -521.427629167417</f>
        <v>-1497.655875927833</v>
      </c>
      <c r="P1933">
        <f>-746.256833493814 -246.537838283029 -234.19991534324</f>
        <v>-1226.994587120083</v>
      </c>
      <c r="Q1933">
        <f>-618.992723232356 -181.389496539845 -428.133793327905</f>
        <v>-1228.516013100106</v>
      </c>
      <c r="R1933" t="s">
        <v>24280</v>
      </c>
      <c r="S1933" t="s">
        <v>24281</v>
      </c>
      <c r="T1933" t="s">
        <v>24282</v>
      </c>
      <c r="U1933" t="s">
        <v>24283</v>
      </c>
      <c r="V1933">
        <f>-735.727285902337 -104.064418563433 -90.0894992583334</f>
        <v>-929.88120372410344</v>
      </c>
      <c r="W1933" t="s">
        <v>24284</v>
      </c>
      <c r="X1933" t="s">
        <v>24285</v>
      </c>
      <c r="Y1933" t="s">
        <v>24286</v>
      </c>
    </row>
    <row r="1934" spans="1:25" x14ac:dyDescent="0.3">
      <c r="A1934">
        <v>96650</v>
      </c>
      <c r="B1934" t="s">
        <v>24287</v>
      </c>
      <c r="C1934">
        <f>-749.567994669758 -9.54666067191079 -93.49556470936</f>
        <v>-852.61022005102882</v>
      </c>
      <c r="D1934">
        <f>-769.30156377768 -17.9502197109125 -207.320919748359</f>
        <v>-994.5727032369515</v>
      </c>
      <c r="E1934">
        <f>-777.960975750759 -23.1112102773016 -305.428030871209</f>
        <v>-1106.5002168992696</v>
      </c>
      <c r="F1934">
        <f>-783.048085022969 -27.1260836068107 -394.288916344559</f>
        <v>-1204.4630849743387</v>
      </c>
      <c r="G1934">
        <f>-785.027903504429 -30.5217138585617 -483.298909033612</f>
        <v>-1298.8485263966027</v>
      </c>
      <c r="H1934">
        <f>-784.523298269386 -34.6769137121717 -607.811173145054</f>
        <v>-1427.0113851266117</v>
      </c>
      <c r="I1934">
        <f>-753.187449748637 -32.1782656532876 -684.73214828747</f>
        <v>-1470.0978636893947</v>
      </c>
      <c r="J1934">
        <f>-785.799944177035 -5.17484709358155 -553.947304425585</f>
        <v>-1344.9220956962015</v>
      </c>
      <c r="K1934" t="s">
        <v>24288</v>
      </c>
      <c r="L1934" t="s">
        <v>24289</v>
      </c>
      <c r="M1934" t="s">
        <v>24290</v>
      </c>
      <c r="N1934">
        <f>-783.690826975013 -60.521824255781 -552.091821305321</f>
        <v>-1396.3044725361151</v>
      </c>
      <c r="O1934">
        <f>-781.993492730991 -194.539581644484 -521.545947578349</f>
        <v>-1498.0790219538239</v>
      </c>
      <c r="P1934">
        <f>-745.71410194229 -247.731486460665 -234.412476396161</f>
        <v>-1227.8580647991159</v>
      </c>
      <c r="Q1934">
        <f>-617.725390161748 -179.771463333338 -426.89924214365</f>
        <v>-1224.3960956387359</v>
      </c>
      <c r="R1934" t="s">
        <v>24291</v>
      </c>
      <c r="S1934" t="s">
        <v>24292</v>
      </c>
      <c r="T1934" t="s">
        <v>24293</v>
      </c>
      <c r="U1934" t="s">
        <v>24294</v>
      </c>
      <c r="V1934">
        <f>-735.676841052529 -104.903754059026 -89.9948363046433</f>
        <v>-930.57543141619828</v>
      </c>
      <c r="W1934" t="s">
        <v>24295</v>
      </c>
      <c r="X1934" t="s">
        <v>24296</v>
      </c>
      <c r="Y1934" t="s">
        <v>24297</v>
      </c>
    </row>
    <row r="1935" spans="1:25" x14ac:dyDescent="0.3">
      <c r="A1935">
        <v>96700</v>
      </c>
      <c r="B1935" t="s">
        <v>24298</v>
      </c>
      <c r="C1935">
        <f>-749.723077984484 -11.3622601836848 -93.3027487862879</f>
        <v>-854.38808695445675</v>
      </c>
      <c r="D1935">
        <f>-769.418971538731 -19.8655531272489 -207.127107759022</f>
        <v>-996.41163242500181</v>
      </c>
      <c r="E1935">
        <f>-778.020940167664 -24.9916442951337 -305.241354406636</f>
        <v>-1108.2539388694336</v>
      </c>
      <c r="F1935">
        <f>-783.044124562113 -28.9283261839366 -394.109192565977</f>
        <v>-1206.0816433120267</v>
      </c>
      <c r="G1935">
        <f>-784.947345539581 -32.1959699036565 -483.125719282358</f>
        <v>-1300.2690347255955</v>
      </c>
      <c r="H1935">
        <f>-784.322251981485 -36.1194769342228 -607.644917339808</f>
        <v>-1428.0866462555159</v>
      </c>
      <c r="I1935">
        <f>-752.879956750328 -33.2870781917688 -684.511048672078</f>
        <v>-1470.6780836141747</v>
      </c>
      <c r="J1935">
        <f>-785.818847334783 -6.72479279046229 -553.728222554874</f>
        <v>-1346.2718626801193</v>
      </c>
      <c r="K1935" t="s">
        <v>24299</v>
      </c>
      <c r="L1935" t="s">
        <v>24300</v>
      </c>
      <c r="M1935" t="s">
        <v>24301</v>
      </c>
      <c r="N1935">
        <f>-783.37576295395 -62.0610955457596 -551.972273552691</f>
        <v>-1397.4091320524008</v>
      </c>
      <c r="O1935">
        <f>-780.832874692621 -196.092106832472 -521.544325544112</f>
        <v>-1498.4693070692051</v>
      </c>
      <c r="P1935">
        <f>-744.787878517817 -250.021229285622 -234.518944017347</f>
        <v>-1229.328051820786</v>
      </c>
      <c r="Q1935">
        <f>-616.134732989551 -174.961194158994 -423.90018568568</f>
        <v>-1214.996112834225</v>
      </c>
      <c r="R1935" t="s">
        <v>24302</v>
      </c>
      <c r="S1935" t="s">
        <v>24303</v>
      </c>
      <c r="T1935" t="s">
        <v>24304</v>
      </c>
      <c r="U1935" t="s">
        <v>24305</v>
      </c>
      <c r="V1935">
        <f>-735.479511755527 -106.521349397459 -89.7897837020874</f>
        <v>-931.79064485507354</v>
      </c>
      <c r="W1935" t="s">
        <v>24306</v>
      </c>
      <c r="X1935" t="s">
        <v>24307</v>
      </c>
      <c r="Y1935" t="s">
        <v>24308</v>
      </c>
    </row>
    <row r="1936" spans="1:25" x14ac:dyDescent="0.3">
      <c r="A1936">
        <v>96750</v>
      </c>
      <c r="B1936" t="s">
        <v>24309</v>
      </c>
      <c r="C1936">
        <f>-749.771099695767 -12.2907634908483 -93.2174355757392</f>
        <v>-855.27929876235453</v>
      </c>
      <c r="D1936">
        <f>-769.46998092218 -20.8603721054212 -207.036405805169</f>
        <v>-997.36675883277019</v>
      </c>
      <c r="E1936">
        <f>-778.062672452941 -25.9880237893544 -305.151182884274</f>
        <v>-1109.2018791265696</v>
      </c>
      <c r="F1936">
        <f>-783.071880750631 -29.9049281506011 -394.020847484291</f>
        <v>-1206.997656385523</v>
      </c>
      <c r="G1936">
        <f>-784.955448939677 -33.1306627784845 -483.039328373555</f>
        <v>-1301.1254400917164</v>
      </c>
      <c r="H1936">
        <f>-784.295968685799 -36.9721458001579 -607.560875106355</f>
        <v>-1428.8289895923119</v>
      </c>
      <c r="I1936">
        <f>-752.792692758241 -33.9912342682053 -684.396352794894</f>
        <v>-1471.1802798213403</v>
      </c>
      <c r="J1936">
        <f>-785.887007685814 -7.61654467528047 -553.625508746747</f>
        <v>-1347.1290611078414</v>
      </c>
      <c r="K1936" t="s">
        <v>24310</v>
      </c>
      <c r="L1936" t="s">
        <v>24311</v>
      </c>
      <c r="M1936" t="s">
        <v>24312</v>
      </c>
      <c r="N1936">
        <f>-783.285237821525 -62.9468237502354 -551.904819500606</f>
        <v>-1398.1368810723664</v>
      </c>
      <c r="O1936">
        <f>-780.288275196693 -196.970926500189 -521.49889350557</f>
        <v>-1498.7580952024518</v>
      </c>
      <c r="P1936">
        <f>-744.513295552885 -250.859490983458 -234.432078128337</f>
        <v>-1229.8048646646801</v>
      </c>
      <c r="Q1936">
        <f>-615.354892077029 -172.394563055861 -422.081256143363</f>
        <v>-1209.8307112762532</v>
      </c>
      <c r="R1936" t="s">
        <v>24313</v>
      </c>
      <c r="S1936" t="s">
        <v>24314</v>
      </c>
      <c r="T1936" t="s">
        <v>24315</v>
      </c>
      <c r="U1936" t="s">
        <v>24316</v>
      </c>
      <c r="V1936">
        <f>-735.327449295562 -107.383360036579 -89.6932307230084</f>
        <v>-932.40404005514938</v>
      </c>
      <c r="W1936" t="s">
        <v>24317</v>
      </c>
      <c r="X1936" t="s">
        <v>24318</v>
      </c>
      <c r="Y1936" t="s">
        <v>24319</v>
      </c>
    </row>
    <row r="1937" spans="1:25" x14ac:dyDescent="0.3">
      <c r="A1937">
        <v>96800</v>
      </c>
      <c r="B1937" t="s">
        <v>24320</v>
      </c>
      <c r="C1937">
        <f>-749.738003449382 -14.0731191003363 -93.0909590793209</f>
        <v>-856.90208162903912</v>
      </c>
      <c r="D1937">
        <f>-769.480994618377 -22.8107729657247 -206.889318450634</f>
        <v>-999.1810860347357</v>
      </c>
      <c r="E1937">
        <f>-778.110340658238 -27.9426264513011 -305.000757256514</f>
        <v>-1111.0537243660531</v>
      </c>
      <c r="F1937">
        <f>-783.150038998343 -31.8102082292448 -393.870804894261</f>
        <v>-1208.8310521218489</v>
      </c>
      <c r="G1937">
        <f>-785.06020864403 -34.9316148233186 -482.892491495255</f>
        <v>-1302.8843149626036</v>
      </c>
      <c r="H1937">
        <f>-784.432923854433 -38.5691299554271 -607.420458349306</f>
        <v>-1430.4225121591662</v>
      </c>
      <c r="I1937">
        <f>-752.792043597722 -35.3348299543779 -684.189100647706</f>
        <v>-1472.3159741998061</v>
      </c>
      <c r="J1937">
        <f>-786.176956272501 -9.31034757146244 -553.437184859928</f>
        <v>-1348.9244887038915</v>
      </c>
      <c r="K1937" t="s">
        <v>24321</v>
      </c>
      <c r="L1937" t="s">
        <v>24322</v>
      </c>
      <c r="M1937" t="s">
        <v>24323</v>
      </c>
      <c r="N1937">
        <f>-783.241050957568 -64.6265110992756 -551.806467305974</f>
        <v>-1399.6740293628177</v>
      </c>
      <c r="O1937">
        <f>-779.311515182527 -198.635650319299 -521.399160116221</f>
        <v>-1499.3463256180471</v>
      </c>
      <c r="P1937">
        <f>-743.494170126032 -251.381778235372 -234.125538308832</f>
        <v>-1229.0014866702359</v>
      </c>
      <c r="Q1937">
        <f>-610.674671947012 -166.721414120398 -416.450782550623</f>
        <v>-1193.8468686180331</v>
      </c>
      <c r="R1937" t="s">
        <v>24324</v>
      </c>
      <c r="S1937" t="s">
        <v>24325</v>
      </c>
      <c r="T1937" t="s">
        <v>24326</v>
      </c>
      <c r="U1937" t="s">
        <v>24327</v>
      </c>
      <c r="V1937">
        <f>-734.725356273003 -108.970845771297 -89.5511959871168</f>
        <v>-933.24739803141676</v>
      </c>
      <c r="W1937" t="s">
        <v>24328</v>
      </c>
      <c r="X1937" t="s">
        <v>24329</v>
      </c>
      <c r="Y1937" t="s">
        <v>24330</v>
      </c>
    </row>
    <row r="1938" spans="1:25" x14ac:dyDescent="0.3">
      <c r="A1938">
        <v>96850</v>
      </c>
      <c r="B1938" t="s">
        <v>24331</v>
      </c>
      <c r="C1938">
        <f>-749.703679891663 -14.9542792586283 -93.0181705579229</f>
        <v>-857.67612970821415</v>
      </c>
      <c r="D1938">
        <f>-769.463880750607 -23.7502572459737 -206.809067697909</f>
        <v>-1000.0232056944897</v>
      </c>
      <c r="E1938">
        <f>-778.101133659344 -28.9025035197187 -304.918877117115</f>
        <v>-1111.9225142961777</v>
      </c>
      <c r="F1938">
        <f>-783.144954714146 -32.7782459437324 -393.788337115293</f>
        <v>-1209.7115377731714</v>
      </c>
      <c r="G1938">
        <f>-785.056174181416 -35.8954953012942 -482.809966339076</f>
        <v>-1303.7616358217863</v>
      </c>
      <c r="H1938">
        <f>-784.427083504161 -39.5138150290197 -607.338464897497</f>
        <v>-1431.2793634306777</v>
      </c>
      <c r="I1938">
        <f>-752.721236485632 -36.1718803491033 -684.075594910292</f>
        <v>-1472.9687117450271</v>
      </c>
      <c r="J1938">
        <f>-786.2835347728 -10.2693959294822 -553.351034756431</f>
        <v>-1349.9039654587132</v>
      </c>
      <c r="K1938" t="s">
        <v>24332</v>
      </c>
      <c r="L1938" t="s">
        <v>24333</v>
      </c>
      <c r="M1938" t="s">
        <v>24334</v>
      </c>
      <c r="N1938">
        <f>-783.124357947443 -65.5736030297251 -551.728288564269</f>
        <v>-1400.4262495414368</v>
      </c>
      <c r="O1938">
        <f>-778.549820424595 -199.540857016636 -521.258281947602</f>
        <v>-1499.348959388833</v>
      </c>
      <c r="P1938">
        <f>-743.171228816811 -252.01416056361 -233.880199223091</f>
        <v>-1229.065588603512</v>
      </c>
      <c r="Q1938">
        <f>-608.624077699937 -164.339409818482 -413.493800579621</f>
        <v>-1186.45728809804</v>
      </c>
      <c r="R1938" t="s">
        <v>24335</v>
      </c>
      <c r="S1938" t="s">
        <v>24336</v>
      </c>
      <c r="T1938" t="s">
        <v>24337</v>
      </c>
      <c r="U1938" t="s">
        <v>24338</v>
      </c>
      <c r="V1938">
        <f>-734.385348091607 -109.811548006031 -89.483356547855</f>
        <v>-933.68025264549306</v>
      </c>
      <c r="W1938" t="s">
        <v>24339</v>
      </c>
      <c r="X1938" t="s">
        <v>24340</v>
      </c>
      <c r="Y1938" t="s">
        <v>24341</v>
      </c>
    </row>
    <row r="1939" spans="1:25" x14ac:dyDescent="0.3">
      <c r="A1939">
        <v>96900</v>
      </c>
      <c r="B1939" t="s">
        <v>24342</v>
      </c>
      <c r="C1939">
        <f>-749.779785360653 -16.9249354313899 -92.9032580700379</f>
        <v>-859.60797886208081</v>
      </c>
      <c r="D1939">
        <f>-769.507566191863 -25.8952844001433 -206.686266200554</f>
        <v>-1002.0891167925603</v>
      </c>
      <c r="E1939">
        <f>-778.109553018232 -31.1472315252247 -304.793774355906</f>
        <v>-1114.0505588993626</v>
      </c>
      <c r="F1939">
        <f>-783.117663009165 -35.0961188076076 -393.662085654011</f>
        <v>-1211.8758674707835</v>
      </c>
      <c r="G1939">
        <f>-784.989466125942 -38.265656802618 -482.68271607136</f>
        <v>-1305.9378389999201</v>
      </c>
      <c r="H1939">
        <f>-784.301007044171 -41.9346866534547 -607.209363177538</f>
        <v>-1433.4450568751636</v>
      </c>
      <c r="I1939">
        <f>-752.451901856072 -38.3560444433624 -683.876515793055</f>
        <v>-1474.6844620924894</v>
      </c>
      <c r="J1939">
        <f>-786.421855272617 -12.6831161122107 -553.235838991485</f>
        <v>-1352.3408103763127</v>
      </c>
      <c r="K1939" t="s">
        <v>24343</v>
      </c>
      <c r="L1939" t="s">
        <v>24344</v>
      </c>
      <c r="M1939" t="s">
        <v>24345</v>
      </c>
      <c r="N1939">
        <f>-782.786036901904 -67.9572825046582 -551.58698470412</f>
        <v>-1402.3303041106824</v>
      </c>
      <c r="O1939">
        <f>-776.899940502349 -201.861836166725 -521.018087012613</f>
        <v>-1499.7798636816869</v>
      </c>
      <c r="P1939">
        <f>-742.89310200494 -253.490456504167 -233.321656893624</f>
        <v>-1229.705215402731</v>
      </c>
      <c r="Q1939">
        <f>-605.056505567582 -159.757781380387 -407.293315877874</f>
        <v>-1172.1076028258431</v>
      </c>
      <c r="R1939" t="s">
        <v>24346</v>
      </c>
      <c r="S1939" t="s">
        <v>24347</v>
      </c>
      <c r="T1939" t="s">
        <v>24348</v>
      </c>
      <c r="U1939" t="s">
        <v>24349</v>
      </c>
      <c r="V1939">
        <f>-733.994855730089 -111.727744821141 -89.3347004408414</f>
        <v>-935.0573009920713</v>
      </c>
      <c r="W1939" t="s">
        <v>24350</v>
      </c>
      <c r="X1939" t="s">
        <v>24351</v>
      </c>
      <c r="Y1939" t="s">
        <v>24352</v>
      </c>
    </row>
    <row r="1940" spans="1:25" x14ac:dyDescent="0.3">
      <c r="A1940">
        <v>96950</v>
      </c>
      <c r="B1940" t="s">
        <v>24353</v>
      </c>
      <c r="C1940">
        <f>-749.771300290391 -17.6342288169251 -92.8735933928043</f>
        <v>-860.27912250012037</v>
      </c>
      <c r="D1940">
        <f>-769.453654432078 -26.6901735338045 -206.657626527885</f>
        <v>-1002.8014544937674</v>
      </c>
      <c r="E1940">
        <f>-778.029522934978 -31.9847586246715 -304.765250797706</f>
        <v>-1114.7795323573555</v>
      </c>
      <c r="F1940">
        <f>-783.01840933959 -35.9608534615777 -393.633325256821</f>
        <v>-1212.6125880579887</v>
      </c>
      <c r="G1940">
        <f>-784.876020084875 -39.1442108779668 -482.653869865933</f>
        <v>-1306.6741008287747</v>
      </c>
      <c r="H1940">
        <f>-784.1728008946 -42.8179054238321 -607.180185764446</f>
        <v>-1434.1708920828783</v>
      </c>
      <c r="I1940">
        <f>-752.267682201046 -39.1126302886626 -683.818176295354</f>
        <v>-1475.1984887850626</v>
      </c>
      <c r="J1940">
        <f>-786.41544965703 -13.572064658131 -553.208374747217</f>
        <v>-1353.195889062378</v>
      </c>
      <c r="K1940" t="s">
        <v>24354</v>
      </c>
      <c r="L1940" t="s">
        <v>24355</v>
      </c>
      <c r="M1940" t="s">
        <v>24356</v>
      </c>
      <c r="N1940">
        <f>-782.549111077327 -68.8305189241742 -551.556351765101</f>
        <v>-1402.9359817666023</v>
      </c>
      <c r="O1940">
        <f>-776.071939262326 -202.678337197179 -520.881446895634</f>
        <v>-1499.631723355139</v>
      </c>
      <c r="P1940">
        <f>-742.64685535055 -253.469477006874 -232.967773294891</f>
        <v>-1229.084105652315</v>
      </c>
      <c r="Q1940">
        <f>-603.572285754513 -157.881702249408 -404.933303417436</f>
        <v>-1166.3872914213571</v>
      </c>
      <c r="R1940" t="s">
        <v>24357</v>
      </c>
      <c r="S1940" t="s">
        <v>24358</v>
      </c>
      <c r="T1940" t="s">
        <v>24359</v>
      </c>
      <c r="U1940" t="s">
        <v>24360</v>
      </c>
      <c r="V1940">
        <f>-733.705076847671 -112.364126373791 -89.281578812978</f>
        <v>-935.35078203443993</v>
      </c>
      <c r="W1940" t="s">
        <v>24361</v>
      </c>
      <c r="X1940" t="s">
        <v>24362</v>
      </c>
      <c r="Y1940" t="s">
        <v>24363</v>
      </c>
    </row>
    <row r="1941" spans="1:25" x14ac:dyDescent="0.3">
      <c r="A1941">
        <v>97000</v>
      </c>
      <c r="B1941" t="s">
        <v>24364</v>
      </c>
      <c r="C1941">
        <f>-749.785743721877 -18.9492615247348 -92.8800838241932</f>
        <v>-861.61508907080497</v>
      </c>
      <c r="D1941">
        <f>-769.383344011914 -28.2062438946978 -206.662537239749</f>
        <v>-1004.2521251463608</v>
      </c>
      <c r="E1941">
        <f>-777.889610337086 -33.6061365543603 -304.770389335587</f>
        <v>-1116.2661362270333</v>
      </c>
      <c r="F1941">
        <f>-782.816156137573 -37.6525702385759 -393.638802822349</f>
        <v>-1214.107529198498</v>
      </c>
      <c r="G1941">
        <f>-784.611515765423 -40.8782594635834 -482.659145234247</f>
        <v>-1308.1489204632533</v>
      </c>
      <c r="H1941">
        <f>-783.821497471123 -44.5801520065208 -607.184140298573</f>
        <v>-1435.5857897762169</v>
      </c>
      <c r="I1941">
        <f>-751.804580500904 -40.6611318127707 -683.764666595377</f>
        <v>-1476.2303789090515</v>
      </c>
      <c r="J1941">
        <f>-786.313499059346 -15.3377403315212 -553.221371012881</f>
        <v>-1354.8726104037482</v>
      </c>
      <c r="K1941" t="s">
        <v>24365</v>
      </c>
      <c r="L1941" t="s">
        <v>24366</v>
      </c>
      <c r="M1941" t="s">
        <v>24367</v>
      </c>
      <c r="N1941">
        <f>-782.025029574429 -70.5644915865155 -551.552372083434</f>
        <v>-1404.1418932443785</v>
      </c>
      <c r="O1941">
        <f>-774.434955128724 -204.306659779525 -520.671639277179</f>
        <v>-1499.4132541854281</v>
      </c>
      <c r="P1941">
        <f>-741.710646535817 -253.227292023086 -232.353951633286</f>
        <v>-1227.2918901921889</v>
      </c>
      <c r="Q1941">
        <f>-600.098062645214 -153.727673148899 -399.974163090665</f>
        <v>-1153.799898884778</v>
      </c>
      <c r="R1941" t="s">
        <v>24368</v>
      </c>
      <c r="S1941" t="s">
        <v>24369</v>
      </c>
      <c r="T1941" t="s">
        <v>24370</v>
      </c>
      <c r="U1941" t="s">
        <v>24371</v>
      </c>
      <c r="V1941">
        <f>-733.29573080975 -113.614628647998 -89.2015152030716</f>
        <v>-936.11187466081958</v>
      </c>
      <c r="W1941" t="s">
        <v>24372</v>
      </c>
      <c r="X1941" t="s">
        <v>24373</v>
      </c>
      <c r="Y1941" t="s">
        <v>24374</v>
      </c>
    </row>
    <row r="1942" spans="1:25" x14ac:dyDescent="0.3">
      <c r="A1942">
        <v>97050</v>
      </c>
      <c r="B1942" t="s">
        <v>24375</v>
      </c>
      <c r="C1942">
        <f>-749.743563933578 -19.3832100903314 -92.9029755121811</f>
        <v>-862.02974953609055</v>
      </c>
      <c r="D1942">
        <f>-769.310744917545 -28.7506549601781 -206.681595959484</f>
        <v>-1004.742995837207</v>
      </c>
      <c r="E1942">
        <f>-777.789644173204 -34.2065445840431 -304.788792956809</f>
        <v>-1116.7849817140561</v>
      </c>
      <c r="F1942">
        <f>-782.690270003725 -38.2892047633061 -393.65698342059</f>
        <v>-1214.636458187621</v>
      </c>
      <c r="G1942">
        <f>-784.458446642848 -41.5350452718671 -482.677050649263</f>
        <v>-1308.6705425639782</v>
      </c>
      <c r="H1942">
        <f>-783.629302886687 -45.2483413527198 -607.201546113647</f>
        <v>-1436.0791903530539</v>
      </c>
      <c r="I1942">
        <f>-751.560650395884 -41.2534161453268 -683.756531889705</f>
        <v>-1476.5705984309157</v>
      </c>
      <c r="J1942">
        <f>-786.242569343398 -16.0093187426346 -553.242642935873</f>
        <v>-1355.4945310219057</v>
      </c>
      <c r="K1942" t="s">
        <v>24376</v>
      </c>
      <c r="L1942" t="s">
        <v>24377</v>
      </c>
      <c r="M1942" t="s">
        <v>24378</v>
      </c>
      <c r="N1942">
        <f>-781.745662096359 -71.2191276663154 -551.566312655793</f>
        <v>-1404.5311024184675</v>
      </c>
      <c r="O1942">
        <f>-773.610020758163 -204.911442405001 -520.598585284756</f>
        <v>-1499.12004844792</v>
      </c>
      <c r="P1942">
        <f>-740.974270959454 -253.538115079893 -232.220956451454</f>
        <v>-1226.7333424908011</v>
      </c>
      <c r="Q1942">
        <f>-598.52748986439 -151.92429344481 -397.854379610495</f>
        <v>-1148.306162919695</v>
      </c>
      <c r="R1942" t="s">
        <v>24379</v>
      </c>
      <c r="S1942" t="s">
        <v>24380</v>
      </c>
      <c r="T1942" t="s">
        <v>24381</v>
      </c>
      <c r="U1942" t="s">
        <v>24382</v>
      </c>
      <c r="V1942">
        <f>-732.981682296733 -113.997597129221 -89.1807805790161</f>
        <v>-936.16006000497009</v>
      </c>
      <c r="W1942" t="s">
        <v>24383</v>
      </c>
      <c r="X1942" t="s">
        <v>24384</v>
      </c>
      <c r="Y1942" t="s">
        <v>24385</v>
      </c>
    </row>
    <row r="1943" spans="1:25" x14ac:dyDescent="0.3">
      <c r="A1943">
        <v>97100</v>
      </c>
      <c r="B1943" t="s">
        <v>24386</v>
      </c>
      <c r="C1943">
        <f>-749.504087276747 -20.1450967198166 -92.9675189558074</f>
        <v>-862.61670295237104</v>
      </c>
      <c r="D1943">
        <f>-769.011356293597 -29.7243034763658 -206.738909141456</f>
        <v>-1005.4745689114188</v>
      </c>
      <c r="E1943">
        <f>-777.44828901906 -35.2717459136122 -304.844360097934</f>
        <v>-1117.5643950306062</v>
      </c>
      <c r="F1943">
        <f>-782.313617621866 -39.4034801073362 -393.712341567072</f>
        <v>-1215.4294392962743</v>
      </c>
      <c r="G1943">
        <f>-784.048991087529 -42.6610917025653 -482.732656755966</f>
        <v>-1309.4427395460602</v>
      </c>
      <c r="H1943">
        <f>-783.175954166064 -46.3505804983142 -607.257556608515</f>
        <v>-1436.7840912728932</v>
      </c>
      <c r="I1943">
        <f>-751.022185153017 -42.1819214574987 -683.767586438273</f>
        <v>-1476.9716930487887</v>
      </c>
      <c r="J1943">
        <f>-786.021192236622 -17.1401848228484 -553.294858348259</f>
        <v>-1356.4562354077293</v>
      </c>
      <c r="K1943" t="s">
        <v>24387</v>
      </c>
      <c r="L1943" t="s">
        <v>24388</v>
      </c>
      <c r="M1943" t="s">
        <v>24389</v>
      </c>
      <c r="N1943">
        <f>-781.099049614117 -72.3138737264565 -551.625593753667</f>
        <v>-1405.0385170942404</v>
      </c>
      <c r="O1943">
        <f>-771.84324660384 -205.916437728963 -520.590946115558</f>
        <v>-1498.3506304483612</v>
      </c>
      <c r="P1943">
        <f>-739.403197769171 -254.893425880838 -232.250709292197</f>
        <v>-1226.5473329422059</v>
      </c>
      <c r="Q1943">
        <f>-596.159150341119 -148.406129847895 -394.091598250958</f>
        <v>-1138.6568784399719</v>
      </c>
      <c r="R1943" t="s">
        <v>24390</v>
      </c>
      <c r="S1943" t="s">
        <v>24391</v>
      </c>
      <c r="T1943" t="s">
        <v>24392</v>
      </c>
      <c r="U1943" t="s">
        <v>24393</v>
      </c>
      <c r="V1943">
        <f>-732.133350890223 -114.742335271069 -89.1524727131506</f>
        <v>-936.02815887444262</v>
      </c>
      <c r="W1943" t="s">
        <v>24394</v>
      </c>
      <c r="X1943" t="s">
        <v>24395</v>
      </c>
      <c r="Y1943" t="s">
        <v>24396</v>
      </c>
    </row>
    <row r="1944" spans="1:25" x14ac:dyDescent="0.3">
      <c r="A1944">
        <v>97150</v>
      </c>
      <c r="B1944" t="s">
        <v>24397</v>
      </c>
      <c r="C1944">
        <f>-749.351985314761 -20.4893770221822 -93.0230149993324</f>
        <v>-862.86437733627565</v>
      </c>
      <c r="D1944">
        <f>-768.832119931216 -30.1964478828845 -206.788260995616</f>
        <v>-1005.8168288097165</v>
      </c>
      <c r="E1944">
        <f>-777.271536598246 -35.7898361126797 -304.891037344928</f>
        <v>-1117.9524100558538</v>
      </c>
      <c r="F1944">
        <f>-782.148363625563 -39.9386554392985 -393.757344676697</f>
        <v>-1215.8443637415585</v>
      </c>
      <c r="G1944">
        <f>-783.904790953143 -43.1871588029012 -482.777757449279</f>
        <v>-1309.8697072053233</v>
      </c>
      <c r="H1944">
        <f>-783.070468734942 -46.8354855077025 -607.304019907799</f>
        <v>-1437.2099741504435</v>
      </c>
      <c r="I1944">
        <f>-750.881033494091 -42.5543240552122 -683.792750936206</f>
        <v>-1477.228108485509</v>
      </c>
      <c r="J1944">
        <f>-786.013623804173 -17.6532663220742 -553.331347638905</f>
        <v>-1356.9982377651522</v>
      </c>
      <c r="K1944" t="s">
        <v>24398</v>
      </c>
      <c r="L1944" t="s">
        <v>24399</v>
      </c>
      <c r="M1944" t="s">
        <v>24400</v>
      </c>
      <c r="N1944">
        <f>-780.861587832377 -72.8067612279019 -551.68087228535</f>
        <v>-1405.3492213456288</v>
      </c>
      <c r="O1944">
        <f>-770.988073906644 -206.350900060467 -520.621218090082</f>
        <v>-1497.9601920571931</v>
      </c>
      <c r="P1944">
        <f>-738.700301252911 -255.416242859984 -232.279001579633</f>
        <v>-1226.395545692528</v>
      </c>
      <c r="Q1944">
        <f>-595.469732419437 -146.636331014072 -392.599983510362</f>
        <v>-1134.7060469438711</v>
      </c>
      <c r="R1944" t="s">
        <v>24401</v>
      </c>
      <c r="S1944" t="s">
        <v>24402</v>
      </c>
      <c r="T1944" t="s">
        <v>24403</v>
      </c>
      <c r="U1944" t="s">
        <v>24404</v>
      </c>
      <c r="V1944">
        <f>-731.661585304444 -115.08581773327 -89.1500646279454</f>
        <v>-935.89746766565941</v>
      </c>
      <c r="W1944" t="s">
        <v>24405</v>
      </c>
      <c r="X1944" t="s">
        <v>24406</v>
      </c>
      <c r="Y1944" t="s">
        <v>24407</v>
      </c>
    </row>
    <row r="1945" spans="1:25" x14ac:dyDescent="0.3">
      <c r="A1945">
        <v>97200</v>
      </c>
      <c r="B1945" t="s">
        <v>24408</v>
      </c>
      <c r="C1945">
        <f>-749.125632399461 -21.0393804405646 -93.128682388982</f>
        <v>-863.29369522900765</v>
      </c>
      <c r="D1945">
        <f>-768.599977339319 -31.01372359731 -206.871722433746</f>
        <v>-1006.485423370375</v>
      </c>
      <c r="E1945">
        <f>-777.104361749692 -36.7239544099659 -304.962167575368</f>
        <v>-1118.7904837350259</v>
      </c>
      <c r="F1945">
        <f>-782.065710758309 -40.9375866838468 -393.820884743506</f>
        <v>-1216.8241821856618</v>
      </c>
      <c r="G1945">
        <f>-783.932146177067 -44.206615534865 -482.838174299771</f>
        <v>-1310.9769360117029</v>
      </c>
      <c r="H1945">
        <f>-783.277526884583 -47.8373009874463 -607.366041205086</f>
        <v>-1438.4808690771154</v>
      </c>
      <c r="I1945">
        <f>-751.03201719688 -43.3307532409751 -683.818248573258</f>
        <v>-1478.1810190111132</v>
      </c>
      <c r="J1945">
        <f>-786.369044556333 -18.6848799598981 -553.385624622823</f>
        <v>-1358.4395491390542</v>
      </c>
      <c r="K1945" t="s">
        <v>24409</v>
      </c>
      <c r="L1945" t="s">
        <v>24410</v>
      </c>
      <c r="M1945" t="s">
        <v>24411</v>
      </c>
      <c r="N1945">
        <f>-780.762233195525 -73.7943747044415 -551.749304223337</f>
        <v>-1406.3059121233036</v>
      </c>
      <c r="O1945">
        <f>-769.619592665881 -207.224626538886 -520.624492206239</f>
        <v>-1497.4687114110061</v>
      </c>
      <c r="P1945">
        <f>-737.493871699535 -255.030377429021 -232.05249272841</f>
        <v>-1224.576741856966</v>
      </c>
      <c r="Q1945">
        <f>-593.880824490993 -143.122006229925 -389.858309689328</f>
        <v>-1126.861140410246</v>
      </c>
      <c r="R1945" t="s">
        <v>24412</v>
      </c>
      <c r="S1945" t="s">
        <v>24413</v>
      </c>
      <c r="T1945" t="s">
        <v>24414</v>
      </c>
      <c r="U1945" t="s">
        <v>24415</v>
      </c>
      <c r="V1945">
        <f>-730.677869193232 -115.577932742895 -89.1738295780085</f>
        <v>-935.42963151413551</v>
      </c>
      <c r="W1945" t="s">
        <v>24416</v>
      </c>
      <c r="X1945" t="s">
        <v>24417</v>
      </c>
      <c r="Y1945" t="s">
        <v>24418</v>
      </c>
    </row>
    <row r="1946" spans="1:25" x14ac:dyDescent="0.3">
      <c r="A1946">
        <v>97250</v>
      </c>
      <c r="B1946" t="s">
        <v>24419</v>
      </c>
      <c r="C1946">
        <f>-748.892341106739 -21.290886402634 -93.1737632082077</f>
        <v>-863.35699071758063</v>
      </c>
      <c r="D1946">
        <f>-768.365454435806 -31.3847305046656 -206.906537046623</f>
        <v>-1006.6567219870947</v>
      </c>
      <c r="E1946">
        <f>-776.921906171933 -37.1608020926355 -304.988546080657</f>
        <v>-1119.0712543452255</v>
      </c>
      <c r="F1946">
        <f>-781.951179404439 -41.4215650544993 -393.841173439565</f>
        <v>-1217.2139178985033</v>
      </c>
      <c r="G1946">
        <f>-783.90605296611 -44.72359486289 -482.8553002086</f>
        <v>-1311.4849480375999</v>
      </c>
      <c r="H1946">
        <f>-783.395880959929 -48.3854192435308 -607.382979930944</f>
        <v>-1439.1642801344037</v>
      </c>
      <c r="I1946">
        <f>-751.151236029681 -43.7861022527579 -683.830090914769</f>
        <v>-1478.767429197208</v>
      </c>
      <c r="J1946">
        <f>-786.53692251381 -19.2310747773101 -553.406377968981</f>
        <v>-1359.1743752601012</v>
      </c>
      <c r="K1946" t="s">
        <v>24420</v>
      </c>
      <c r="L1946" t="s">
        <v>24421</v>
      </c>
      <c r="M1946" t="s">
        <v>24422</v>
      </c>
      <c r="N1946">
        <f>-780.703921513172 -74.3168209098258 -551.762779582862</f>
        <v>-1406.7835220058596</v>
      </c>
      <c r="O1946">
        <f>-768.917839141294 -207.676026443501 -520.57824695991</f>
        <v>-1497.172112544705</v>
      </c>
      <c r="P1946">
        <f>-736.739508478654 -254.848937129748 -231.908073625922</f>
        <v>-1223.4965192343241</v>
      </c>
      <c r="Q1946">
        <f>-593.073982950569 -141.57049403497 -388.685095074389</f>
        <v>-1123.3295720599281</v>
      </c>
      <c r="R1946" t="s">
        <v>24423</v>
      </c>
      <c r="S1946" t="s">
        <v>24424</v>
      </c>
      <c r="T1946" t="s">
        <v>24425</v>
      </c>
      <c r="U1946" t="s">
        <v>24426</v>
      </c>
      <c r="V1946">
        <f>-730.012646767278 -115.801931420055 -89.1894676267058</f>
        <v>-935.00404581403882</v>
      </c>
      <c r="W1946" t="s">
        <v>24427</v>
      </c>
      <c r="X1946" t="s">
        <v>24428</v>
      </c>
      <c r="Y1946" t="s">
        <v>24429</v>
      </c>
    </row>
    <row r="1947" spans="1:25" x14ac:dyDescent="0.3">
      <c r="A1947">
        <v>97300</v>
      </c>
      <c r="B1947" t="s">
        <v>24430</v>
      </c>
      <c r="C1947">
        <f>-748.463040450547 -22.0553681325457 -93.232841376752</f>
        <v>-863.75124995984481</v>
      </c>
      <c r="D1947">
        <f>-767.987416025095 -32.3710495886328 -206.936843471332</f>
        <v>-1007.2953090850597</v>
      </c>
      <c r="E1947">
        <f>-776.696806591427 -38.2636174731917 -304.998568577032</f>
        <v>-1119.9589926416509</v>
      </c>
      <c r="F1947">
        <f>-781.906259441619 -42.6036987988166 -393.836976800275</f>
        <v>-1218.3469350407106</v>
      </c>
      <c r="G1947">
        <f>-784.083479202613 -45.9554830877487 -482.844074523687</f>
        <v>-1312.8830368140489</v>
      </c>
      <c r="H1947">
        <f>-783.927845288607 -49.6549560015928 -607.371642287416</f>
        <v>-1440.9544435776158</v>
      </c>
      <c r="I1947">
        <f>-751.773175696721 -44.8928567787877 -683.846585219435</f>
        <v>-1480.5126176949439</v>
      </c>
      <c r="J1947">
        <f>-787.148030404077 -20.5100761453612 -553.3946096055</f>
        <v>-1361.052716154938</v>
      </c>
      <c r="K1947" t="s">
        <v>24431</v>
      </c>
      <c r="L1947" t="s">
        <v>24432</v>
      </c>
      <c r="M1947" t="s">
        <v>24433</v>
      </c>
      <c r="N1947">
        <f>-780.844655032621 -75.543931969893 -551.751730842007</f>
        <v>-1408.140317844521</v>
      </c>
      <c r="O1947">
        <f>-767.736710824236 -208.791640920402 -520.586907929785</f>
        <v>-1497.1152596744228</v>
      </c>
      <c r="P1947">
        <f>-735.440190327735 -255.176820681465 -231.802274344452</f>
        <v>-1222.419285353652</v>
      </c>
      <c r="Q1947">
        <f>-591.830600644854 -139.109518232036 -386.577873894922</f>
        <v>-1117.517992771812</v>
      </c>
      <c r="R1947" t="s">
        <v>24434</v>
      </c>
      <c r="S1947" t="s">
        <v>24435</v>
      </c>
      <c r="T1947" t="s">
        <v>24436</v>
      </c>
      <c r="U1947" t="s">
        <v>24437</v>
      </c>
      <c r="V1947">
        <f>-728.887642484444 -116.685901840707 -89.1961410023376</f>
        <v>-934.76968532748867</v>
      </c>
      <c r="W1947" t="s">
        <v>24438</v>
      </c>
      <c r="X1947" t="s">
        <v>24439</v>
      </c>
      <c r="Y1947" t="s">
        <v>24440</v>
      </c>
    </row>
    <row r="1948" spans="1:25" x14ac:dyDescent="0.3">
      <c r="A1948">
        <v>97350</v>
      </c>
      <c r="B1948" t="s">
        <v>24441</v>
      </c>
      <c r="C1948">
        <f>-748.10840608661 -22.8633309216254 -93.2628964608306</f>
        <v>-864.23463346906601</v>
      </c>
      <c r="D1948">
        <f>-767.687284464948 -33.3205595571776 -206.944555432224</f>
        <v>-1007.9523994543496</v>
      </c>
      <c r="E1948">
        <f>-776.559321732947 -39.2585289536962 -304.988981328129</f>
        <v>-1120.8068320147722</v>
      </c>
      <c r="F1948">
        <f>-781.961078770736 -43.6115970040657 -393.815221322961</f>
        <v>-1219.3878970977628</v>
      </c>
      <c r="G1948">
        <f>-784.375741743796 -46.9447754988166 -482.816920023479</f>
        <v>-1314.1374372660916</v>
      </c>
      <c r="H1948">
        <f>-784.599099081996 -50.583510264041 -607.346045391714</f>
        <v>-1442.5286547377509</v>
      </c>
      <c r="I1948">
        <f>-752.575179750988 -45.6843810738098 -683.867293260132</f>
        <v>-1482.1268540849298</v>
      </c>
      <c r="J1948">
        <f>-787.87074894859 -21.4904512011681 -553.344201097581</f>
        <v>-1362.7054012473391</v>
      </c>
      <c r="K1948" t="s">
        <v>24442</v>
      </c>
      <c r="L1948" t="s">
        <v>24443</v>
      </c>
      <c r="M1948" t="s">
        <v>24444</v>
      </c>
      <c r="N1948">
        <f>-781.130884723969 -76.4741474455836 -551.7496881254</f>
        <v>-1409.3547202949526</v>
      </c>
      <c r="O1948">
        <f>-766.799209873272 -209.619158391887 -520.688168531428</f>
        <v>-1497.1065367965871</v>
      </c>
      <c r="P1948">
        <f>-734.049855740243 -255.674590979208 -231.901749888903</f>
        <v>-1221.6261966083539</v>
      </c>
      <c r="Q1948">
        <f>-590.370923367269 -136.699265883801 -384.388146624061</f>
        <v>-1111.4583358751311</v>
      </c>
      <c r="R1948" t="s">
        <v>24445</v>
      </c>
      <c r="S1948" t="s">
        <v>24446</v>
      </c>
      <c r="T1948" t="s">
        <v>24447</v>
      </c>
      <c r="U1948" t="s">
        <v>24448</v>
      </c>
      <c r="V1948">
        <f>-727.955761258572 -117.591947602612 -89.2026137789421</f>
        <v>-934.75032264012611</v>
      </c>
      <c r="W1948" t="s">
        <v>24449</v>
      </c>
      <c r="X1948" t="s">
        <v>24450</v>
      </c>
      <c r="Y1948" t="s">
        <v>24451</v>
      </c>
    </row>
    <row r="1949" spans="1:25" x14ac:dyDescent="0.3">
      <c r="A1949">
        <v>97400</v>
      </c>
      <c r="B1949" t="s">
        <v>24452</v>
      </c>
      <c r="C1949">
        <f>-747.918121768871 -23.2487179613463 -93.2466363005954</f>
        <v>-864.4134760308126</v>
      </c>
      <c r="D1949">
        <f>-767.518819591385 -33.7517668041894 -206.920366306773</f>
        <v>-1008.1909527023473</v>
      </c>
      <c r="E1949">
        <f>-776.463322535333 -39.6775010977819 -304.958771142217</f>
        <v>-1121.099594775332</v>
      </c>
      <c r="F1949">
        <f>-781.951787554179 -43.9994196895939 -393.78139777947</f>
        <v>-1219.7326050232427</v>
      </c>
      <c r="G1949">
        <f>-784.47418128653 -47.2791555580063 -482.781980745327</f>
        <v>-1314.5353175898633</v>
      </c>
      <c r="H1949">
        <f>-784.86988821455 -50.8189085200772 -607.313731394893</f>
        <v>-1443.0025281295202</v>
      </c>
      <c r="I1949">
        <f>-752.90551202616 -45.8479631043431 -683.855178305509</f>
        <v>-1482.608653436012</v>
      </c>
      <c r="J1949">
        <f>-788.161629188596 -21.7804826831946 -553.283704582035</f>
        <v>-1363.2258164538257</v>
      </c>
      <c r="K1949" t="s">
        <v>24453</v>
      </c>
      <c r="L1949" t="s">
        <v>24454</v>
      </c>
      <c r="M1949" t="s">
        <v>24455</v>
      </c>
      <c r="N1949">
        <f>-781.229869211614 -76.741769006471 -551.743361563902</f>
        <v>-1409.714999781987</v>
      </c>
      <c r="O1949">
        <f>-766.373720921618 -209.849366628101 -520.78221000367</f>
        <v>-1497.005297553389</v>
      </c>
      <c r="P1949">
        <f>-733.367881016296 -255.871339718316 -232.019621263414</f>
        <v>-1221.2588419980259</v>
      </c>
      <c r="Q1949">
        <f>-589.4866502937 -135.509189075977 -383.221643245221</f>
        <v>-1108.217482614898</v>
      </c>
      <c r="R1949" t="s">
        <v>24456</v>
      </c>
      <c r="S1949" t="s">
        <v>24457</v>
      </c>
      <c r="T1949" t="s">
        <v>24458</v>
      </c>
      <c r="U1949" t="s">
        <v>24459</v>
      </c>
      <c r="V1949">
        <f>-727.541959030703 -118.02678211395 -89.1991880059069</f>
        <v>-934.76792915055989</v>
      </c>
      <c r="W1949" t="s">
        <v>24460</v>
      </c>
      <c r="X1949" t="s">
        <v>24461</v>
      </c>
      <c r="Y1949" t="s">
        <v>24462</v>
      </c>
    </row>
    <row r="1950" spans="1:25" x14ac:dyDescent="0.3">
      <c r="A1950">
        <v>97450</v>
      </c>
      <c r="B1950" t="s">
        <v>24463</v>
      </c>
      <c r="C1950">
        <f>-747.657728890496 -23.5463178892635 -93.2318533648594</f>
        <v>-864.43590014461881</v>
      </c>
      <c r="D1950">
        <f>-767.280341015109 -34.0949303214945 -206.89759626528</f>
        <v>-1008.2728676018835</v>
      </c>
      <c r="E1950">
        <f>-776.295674998478 -39.9980644910074 -304.930901097349</f>
        <v>-1121.2246405868345</v>
      </c>
      <c r="F1950">
        <f>-781.868546753355 -44.2744717303588 -393.750345393751</f>
        <v>-1219.8933638774647</v>
      </c>
      <c r="G1950">
        <f>-784.49589060609 -47.481552552332 -482.750623167252</f>
        <v>-1314.728066325674</v>
      </c>
      <c r="H1950">
        <f>-785.059200752074 -50.8911444913201 -607.285315195914</f>
        <v>-1443.235660439308</v>
      </c>
      <c r="I1950">
        <f>-753.154525799156 -45.8428305913956 -683.846480261664</f>
        <v>-1482.8438366522155</v>
      </c>
      <c r="J1950">
        <f>-788.365118867495 -21.9203830547676 -553.219785704872</f>
        <v>-1363.5052876271347</v>
      </c>
      <c r="K1950" t="s">
        <v>24464</v>
      </c>
      <c r="L1950" t="s">
        <v>24465</v>
      </c>
      <c r="M1950" t="s">
        <v>24466</v>
      </c>
      <c r="N1950">
        <f>-781.257699575036 -76.8610922490084 -551.747784477157</f>
        <v>-1409.8665763012013</v>
      </c>
      <c r="O1950">
        <f>-765.925179016264 -209.948027494961 -520.890775944502</f>
        <v>-1496.763982455727</v>
      </c>
      <c r="P1950">
        <f>-732.693650530895 -255.805996903509 -232.128103261009</f>
        <v>-1220.6277506954129</v>
      </c>
      <c r="Q1950">
        <f>-588.614507319276 -134.145528040617 -382.097318468577</f>
        <v>-1104.85735382847</v>
      </c>
      <c r="R1950" t="s">
        <v>24467</v>
      </c>
      <c r="S1950" t="s">
        <v>24468</v>
      </c>
      <c r="T1950" t="s">
        <v>24469</v>
      </c>
      <c r="U1950" t="s">
        <v>24470</v>
      </c>
      <c r="V1950">
        <f>-727.077164174549 -118.213363225035 -89.1981063028855</f>
        <v>-934.48863370246954</v>
      </c>
      <c r="W1950" t="s">
        <v>24471</v>
      </c>
      <c r="X1950" t="s">
        <v>24472</v>
      </c>
      <c r="Y1950" t="s">
        <v>24473</v>
      </c>
    </row>
    <row r="1951" spans="1:25" x14ac:dyDescent="0.3">
      <c r="A1951">
        <v>97500</v>
      </c>
      <c r="B1951" t="s">
        <v>24474</v>
      </c>
      <c r="C1951">
        <f>-747.151511677353 -24.1715306151652 -93.1867505563699</f>
        <v>-864.5097928488882</v>
      </c>
      <c r="D1951">
        <f>-766.785076348707 -34.7472691051389 -206.848027468275</f>
        <v>-1008.3803729221208</v>
      </c>
      <c r="E1951">
        <f>-775.931962459292 -40.5699682549416 -304.873934073959</f>
        <v>-1121.3758647881925</v>
      </c>
      <c r="F1951">
        <f>-781.672163891677 -44.7306225941106 -393.688280160553</f>
        <v>-1220.0910666463406</v>
      </c>
      <c r="G1951">
        <f>-784.51528225947 -47.7753492801478 -482.687669645697</f>
        <v>-1314.9783011853149</v>
      </c>
      <c r="H1951">
        <f>-785.430982013812 -50.9066705919111 -607.227471268575</f>
        <v>-1443.565123874298</v>
      </c>
      <c r="I1951">
        <f>-753.607952770041 -45.705505001408 -683.812484935742</f>
        <v>-1483.1259427071909</v>
      </c>
      <c r="J1951">
        <f>-788.726891756889 -22.0755901566845 -553.086794689636</f>
        <v>-1363.8892766032095</v>
      </c>
      <c r="K1951" t="s">
        <v>24475</v>
      </c>
      <c r="L1951" t="s">
        <v>24476</v>
      </c>
      <c r="M1951" t="s">
        <v>24477</v>
      </c>
      <c r="N1951">
        <f>-781.329277042661 -76.9817794312992 -551.760664316375</f>
        <v>-1410.0717207903353</v>
      </c>
      <c r="O1951">
        <f>-765.20455185059 -210.017980818806 -521.132830822806</f>
        <v>-1496.3553634922018</v>
      </c>
      <c r="P1951">
        <f>-731.460971858595 -255.773584406719 -232.413152978542</f>
        <v>-1219.6477092438561</v>
      </c>
      <c r="Q1951">
        <f>-586.818329138339 -131.325790891283 -379.525781433202</f>
        <v>-1097.6699014628239</v>
      </c>
      <c r="R1951" t="s">
        <v>24478</v>
      </c>
      <c r="S1951" t="s">
        <v>24479</v>
      </c>
      <c r="T1951" t="s">
        <v>24480</v>
      </c>
      <c r="U1951" t="s">
        <v>24481</v>
      </c>
      <c r="V1951">
        <f>-726.341434440156 -118.755428386977 -89.1910325318685</f>
        <v>-934.28789535900148</v>
      </c>
      <c r="W1951" t="s">
        <v>24482</v>
      </c>
      <c r="X1951" t="s">
        <v>24483</v>
      </c>
      <c r="Y1951" t="s">
        <v>24484</v>
      </c>
    </row>
    <row r="1952" spans="1:25" x14ac:dyDescent="0.3">
      <c r="A1952">
        <v>97550</v>
      </c>
      <c r="B1952" t="s">
        <v>24485</v>
      </c>
      <c r="C1952">
        <f>-746.897822718972 -24.47844146901 -93.1603264927563</f>
        <v>-864.5365906807383</v>
      </c>
      <c r="D1952">
        <f>-766.528210902937 -35.0565989298254 -206.822082980647</f>
        <v>-1008.4068928134094</v>
      </c>
      <c r="E1952">
        <f>-775.736821915204 -40.8414553331741 -304.844435148147</f>
        <v>-1121.4227123965252</v>
      </c>
      <c r="F1952">
        <f>-781.558776784148 -44.9509767542256 -393.655706660415</f>
        <v>-1220.1654601987887</v>
      </c>
      <c r="G1952">
        <f>-784.509677988324 -47.925810398357 -482.654013638662</f>
        <v>-1315.0895020253431</v>
      </c>
      <c r="H1952">
        <f>-785.603286961932 -50.9382895690305 -607.195264936398</f>
        <v>-1443.7368414673606</v>
      </c>
      <c r="I1952">
        <f>-753.781626401963 -45.6742912680184 -683.776633054795</f>
        <v>-1483.2325507247763</v>
      </c>
      <c r="J1952">
        <f>-788.886715624968 -22.1678050051521 -553.021655915928</f>
        <v>-1364.0761765460481</v>
      </c>
      <c r="K1952" t="s">
        <v>24486</v>
      </c>
      <c r="L1952" t="s">
        <v>24487</v>
      </c>
      <c r="M1952" t="s">
        <v>24488</v>
      </c>
      <c r="N1952">
        <f>-781.357298061825 -77.0573726383277 -551.760039056361</f>
        <v>-1410.1747097565137</v>
      </c>
      <c r="O1952">
        <f>-764.894625832274 -210.071964334506 -521.20379967255</f>
        <v>-1496.1703898393298</v>
      </c>
      <c r="P1952">
        <f>-730.981232731546 -255.615970908126 -232.470662656437</f>
        <v>-1219.0678662961091</v>
      </c>
      <c r="Q1952">
        <f>-585.643849193998 -129.916108513491 -377.823620450538</f>
        <v>-1093.3835781580269</v>
      </c>
      <c r="R1952" t="s">
        <v>24489</v>
      </c>
      <c r="S1952" t="s">
        <v>24490</v>
      </c>
      <c r="T1952" t="s">
        <v>24491</v>
      </c>
      <c r="U1952" t="s">
        <v>24492</v>
      </c>
      <c r="V1952">
        <f>-725.992951076015 -119.065889953874 -89.1792580774534</f>
        <v>-934.23809910734235</v>
      </c>
      <c r="W1952" t="s">
        <v>24493</v>
      </c>
      <c r="X1952" t="s">
        <v>24494</v>
      </c>
      <c r="Y1952" t="s">
        <v>24495</v>
      </c>
    </row>
    <row r="1953" spans="1:25" x14ac:dyDescent="0.3">
      <c r="A1953">
        <v>97600</v>
      </c>
      <c r="B1953" t="s">
        <v>24496</v>
      </c>
      <c r="C1953">
        <f>-746.468573572284 -24.9424775189339 -93.0966144691708</f>
        <v>-864.50766556038866</v>
      </c>
      <c r="D1953">
        <f>-766.084532976345 -35.5291278553996 -206.7600728879</f>
        <v>-1008.3737337196446</v>
      </c>
      <c r="E1953">
        <f>-775.379953480637 -41.2761298912758 -304.77640602806</f>
        <v>-1121.4324893999728</v>
      </c>
      <c r="F1953">
        <f>-781.320286424688 -45.3320048271048 -393.582407122771</f>
        <v>-1220.2346983745638</v>
      </c>
      <c r="G1953">
        <f>-784.430416201924 -48.2303742272982 -482.577750007747</f>
        <v>-1315.2385404369693</v>
      </c>
      <c r="H1953">
        <f>-785.789429414835 -51.1106546979995 -607.119552467859</f>
        <v>-1444.0196365806935</v>
      </c>
      <c r="I1953">
        <f>-753.880760145859 -45.7528292202674 -683.658234219243</f>
        <v>-1483.2918235853695</v>
      </c>
      <c r="J1953">
        <f>-789.086729160847 -22.4157354383894 -552.906593150375</f>
        <v>-1364.4090577496113</v>
      </c>
      <c r="K1953" t="s">
        <v>24497</v>
      </c>
      <c r="L1953" t="s">
        <v>24498</v>
      </c>
      <c r="M1953" t="s">
        <v>24499</v>
      </c>
      <c r="N1953">
        <f>-781.295971109507 -77.270776417751 -551.723005952792</f>
        <v>-1410.28975348005</v>
      </c>
      <c r="O1953">
        <f>-764.140617771411 -210.211439289353 -521.244213598056</f>
        <v>-1495.5962706588202</v>
      </c>
      <c r="P1953">
        <f>-730.569019809027 -255.09448214931 -232.367674155072</f>
        <v>-1218.0311761134089</v>
      </c>
      <c r="Q1953">
        <f>-583.383673123431 -127.542326156947 -374.204819227054</f>
        <v>-1085.130818507432</v>
      </c>
      <c r="R1953" t="s">
        <v>24500</v>
      </c>
      <c r="S1953" t="s">
        <v>24501</v>
      </c>
      <c r="T1953" t="s">
        <v>24502</v>
      </c>
      <c r="U1953" t="s">
        <v>24503</v>
      </c>
      <c r="V1953">
        <f>-725.297742294033 -119.319910539848 -89.1644213706858</f>
        <v>-933.78207420456681</v>
      </c>
      <c r="W1953" t="s">
        <v>24504</v>
      </c>
      <c r="X1953" t="s">
        <v>24505</v>
      </c>
      <c r="Y1953" t="s">
        <v>24506</v>
      </c>
    </row>
    <row r="1954" spans="1:25" x14ac:dyDescent="0.3">
      <c r="A1954">
        <v>97650</v>
      </c>
      <c r="B1954" t="s">
        <v>24507</v>
      </c>
      <c r="C1954">
        <f>-746.26402445085 -25.2360496453857 -93.0637895380656</f>
        <v>-864.56386363430136</v>
      </c>
      <c r="D1954">
        <f>-765.88804295194 -35.8527000934873 -206.722996182326</f>
        <v>-1008.4637392277533</v>
      </c>
      <c r="E1954">
        <f>-775.233694122551 -41.6100943734286 -304.734021549559</f>
        <v>-1121.5778100455386</v>
      </c>
      <c r="F1954">
        <f>-781.236970160831 -45.6694651052851 -393.535660836694</f>
        <v>-1220.44209610281</v>
      </c>
      <c r="G1954">
        <f>-784.427539423223 -48.5642146380437 -482.528159154404</f>
        <v>-1315.5199132156708</v>
      </c>
      <c r="H1954">
        <f>-785.917394605522 -51.4313198050033 -607.068888020055</f>
        <v>-1444.4176024305802</v>
      </c>
      <c r="I1954">
        <f>-753.929551081839 -46.0341773928012 -683.571709433839</f>
        <v>-1483.5354379084793</v>
      </c>
      <c r="J1954">
        <f>-789.217238225323 -22.7505435122248 -552.848530226226</f>
        <v>-1364.8163119637738</v>
      </c>
      <c r="K1954" t="s">
        <v>24508</v>
      </c>
      <c r="L1954" t="s">
        <v>24509</v>
      </c>
      <c r="M1954" t="s">
        <v>24510</v>
      </c>
      <c r="N1954">
        <f>-781.30620171538 -77.5886555744528 -551.68079979506</f>
        <v>-1410.5756570848928</v>
      </c>
      <c r="O1954">
        <f>-763.838337705034 -210.48667345601 -521.196374309495</f>
        <v>-1495.5213854705389</v>
      </c>
      <c r="P1954">
        <f>-730.645854707384 -254.940346373662 -232.209550097511</f>
        <v>-1217.7957511785571</v>
      </c>
      <c r="Q1954">
        <f>-582.407844861998 -126.738538994482 -372.354712485666</f>
        <v>-1081.501096342146</v>
      </c>
      <c r="R1954" t="s">
        <v>24511</v>
      </c>
      <c r="S1954" t="s">
        <v>24512</v>
      </c>
      <c r="T1954" t="s">
        <v>24513</v>
      </c>
      <c r="U1954" t="s">
        <v>24514</v>
      </c>
      <c r="V1954">
        <f>-724.966865262213 -119.535076318218 -89.156862801602</f>
        <v>-933.65880438203294</v>
      </c>
      <c r="W1954" t="s">
        <v>24515</v>
      </c>
      <c r="X1954" t="s">
        <v>24516</v>
      </c>
      <c r="Y1954" t="s">
        <v>24517</v>
      </c>
    </row>
    <row r="1955" spans="1:25" x14ac:dyDescent="0.3">
      <c r="A1955">
        <v>97700</v>
      </c>
      <c r="B1955" t="s">
        <v>24518</v>
      </c>
      <c r="C1955">
        <f>-745.896344439703 -25.5662188710287 -93.0382150119582</f>
        <v>-864.50077832268983</v>
      </c>
      <c r="D1955">
        <f>-765.653857892182 -36.3609077756732 -206.657437776241</f>
        <v>-1008.6722034440963</v>
      </c>
      <c r="E1955">
        <f>-775.146443444049 -42.2302319407972 -304.647645233541</f>
        <v>-1122.0243206183873</v>
      </c>
      <c r="F1955">
        <f>-781.29377649876 -46.3782042996263 -393.435367886371</f>
        <v>-1221.1073486847574</v>
      </c>
      <c r="G1955">
        <f>-784.639816962268 -49.3475612588702 -482.419757054803</f>
        <v>-1316.4071352759411</v>
      </c>
      <c r="H1955">
        <f>-786.358011822231 -52.304743940726 -606.955439783725</f>
        <v>-1445.6181955466818</v>
      </c>
      <c r="I1955">
        <f>-754.147242208709 -46.8623702406383 -683.361468280886</f>
        <v>-1484.3710807302332</v>
      </c>
      <c r="J1955">
        <f>-789.673186503818 -23.6015532554845 -552.747922491053</f>
        <v>-1366.0226622503556</v>
      </c>
      <c r="K1955" t="s">
        <v>24519</v>
      </c>
      <c r="L1955" t="s">
        <v>24520</v>
      </c>
      <c r="M1955" t="s">
        <v>24521</v>
      </c>
      <c r="N1955">
        <f>-781.530621150102 -78.405262587846 -551.558943352049</f>
        <v>-1411.494827089997</v>
      </c>
      <c r="O1955">
        <f>-763.423301444846 -211.18794393383 -520.924225509073</f>
        <v>-1495.5354708877489</v>
      </c>
      <c r="P1955">
        <f>-731.011122694098 -254.04145762892 -231.607458247942</f>
        <v>-1216.6600385709601</v>
      </c>
      <c r="Q1955">
        <f>-580.75835576658 -124.929038816448 -368.738428768911</f>
        <v>-1074.425823351939</v>
      </c>
      <c r="R1955" t="s">
        <v>24522</v>
      </c>
      <c r="S1955" t="s">
        <v>24523</v>
      </c>
      <c r="T1955" t="s">
        <v>24524</v>
      </c>
      <c r="U1955" t="s">
        <v>24525</v>
      </c>
      <c r="V1955">
        <f>-724.310425080381 -119.559054047811 -89.1525185166653</f>
        <v>-933.02199764485738</v>
      </c>
      <c r="W1955" t="s">
        <v>24526</v>
      </c>
      <c r="X1955" t="s">
        <v>24527</v>
      </c>
      <c r="Y1955" t="s">
        <v>24528</v>
      </c>
    </row>
    <row r="1956" spans="1:25" x14ac:dyDescent="0.3">
      <c r="A1956">
        <v>97750</v>
      </c>
      <c r="B1956" t="s">
        <v>24529</v>
      </c>
      <c r="C1956">
        <f>-745.893585467298 -25.616342128618 -93.0651894645316</f>
        <v>-864.57511706044761</v>
      </c>
      <c r="D1956">
        <f>-765.821642500049 -36.5773329629531 -206.638716317782</f>
        <v>-1009.0376917807841</v>
      </c>
      <c r="E1956">
        <f>-775.43039725525 -42.5494988971798 -304.611479817416</f>
        <v>-1122.5913759698458</v>
      </c>
      <c r="F1956">
        <f>-781.669373660384 -46.7776939360199 -393.38891020304</f>
        <v>-1221.835977799444</v>
      </c>
      <c r="G1956">
        <f>-785.092560753122 -49.8146352546576 -482.368098525506</f>
        <v>-1317.2752945332857</v>
      </c>
      <c r="H1956">
        <f>-786.903666597406 -52.853826931844 -606.90048759227</f>
        <v>-1446.6579811215199</v>
      </c>
      <c r="I1956">
        <f>-754.565509584715 -47.4061695380046 -683.252327170184</f>
        <v>-1485.2240062929036</v>
      </c>
      <c r="J1956">
        <f>-790.245970876724 -24.1251418289669 -552.708283887522</f>
        <v>-1367.079396593213</v>
      </c>
      <c r="K1956" t="s">
        <v>24530</v>
      </c>
      <c r="L1956" t="s">
        <v>24531</v>
      </c>
      <c r="M1956" t="s">
        <v>24532</v>
      </c>
      <c r="N1956">
        <f>-781.967428795862 -78.9078641170827 -551.49157953966</f>
        <v>-1412.3668724526046</v>
      </c>
      <c r="O1956">
        <f>-763.509224945357 -211.62418648963 -520.786926152663</f>
        <v>-1495.92033758765</v>
      </c>
      <c r="P1956">
        <f>-731.555159322439 -253.639487938779 -231.29610722028</f>
        <v>-1216.490754481498</v>
      </c>
      <c r="Q1956">
        <f>-580.385483109565 -124.026206875354 -366.939192244729</f>
        <v>-1071.3508822296481</v>
      </c>
      <c r="R1956" t="s">
        <v>24533</v>
      </c>
      <c r="S1956" t="s">
        <v>24534</v>
      </c>
      <c r="T1956" t="s">
        <v>24535</v>
      </c>
      <c r="U1956" t="s">
        <v>24536</v>
      </c>
      <c r="V1956">
        <f>-724.14989670502 -119.51944901752 -89.1564677273919</f>
        <v>-932.82581344993184</v>
      </c>
      <c r="W1956" t="s">
        <v>24537</v>
      </c>
      <c r="X1956" t="s">
        <v>24538</v>
      </c>
      <c r="Y1956" t="s">
        <v>24539</v>
      </c>
    </row>
    <row r="1957" spans="1:25" x14ac:dyDescent="0.3">
      <c r="A1957">
        <v>97800</v>
      </c>
      <c r="B1957" t="s">
        <v>24540</v>
      </c>
      <c r="C1957">
        <f>-745.589820479823 -25.4860696740298 -93.1790503736248</f>
        <v>-864.25494052747752</v>
      </c>
      <c r="D1957">
        <f>-765.989010925084 -36.847091360708 -206.629703724734</f>
        <v>-1009.465806010526</v>
      </c>
      <c r="E1957">
        <f>-775.929489969458 -43.0651412221898 -304.553961552754</f>
        <v>-1123.548592744402</v>
      </c>
      <c r="F1957">
        <f>-782.436450027603 -47.4828554131752 -393.302983967627</f>
        <v>-1223.2222894084052</v>
      </c>
      <c r="G1957">
        <f>-786.094796609784 -50.6754368160982 -482.26734554991</f>
        <v>-1319.0375789757923</v>
      </c>
      <c r="H1957">
        <f>-788.199025451933 -53.8977395444442 -606.790520179675</f>
        <v>-1448.8872851760523</v>
      </c>
      <c r="I1957">
        <f>-755.637850994112 -48.467169093323 -683.048569410507</f>
        <v>-1487.153589497942</v>
      </c>
      <c r="J1957">
        <f>-791.575318406888 -25.1141039070933 -552.629504304499</f>
        <v>-1369.3189266184804</v>
      </c>
      <c r="K1957" t="s">
        <v>24541</v>
      </c>
      <c r="L1957" t="s">
        <v>24542</v>
      </c>
      <c r="M1957" t="s">
        <v>24543</v>
      </c>
      <c r="N1957">
        <f>-782.970745380388 -79.8453471560604 -551.358615909262</f>
        <v>-1414.1747084457104</v>
      </c>
      <c r="O1957">
        <f>-763.659885426086 -212.416127728832 -520.553643249274</f>
        <v>-1496.629656404192</v>
      </c>
      <c r="P1957">
        <f>-732.260854151857 -252.88916432035 -230.782591557608</f>
        <v>-1215.9326100298149</v>
      </c>
      <c r="Q1957">
        <f>-579.608821935906 -122.127781820634 -363.634732955194</f>
        <v>-1065.3713367117341</v>
      </c>
      <c r="R1957" t="s">
        <v>24544</v>
      </c>
      <c r="S1957" t="s">
        <v>24545</v>
      </c>
      <c r="T1957" t="s">
        <v>24546</v>
      </c>
      <c r="U1957" t="s">
        <v>24547</v>
      </c>
      <c r="V1957">
        <f>-723.199050283347 -118.941097292145 -89.2019176928176</f>
        <v>-931.34206526830951</v>
      </c>
      <c r="W1957" t="s">
        <v>24548</v>
      </c>
      <c r="X1957" t="s">
        <v>24549</v>
      </c>
      <c r="Y1957" t="s">
        <v>24550</v>
      </c>
    </row>
    <row r="1958" spans="1:25" x14ac:dyDescent="0.3">
      <c r="A1958">
        <v>97850</v>
      </c>
      <c r="B1958" t="s">
        <v>24551</v>
      </c>
      <c r="C1958">
        <f>-745.050764332407 -25.6520088257216 -93.2615848437712</f>
        <v>-863.96435800189977</v>
      </c>
      <c r="D1958">
        <f>-765.704638823792 -37.2243913593636 -206.644602679963</f>
        <v>-1009.5736328631186</v>
      </c>
      <c r="E1958">
        <f>-775.862578611847 -43.576340258953 -304.538077590519</f>
        <v>-1123.976996461319</v>
      </c>
      <c r="F1958">
        <f>-782.564338078824 -48.0982601059329 -393.267363942532</f>
        <v>-1223.9299621272889</v>
      </c>
      <c r="G1958">
        <f>-786.415725207715 -51.3774177329628 -482.220423069623</f>
        <v>-1320.0135660103008</v>
      </c>
      <c r="H1958">
        <f>-788.787029895258 -54.7021595388092 -606.73604098378</f>
        <v>-1450.2252304178471</v>
      </c>
      <c r="I1958">
        <f>-756.163066170737 -49.309011115809 -682.969956991932</f>
        <v>-1488.4420342784779</v>
      </c>
      <c r="J1958">
        <f>-792.129409175371 -25.8868709909932 -552.589689694411</f>
        <v>-1370.6059698607753</v>
      </c>
      <c r="K1958" t="s">
        <v>24552</v>
      </c>
      <c r="L1958" t="s">
        <v>24553</v>
      </c>
      <c r="M1958" t="s">
        <v>24554</v>
      </c>
      <c r="N1958">
        <f>-783.357726284999 -80.5911869163369 -551.295974409404</f>
        <v>-1415.2448876107401</v>
      </c>
      <c r="O1958">
        <f>-763.581193053066 -213.069237358384 -520.408615638186</f>
        <v>-1497.059046049636</v>
      </c>
      <c r="P1958">
        <f>-731.964893463158 -252.765228023273 -230.553673478203</f>
        <v>-1215.2837949646341</v>
      </c>
      <c r="Q1958">
        <f>-578.804023487043 -121.227989725951 -362.04734862683</f>
        <v>-1062.0793618398241</v>
      </c>
      <c r="R1958" t="s">
        <v>24555</v>
      </c>
      <c r="S1958" t="s">
        <v>24556</v>
      </c>
      <c r="T1958" t="s">
        <v>24557</v>
      </c>
      <c r="U1958" t="s">
        <v>24558</v>
      </c>
      <c r="V1958">
        <f>-722.314990934736 -119.099312032838 -89.2125742722254</f>
        <v>-930.62687723979946</v>
      </c>
      <c r="W1958" t="s">
        <v>24559</v>
      </c>
      <c r="X1958" t="s">
        <v>24560</v>
      </c>
      <c r="Y1958" t="s">
        <v>24561</v>
      </c>
    </row>
    <row r="1959" spans="1:25" x14ac:dyDescent="0.3">
      <c r="A1959">
        <v>97900</v>
      </c>
      <c r="B1959" t="s">
        <v>24562</v>
      </c>
      <c r="C1959">
        <f>-743.814275773314 -26.5272323981815 -93.4197788545697</f>
        <v>-863.76128702606513</v>
      </c>
      <c r="D1959">
        <f>-764.931920864089 -38.4321076107683 -206.68292884984</f>
        <v>-1010.0469573246972</v>
      </c>
      <c r="E1959">
        <f>-775.51718838416 -45.0228071545541 -304.515323657384</f>
        <v>-1125.055319196098</v>
      </c>
      <c r="F1959">
        <f>-782.615422492717 -49.7452765284534 -393.203256831479</f>
        <v>-1225.5639558526493</v>
      </c>
      <c r="G1959">
        <f>-786.873892661849 -53.2070580312632 -482.130913252261</f>
        <v>-1322.2118639453731</v>
      </c>
      <c r="H1959">
        <f>-789.824689170948 -56.7685900534498 -606.62758822087</f>
        <v>-1453.2208674452677</v>
      </c>
      <c r="I1959">
        <f>-757.194625784197 -51.4796504609706 -682.866259906062</f>
        <v>-1491.5405361512296</v>
      </c>
      <c r="J1959">
        <f>-793.078853843786 -27.8771130166447 -552.516480225158</f>
        <v>-1373.4724470855886</v>
      </c>
      <c r="K1959" t="s">
        <v>24563</v>
      </c>
      <c r="L1959" t="s">
        <v>24564</v>
      </c>
      <c r="M1959" t="s">
        <v>24565</v>
      </c>
      <c r="N1959">
        <f>-783.973453808081 -82.5254551934997 -551.168959193424</f>
        <v>-1417.6678681950048</v>
      </c>
      <c r="O1959">
        <f>-763.222211210456 -214.816141481367 -520.099207440125</f>
        <v>-1498.137560131948</v>
      </c>
      <c r="P1959">
        <f>-731.009688067145 -253.240753507701 -230.138644453549</f>
        <v>-1214.389086028395</v>
      </c>
      <c r="Q1959">
        <f>-577.323234908515 -120.339492972399 -359.632195372292</f>
        <v>-1057.294923253206</v>
      </c>
      <c r="R1959" t="s">
        <v>24566</v>
      </c>
      <c r="S1959" t="s">
        <v>24567</v>
      </c>
      <c r="T1959" t="s">
        <v>24568</v>
      </c>
      <c r="U1959" t="s">
        <v>24569</v>
      </c>
      <c r="V1959">
        <f>-720.429242417951 -120.148298472149 -89.2446727897326</f>
        <v>-929.82221367983254</v>
      </c>
      <c r="W1959" t="s">
        <v>24570</v>
      </c>
      <c r="X1959" t="s">
        <v>24571</v>
      </c>
      <c r="Y1959" t="s">
        <v>24572</v>
      </c>
    </row>
    <row r="1960" spans="1:25" x14ac:dyDescent="0.3">
      <c r="A1960">
        <v>97950</v>
      </c>
      <c r="B1960" t="s">
        <v>24573</v>
      </c>
      <c r="C1960">
        <f>-743.229591304752 -27.1389106937509 -93.4691397987422</f>
        <v>-863.83764179724506</v>
      </c>
      <c r="D1960">
        <f>-764.541830099171 -39.1739145218669 -206.681993698417</f>
        <v>-1010.3977383194549</v>
      </c>
      <c r="E1960">
        <f>-775.293001392298 -45.855273074807 -304.490128136173</f>
        <v>-1125.6384026032779</v>
      </c>
      <c r="F1960">
        <f>-782.540315355147 -50.6524014205011 -393.161988094512</f>
        <v>-1226.35470487016</v>
      </c>
      <c r="G1960">
        <f>-786.946807990026 -54.1812666344749 -482.079780052932</f>
        <v>-1323.2078546774328</v>
      </c>
      <c r="H1960">
        <f>-790.103393798916 -57.8279565202292 -606.569018059181</f>
        <v>-1454.5003683783261</v>
      </c>
      <c r="I1960">
        <f>-757.532746084252 -52.563015968248 -682.834839946717</f>
        <v>-1492.9306019992171</v>
      </c>
      <c r="J1960">
        <f>-793.353326623738 -28.9139189104405 -552.469849354723</f>
        <v>-1374.7370948889015</v>
      </c>
      <c r="K1960" t="s">
        <v>24574</v>
      </c>
      <c r="L1960" t="s">
        <v>24575</v>
      </c>
      <c r="M1960" t="s">
        <v>24576</v>
      </c>
      <c r="N1960">
        <f>-784.075200386219 -83.5326189629559 -551.105139927261</f>
        <v>-1418.7129592764359</v>
      </c>
      <c r="O1960">
        <f>-762.84798149897 -215.728066176222 -519.953545505532</f>
        <v>-1498.5295931807241</v>
      </c>
      <c r="P1960">
        <f>-730.457584787593 -253.592328473373 -229.939201996978</f>
        <v>-1213.9891152579439</v>
      </c>
      <c r="Q1960">
        <f>-576.842251398555 -120.048349847356 -358.854601172166</f>
        <v>-1055.745202418077</v>
      </c>
      <c r="R1960" t="s">
        <v>24577</v>
      </c>
      <c r="S1960" t="s">
        <v>24578</v>
      </c>
      <c r="T1960" t="s">
        <v>24579</v>
      </c>
      <c r="U1960" t="s">
        <v>24580</v>
      </c>
      <c r="V1960">
        <f>-719.475453544396 -120.835644770536 -89.2781429885355</f>
        <v>-929.58924130346747</v>
      </c>
      <c r="W1960" t="s">
        <v>24581</v>
      </c>
      <c r="X1960" t="s">
        <v>24582</v>
      </c>
      <c r="Y1960" t="s">
        <v>24583</v>
      </c>
    </row>
    <row r="1961" spans="1:25" x14ac:dyDescent="0.3">
      <c r="A1961">
        <v>98000</v>
      </c>
      <c r="B1961" t="s">
        <v>24584</v>
      </c>
      <c r="C1961">
        <f>-742.08133507138 -28.153504994827 -93.5692879572129</f>
        <v>-863.80412802341982</v>
      </c>
      <c r="D1961">
        <f>-763.528948067087 -40.3772434296486 -206.736394133058</f>
        <v>-1010.6425856297935</v>
      </c>
      <c r="E1961">
        <f>-774.431622604961 -47.1769539845454 -304.519606619494</f>
        <v>-1126.1281832090006</v>
      </c>
      <c r="F1961">
        <f>-781.829220960368 -52.0658887765976 -393.174077396719</f>
        <v>-1227.0691871336846</v>
      </c>
      <c r="G1961">
        <f>-786.399802072561 -55.6681641397856 -482.08067815839</f>
        <v>-1324.1486443707367</v>
      </c>
      <c r="H1961">
        <f>-789.800065630633 -59.3976359577332 -606.560968925322</f>
        <v>-1455.7586705136882</v>
      </c>
      <c r="I1961">
        <f>-757.419131319722 -54.1162213141654 -682.906212917489</f>
        <v>-1494.4415655513765</v>
      </c>
      <c r="J1961">
        <f>-793.110496148435 -30.4761335534581 -552.469276462813</f>
        <v>-1376.0559061647061</v>
      </c>
      <c r="K1961" t="s">
        <v>24585</v>
      </c>
      <c r="L1961" t="s">
        <v>24586</v>
      </c>
      <c r="M1961" t="s">
        <v>24587</v>
      </c>
      <c r="N1961">
        <f>-783.497247961948 -85.0367409983851 -551.097290942371</f>
        <v>-1419.6312799027041</v>
      </c>
      <c r="O1961">
        <f>-761.321693539991 -217.084621347035 -519.956045018057</f>
        <v>-1498.3623599050829</v>
      </c>
      <c r="P1961">
        <f>-728.929864401916 -253.965353691359 -229.815112329483</f>
        <v>-1212.710330422758</v>
      </c>
      <c r="Q1961">
        <f>-575.935528394824 -119.107036416841 -358.099080595108</f>
        <v>-1053.141645406773</v>
      </c>
      <c r="R1961" t="s">
        <v>24588</v>
      </c>
      <c r="S1961" t="s">
        <v>24589</v>
      </c>
      <c r="T1961" t="s">
        <v>24590</v>
      </c>
      <c r="U1961" t="s">
        <v>24591</v>
      </c>
      <c r="V1961">
        <f>-717.629008893699 -121.957077863391 -89.3342237661195</f>
        <v>-928.92031052320954</v>
      </c>
      <c r="W1961" t="s">
        <v>24592</v>
      </c>
      <c r="X1961" t="s">
        <v>24593</v>
      </c>
      <c r="Y1961" t="s">
        <v>24594</v>
      </c>
    </row>
    <row r="1962" spans="1:25" x14ac:dyDescent="0.3">
      <c r="A1962">
        <v>98050</v>
      </c>
      <c r="B1962" t="s">
        <v>24595</v>
      </c>
      <c r="C1962">
        <f>-741.53259245093 -28.5136015852731 -93.5904235745868</f>
        <v>-863.63661761078993</v>
      </c>
      <c r="D1962">
        <f>-763.011380887591 -40.8170149025477 -206.743010334593</f>
        <v>-1010.5714061247318</v>
      </c>
      <c r="E1962">
        <f>-773.961004876119 -47.6511930136344 -304.518609253034</f>
        <v>-1126.1308071427875</v>
      </c>
      <c r="F1962">
        <f>-781.408421440559 -52.5585408377833 -393.167835226796</f>
        <v>-1227.1347975051383</v>
      </c>
      <c r="G1962">
        <f>-786.036424707307 -56.1651476565216 -482.07134632635</f>
        <v>-1324.2729186901786</v>
      </c>
      <c r="H1962">
        <f>-789.524713377516 -59.8857130820959 -606.549389608093</f>
        <v>-1455.9598160677049</v>
      </c>
      <c r="I1962">
        <f>-757.251496921321 -54.5644822067748 -682.937537426854</f>
        <v>-1494.7535165549498</v>
      </c>
      <c r="J1962">
        <f>-792.874890999112 -30.9818730269947 -552.450867678792</f>
        <v>-1376.3076317048985</v>
      </c>
      <c r="K1962" t="s">
        <v>24596</v>
      </c>
      <c r="L1962" t="s">
        <v>24597</v>
      </c>
      <c r="M1962" t="s">
        <v>24598</v>
      </c>
      <c r="N1962">
        <f>-783.104571087995 -85.5150098722977 -551.094693563374</f>
        <v>-1419.7142745236667</v>
      </c>
      <c r="O1962">
        <f>-760.496838640885 -217.496856962625 -520.002661216659</f>
        <v>-1497.996356820169</v>
      </c>
      <c r="P1962">
        <f>-727.944385079538 -254.121346770208 -229.847205459116</f>
        <v>-1211.912937308862</v>
      </c>
      <c r="Q1962">
        <f>-575.486576639849 -118.434381834036 -357.896112515438</f>
        <v>-1051.8170709893229</v>
      </c>
      <c r="R1962" t="s">
        <v>24599</v>
      </c>
      <c r="S1962" t="s">
        <v>24600</v>
      </c>
      <c r="T1962" t="s">
        <v>24601</v>
      </c>
      <c r="U1962" t="s">
        <v>24602</v>
      </c>
      <c r="V1962">
        <f>-716.831515459189 -122.264398447747 -89.3525718013639</f>
        <v>-928.44848570829981</v>
      </c>
      <c r="W1962" t="s">
        <v>24603</v>
      </c>
      <c r="X1962" t="s">
        <v>24604</v>
      </c>
      <c r="Y1962" t="s">
        <v>24605</v>
      </c>
    </row>
    <row r="1963" spans="1:25" x14ac:dyDescent="0.3">
      <c r="A1963">
        <v>98100</v>
      </c>
      <c r="B1963" t="s">
        <v>24606</v>
      </c>
      <c r="C1963">
        <f>-740.772415821212 -29.1206824151502 -93.5953237033194</f>
        <v>-863.48842193968164</v>
      </c>
      <c r="D1963">
        <f>-762.285814082832 -41.5642185598965 -206.726052859401</f>
        <v>-1010.5760855021294</v>
      </c>
      <c r="E1963">
        <f>-773.279197217744 -48.4476465343982 -304.493300093615</f>
        <v>-1126.2201438457573</v>
      </c>
      <c r="F1963">
        <f>-780.770686648446 -53.3735060421434 -393.137723974451</f>
        <v>-1227.2819166650404</v>
      </c>
      <c r="G1963">
        <f>-785.447324976678 -56.9701334932834 -482.039046175797</f>
        <v>-1324.4565046457583</v>
      </c>
      <c r="H1963">
        <f>-789.007929977987 -60.6462258777187 -606.516381317648</f>
        <v>-1456.1705371733538</v>
      </c>
      <c r="I1963">
        <f>-756.889454677219 -55.1796596664799 -682.959484291918</f>
        <v>-1495.0285986356168</v>
      </c>
      <c r="J1963">
        <f>-792.486176894773 -31.7907576618486 -552.400107531559</f>
        <v>-1376.6770420881808</v>
      </c>
      <c r="K1963" t="s">
        <v>24607</v>
      </c>
      <c r="L1963" t="s">
        <v>24608</v>
      </c>
      <c r="M1963" t="s">
        <v>24609</v>
      </c>
      <c r="N1963">
        <f>-782.395957592052 -86.2664638634189 -551.079972285325</f>
        <v>-1419.7423937407959</v>
      </c>
      <c r="O1963">
        <f>-758.909800383145 -218.110563230193 -520.056452090531</f>
        <v>-1497.0768157038692</v>
      </c>
      <c r="P1963">
        <f>-725.878976875127 -254.276255071758 -229.897511477924</f>
        <v>-1210.052743424809</v>
      </c>
      <c r="Q1963">
        <f>-574.273232893196 -117.299263555545 -357.58416001233</f>
        <v>-1049.1566564610712</v>
      </c>
      <c r="R1963" t="s">
        <v>24610</v>
      </c>
      <c r="S1963" t="s">
        <v>24611</v>
      </c>
      <c r="T1963" t="s">
        <v>24612</v>
      </c>
      <c r="U1963" t="s">
        <v>24613</v>
      </c>
      <c r="V1963">
        <f>-715.533930061601 -122.82953953015 -89.3722647392024</f>
        <v>-927.73573433095339</v>
      </c>
      <c r="W1963" t="s">
        <v>24614</v>
      </c>
      <c r="X1963" t="s">
        <v>24615</v>
      </c>
      <c r="Y1963" t="s">
        <v>24616</v>
      </c>
    </row>
    <row r="1964" spans="1:25" x14ac:dyDescent="0.3">
      <c r="A1964">
        <v>98150</v>
      </c>
      <c r="B1964" t="s">
        <v>24617</v>
      </c>
      <c r="C1964">
        <f>-740.576789667677 -29.3801685644921 -93.5694336063517</f>
        <v>-863.52639183852079</v>
      </c>
      <c r="D1964">
        <f>-762.126520471895 -41.8548637901856 -206.68970205142</f>
        <v>-1010.6710863135006</v>
      </c>
      <c r="E1964">
        <f>-773.120928843065 -48.7523946108392 -304.45583609279</f>
        <v>-1126.3291595466942</v>
      </c>
      <c r="F1964">
        <f>-780.600818302898 -53.6871671394049 -393.10081426234</f>
        <v>-1227.3887997046429</v>
      </c>
      <c r="G1964">
        <f>-785.253278484486 -57.2883408744553 -482.003236866734</f>
        <v>-1324.5448562256754</v>
      </c>
      <c r="H1964">
        <f>-788.767164519725 -60.9657283588056 -606.481928506534</f>
        <v>-1456.2148213850646</v>
      </c>
      <c r="I1964">
        <f>-756.68191444892 -55.410365971981 -682.932513820897</f>
        <v>-1495.0247942417982</v>
      </c>
      <c r="J1964">
        <f>-792.344267386836 -32.1242336262687 -552.364669491523</f>
        <v>-1376.8331705046278</v>
      </c>
      <c r="K1964" t="s">
        <v>24618</v>
      </c>
      <c r="L1964" t="s">
        <v>24619</v>
      </c>
      <c r="M1964" t="s">
        <v>24620</v>
      </c>
      <c r="N1964">
        <f>-782.097301283624 -86.5707904581536 -551.04534699659</f>
        <v>-1419.7134387383676</v>
      </c>
      <c r="O1964">
        <f>-758.185731830984 -218.33936657744 -520.036824913288</f>
        <v>-1496.5619233217119</v>
      </c>
      <c r="P1964">
        <f>-724.974008731893 -254.30933055975 -229.874199609637</f>
        <v>-1209.1575389012801</v>
      </c>
      <c r="Q1964">
        <f>-573.723219940166 -116.792842887776 -357.401924646475</f>
        <v>-1047.917987474417</v>
      </c>
      <c r="R1964" t="s">
        <v>24621</v>
      </c>
      <c r="S1964" t="s">
        <v>24622</v>
      </c>
      <c r="T1964" t="s">
        <v>24623</v>
      </c>
      <c r="U1964" t="s">
        <v>24624</v>
      </c>
      <c r="V1964">
        <f>-715.046364153013 -123.046682434494 -89.3684224657462</f>
        <v>-927.46146905325315</v>
      </c>
      <c r="W1964" t="s">
        <v>24625</v>
      </c>
      <c r="X1964" t="s">
        <v>24626</v>
      </c>
      <c r="Y1964" t="s">
        <v>24627</v>
      </c>
    </row>
    <row r="1965" spans="1:25" x14ac:dyDescent="0.3">
      <c r="A1965">
        <v>98200</v>
      </c>
      <c r="B1965" t="s">
        <v>24628</v>
      </c>
      <c r="C1965">
        <f>-740.392009260922 -30.5614555053835 -93.370134152902</f>
        <v>-864.32359891920748</v>
      </c>
      <c r="D1965">
        <f>-761.993171234662 -42.9991606643891 -206.484743409337</f>
        <v>-1011.4770753083881</v>
      </c>
      <c r="E1965">
        <f>-772.941456920879 -49.8359240063344 -304.26020379903</f>
        <v>-1127.0375847262435</v>
      </c>
      <c r="F1965">
        <f>-780.342531095713 -54.7068552752764 -392.915359171709</f>
        <v>-1227.9647455426984</v>
      </c>
      <c r="G1965">
        <f>-784.879429162928 -58.2332427312215 -481.826822211143</f>
        <v>-1324.9394941052924</v>
      </c>
      <c r="H1965">
        <f>-788.193209937079 -61.7951164021727 -606.314348522729</f>
        <v>-1456.3026748619807</v>
      </c>
      <c r="I1965">
        <f>-756.097411867782 -56.0200519503428 -682.744152511025</f>
        <v>-1494.8616163291499</v>
      </c>
      <c r="J1965">
        <f>-791.999135913624 -33.0308057369159 -552.17157043917</f>
        <v>-1377.2015120897099</v>
      </c>
      <c r="K1965" t="s">
        <v>24629</v>
      </c>
      <c r="L1965" t="s">
        <v>24630</v>
      </c>
      <c r="M1965" t="s">
        <v>24631</v>
      </c>
      <c r="N1965">
        <f>-781.471039598406 -87.4247031498041 -550.895368327161</f>
        <v>-1419.7911110753712</v>
      </c>
      <c r="O1965">
        <f>-756.835743777198 -219.089355578561 -519.982726949776</f>
        <v>-1495.9078263055349</v>
      </c>
      <c r="P1965">
        <f>-723.647964843048 -254.859897583933 -229.792610569129</f>
        <v>-1208.3004729961101</v>
      </c>
      <c r="Q1965">
        <f>-572.809842733921 -116.420332710356 -356.80930261589</f>
        <v>-1046.0394780601669</v>
      </c>
      <c r="R1965" t="s">
        <v>24632</v>
      </c>
      <c r="S1965" t="s">
        <v>24633</v>
      </c>
      <c r="T1965" t="s">
        <v>24634</v>
      </c>
      <c r="U1965" t="s">
        <v>24635</v>
      </c>
      <c r="V1965">
        <f>-714.407867107128 -124.157922392196 -89.3047750881934</f>
        <v>-927.87056458751749</v>
      </c>
      <c r="W1965" t="s">
        <v>24636</v>
      </c>
      <c r="X1965" t="s">
        <v>24637</v>
      </c>
      <c r="Y1965" t="s">
        <v>24638</v>
      </c>
    </row>
    <row r="1966" spans="1:25" x14ac:dyDescent="0.3">
      <c r="A1966">
        <v>98250</v>
      </c>
      <c r="B1966" t="s">
        <v>24639</v>
      </c>
      <c r="C1966">
        <f>-740.466830965467 -31.4417678054122 -93.1717989986206</f>
        <v>-865.08039776949977</v>
      </c>
      <c r="D1966">
        <f>-762.091924103849 -43.8056144509374 -206.289940894455</f>
        <v>-1012.1874794492413</v>
      </c>
      <c r="E1966">
        <f>-772.991367341315 -50.5689091437089 -304.075987999473</f>
        <v>-1127.6362644844969</v>
      </c>
      <c r="F1966">
        <f>-780.320231084963 -55.3710300754099 -392.740966729143</f>
        <v>-1228.4322278895158</v>
      </c>
      <c r="G1966">
        <f>-784.756243576574 -58.8261515714264 -481.660138343249</f>
        <v>-1325.2425334912493</v>
      </c>
      <c r="H1966">
        <f>-787.899504392108 -62.2863116996066 -606.15500646658</f>
        <v>-1456.3408225582946</v>
      </c>
      <c r="I1966">
        <f>-755.755165271013 -56.4024142482897 -682.556296721497</f>
        <v>-1494.7138762407997</v>
      </c>
      <c r="J1966">
        <f>-791.838958341629 -33.5777371147735 -551.992151110576</f>
        <v>-1377.4088465669784</v>
      </c>
      <c r="K1966" t="s">
        <v>24640</v>
      </c>
      <c r="L1966" t="s">
        <v>24641</v>
      </c>
      <c r="M1966" t="s">
        <v>24642</v>
      </c>
      <c r="N1966">
        <f>-781.193720121695 -87.9496149267734 -550.749781071203</f>
        <v>-1419.8931161196715</v>
      </c>
      <c r="O1966">
        <f>-756.29554236306 -219.569406798699 -519.89995848405</f>
        <v>-1495.764907645809</v>
      </c>
      <c r="P1966">
        <f>-723.362085016056 -255.376434972676 -229.685525210763</f>
        <v>-1208.4240451994949</v>
      </c>
      <c r="Q1966">
        <f>-572.63350365703 -116.587839833312 -356.450940703086</f>
        <v>-1045.6722841934281</v>
      </c>
      <c r="R1966" t="s">
        <v>24643</v>
      </c>
      <c r="S1966" t="s">
        <v>24644</v>
      </c>
      <c r="T1966" t="s">
        <v>24645</v>
      </c>
      <c r="U1966" t="s">
        <v>24646</v>
      </c>
      <c r="V1966">
        <f>-714.271119415479 -125.093007359627 -89.2211146218244</f>
        <v>-928.58524139693043</v>
      </c>
      <c r="W1966" t="s">
        <v>24647</v>
      </c>
      <c r="X1966" t="s">
        <v>24648</v>
      </c>
      <c r="Y1966" t="s">
        <v>24649</v>
      </c>
    </row>
    <row r="1967" spans="1:25" x14ac:dyDescent="0.3">
      <c r="A1967">
        <v>98300</v>
      </c>
      <c r="B1967" t="s">
        <v>24650</v>
      </c>
      <c r="C1967">
        <f>-740.899086461411 -33.3068609378111 -92.6763822268227</f>
        <v>-866.88232962604479</v>
      </c>
      <c r="D1967">
        <f>-762.564014351401 -45.6086276309684 -205.793609166439</f>
        <v>-1013.9662511488084</v>
      </c>
      <c r="E1967">
        <f>-773.32444812389 -52.223985597612 -303.605352612169</f>
        <v>-1129.153786333671</v>
      </c>
      <c r="F1967">
        <f>-780.45383631257 -56.8620080370647 -392.295236170742</f>
        <v>-1229.6110805203766</v>
      </c>
      <c r="G1967">
        <f>-784.61618019332 -60.1236689719947 -481.23504666412</f>
        <v>-1325.9748958294347</v>
      </c>
      <c r="H1967">
        <f>-787.296753323163 -63.2847315724161 -605.748618807859</f>
        <v>-1456.330103703438</v>
      </c>
      <c r="I1967">
        <f>-754.958237838753 -57.1597858557814 -682.048950108604</f>
        <v>-1494.1669738031383</v>
      </c>
      <c r="J1967">
        <f>-791.550196109005 -34.7284725262841 -551.528921045149</f>
        <v>-1377.807589680438</v>
      </c>
      <c r="K1967" t="s">
        <v>24651</v>
      </c>
      <c r="L1967" t="s">
        <v>24652</v>
      </c>
      <c r="M1967" t="s">
        <v>24653</v>
      </c>
      <c r="N1967">
        <f>-780.684161568104 -89.0588453548073 -550.383616382838</f>
        <v>-1420.1266233057493</v>
      </c>
      <c r="O1967">
        <f>-755.299762004759 -220.649082141548 -519.763122863255</f>
        <v>-1495.7119670095622</v>
      </c>
      <c r="P1967">
        <f>-723.418125941651 -256.625236978732 -229.452092982817</f>
        <v>-1209.4954559032001</v>
      </c>
      <c r="Q1967">
        <f>-572.623275550906 -117.293096951894 -355.54081476294</f>
        <v>-1045.45718726574</v>
      </c>
      <c r="R1967" t="s">
        <v>24654</v>
      </c>
      <c r="S1967" t="s">
        <v>24655</v>
      </c>
      <c r="T1967" t="s">
        <v>24656</v>
      </c>
      <c r="U1967" t="s">
        <v>24657</v>
      </c>
      <c r="V1967">
        <f>-714.096479998929 -126.456719291274 -89.0027733154499</f>
        <v>-929.55597260565287</v>
      </c>
      <c r="W1967" t="s">
        <v>24658</v>
      </c>
      <c r="X1967" t="s">
        <v>24659</v>
      </c>
      <c r="Y1967" t="s">
        <v>24660</v>
      </c>
    </row>
    <row r="1968" spans="1:25" x14ac:dyDescent="0.3">
      <c r="A1968">
        <v>98350</v>
      </c>
      <c r="B1968" t="s">
        <v>24661</v>
      </c>
      <c r="C1968">
        <f>-741.066524357899 -34.3415609332417 -92.3758016754396</f>
        <v>-867.78388696658021</v>
      </c>
      <c r="D1968">
        <f>-762.706998008083 -46.5386001227059 -205.509207667396</f>
        <v>-1014.754805798185</v>
      </c>
      <c r="E1968">
        <f>-773.375887769728 -53.0483814927238 -303.337845731001</f>
        <v>-1129.7621149934528</v>
      </c>
      <c r="F1968">
        <f>-780.392971691245 -57.5876231241079 -392.041884530793</f>
        <v>-1230.0224793461459</v>
      </c>
      <c r="G1968">
        <f>-784.412968744245 -60.7472731594285 -480.991847271932</f>
        <v>-1326.1520891756054</v>
      </c>
      <c r="H1968">
        <f>-786.863568632238 -63.7635318352177 -605.513813524149</f>
        <v>-1456.1409139916045</v>
      </c>
      <c r="I1968">
        <f>-754.38972444396 -57.4956061987773 -681.744901145924</f>
        <v>-1493.6302317886611</v>
      </c>
      <c r="J1968">
        <f>-791.281725514012 -35.2833753969642 -551.267319967981</f>
        <v>-1377.8324208789572</v>
      </c>
      <c r="K1968" t="s">
        <v>24662</v>
      </c>
      <c r="L1968" t="s">
        <v>24663</v>
      </c>
      <c r="M1968" t="s">
        <v>24664</v>
      </c>
      <c r="N1968">
        <f>-780.288622834882 -89.5891442429709 -550.168231069551</f>
        <v>-1420.0459981474037</v>
      </c>
      <c r="O1968">
        <f>-754.64041118353 -221.165919246721 -519.703168734046</f>
        <v>-1495.5094991642968</v>
      </c>
      <c r="P1968">
        <f>-723.378618854936 -257.276102249102 -229.341305647679</f>
        <v>-1209.996026751717</v>
      </c>
      <c r="Q1968">
        <f>-572.51114609686 -117.691380214677 -355.063268416102</f>
        <v>-1045.2657947276389</v>
      </c>
      <c r="R1968" t="s">
        <v>24665</v>
      </c>
      <c r="S1968" t="s">
        <v>24666</v>
      </c>
      <c r="T1968" t="s">
        <v>24667</v>
      </c>
      <c r="U1968" t="s">
        <v>24668</v>
      </c>
      <c r="V1968">
        <f>-714.026705507405 -127.392966429799 -88.8193047939913</f>
        <v>-930.23897673119529</v>
      </c>
      <c r="W1968" t="s">
        <v>24669</v>
      </c>
      <c r="X1968" t="s">
        <v>24670</v>
      </c>
      <c r="Y1968" t="s">
        <v>24671</v>
      </c>
    </row>
    <row r="1969" spans="1:25" x14ac:dyDescent="0.3">
      <c r="A1969">
        <v>98400</v>
      </c>
      <c r="B1969" t="s">
        <v>24672</v>
      </c>
      <c r="C1969">
        <f>-741.748905551508 -36.856042119688 -91.5940187631996</f>
        <v>-870.19896643439563</v>
      </c>
      <c r="D1969">
        <f>-763.288448803504 -48.7531525994259 -204.778471036447</f>
        <v>-1016.8200724393769</v>
      </c>
      <c r="E1969">
        <f>-773.770886857876 -55.0190475636114 -302.643281135171</f>
        <v>-1131.4332155566583</v>
      </c>
      <c r="F1969">
        <f>-780.578810050437 -59.3464912711761 -391.374094179714</f>
        <v>-1231.2993955013271</v>
      </c>
      <c r="G1969">
        <f>-784.349630355362 -62.3020451485884 -480.342022552398</f>
        <v>-1326.9936980563484</v>
      </c>
      <c r="H1969">
        <f>-786.409898506034 -65.0419814807078 -604.87740927542</f>
        <v>-1456.3292892621616</v>
      </c>
      <c r="I1969">
        <f>-753.640569979491 -58.4939479210425 -680.958393898523</f>
        <v>-1493.0929117990565</v>
      </c>
      <c r="J1969">
        <f>-791.112132853508 -36.7055178733206 -550.579605329889</f>
        <v>-1378.3972560567177</v>
      </c>
      <c r="K1969" t="s">
        <v>24673</v>
      </c>
      <c r="L1969" t="s">
        <v>24674</v>
      </c>
      <c r="M1969" t="s">
        <v>24675</v>
      </c>
      <c r="N1969">
        <f>-779.89456350308 -90.9670329631761 -549.571423743004</f>
        <v>-1420.4330202092601</v>
      </c>
      <c r="O1969">
        <f>-753.785852513035 -222.501778603185 -519.319945729284</f>
        <v>-1495.6075768455039</v>
      </c>
      <c r="P1969">
        <f>-723.318367352082 -259.0540658661 -228.929064970859</f>
        <v>-1211.301498189041</v>
      </c>
      <c r="Q1969">
        <f>-572.400804294497 -118.735248696799 -353.770712483867</f>
        <v>-1044.906765475163</v>
      </c>
      <c r="R1969" t="s">
        <v>24676</v>
      </c>
      <c r="S1969" t="s">
        <v>24677</v>
      </c>
      <c r="T1969" t="s">
        <v>24678</v>
      </c>
      <c r="U1969" t="s">
        <v>24679</v>
      </c>
      <c r="V1969">
        <f>-714.615897684077 -129.640340190904 -88.3644200167579</f>
        <v>-932.62065789173892</v>
      </c>
      <c r="W1969" t="s">
        <v>24680</v>
      </c>
      <c r="X1969" t="s">
        <v>24681</v>
      </c>
      <c r="Y1969" t="s">
        <v>24682</v>
      </c>
    </row>
    <row r="1970" spans="1:25" x14ac:dyDescent="0.3">
      <c r="A1970">
        <v>98450</v>
      </c>
      <c r="B1970" t="s">
        <v>24683</v>
      </c>
      <c r="C1970">
        <f>-742.147198059187 -38.0358947590701 -91.2127957281647</f>
        <v>-871.3958885464217</v>
      </c>
      <c r="D1970">
        <f>-763.670017239363 -49.7600170160752 -204.418488772062</f>
        <v>-1017.8485230275002</v>
      </c>
      <c r="E1970">
        <f>-774.064381750049 -55.8912940318078 -302.30114772889</f>
        <v>-1132.2568235107469</v>
      </c>
      <c r="F1970">
        <f>-780.763422862733 -60.1029161684512 -391.045923712931</f>
        <v>-1231.9122627441152</v>
      </c>
      <c r="G1970">
        <f>-784.396377970527 -62.9476408584358 -480.023207739843</f>
        <v>-1327.3672265688058</v>
      </c>
      <c r="H1970">
        <f>-786.233777383755 -65.5383292772333 -604.565260454847</f>
        <v>-1456.3373671158351</v>
      </c>
      <c r="I1970">
        <f>-753.316297207413 -58.8784294520692 -680.572657933302</f>
        <v>-1492.7673845927843</v>
      </c>
      <c r="J1970">
        <f>-791.070473116192 -37.2747698045844 -550.2414293589</f>
        <v>-1378.5866722796763</v>
      </c>
      <c r="K1970" t="s">
        <v>24684</v>
      </c>
      <c r="L1970" t="s">
        <v>24685</v>
      </c>
      <c r="M1970" t="s">
        <v>24686</v>
      </c>
      <c r="N1970">
        <f>-779.779911799142 -91.521959390237 -549.279522320904</f>
        <v>-1420.5813935102831</v>
      </c>
      <c r="O1970">
        <f>-753.533932861526 -223.041393840573 -519.097848402632</f>
        <v>-1495.6731751047309</v>
      </c>
      <c r="P1970">
        <f>-723.390658894885 -259.842712400659 -228.704587780274</f>
        <v>-1211.9379590758181</v>
      </c>
      <c r="Q1970">
        <f>-572.369073287671 -119.244531151405 -353.10510842927</f>
        <v>-1044.7187128683458</v>
      </c>
      <c r="R1970" t="s">
        <v>24687</v>
      </c>
      <c r="S1970" t="s">
        <v>24688</v>
      </c>
      <c r="T1970" t="s">
        <v>24689</v>
      </c>
      <c r="U1970" t="s">
        <v>24690</v>
      </c>
      <c r="V1970">
        <f>-715.122002262033 -130.521782229296 -88.1671761936772</f>
        <v>-933.81096068500619</v>
      </c>
      <c r="W1970" t="s">
        <v>24691</v>
      </c>
      <c r="X1970" t="s">
        <v>24692</v>
      </c>
      <c r="Y1970" t="s">
        <v>24693</v>
      </c>
    </row>
    <row r="1971" spans="1:25" x14ac:dyDescent="0.3">
      <c r="A1971">
        <v>98500</v>
      </c>
      <c r="B1971" t="s">
        <v>24694</v>
      </c>
      <c r="C1971">
        <f>-743.169787342528 -39.9977460387286 -90.6453334149179</f>
        <v>-873.81286679617449</v>
      </c>
      <c r="D1971">
        <f>-764.606231614374 -51.4064207362637 -203.899743723705</f>
        <v>-1019.9123960743427</v>
      </c>
      <c r="E1971">
        <f>-774.778690481465 -57.2810080400168 -301.821470113798</f>
        <v>-1133.8811686352797</v>
      </c>
      <c r="F1971">
        <f>-781.218636876649 -61.2656776921831 -390.59586820318</f>
        <v>-1233.080182772012</v>
      </c>
      <c r="G1971">
        <f>-784.53438478768 -63.8887513419543 -479.592335212541</f>
        <v>-1328.0154713421753</v>
      </c>
      <c r="H1971">
        <f>-785.868049678531 -66.1747117031059 -604.14659972337</f>
        <v>-1456.1893611050068</v>
      </c>
      <c r="I1971">
        <f>-752.633353200307 -59.3658447463224 -680.002673947334</f>
        <v>-1492.0018718939634</v>
      </c>
      <c r="J1971">
        <f>-790.946503692269 -38.0484749196494 -549.773459027983</f>
        <v>-1378.7684376399013</v>
      </c>
      <c r="K1971" t="s">
        <v>24695</v>
      </c>
      <c r="L1971" t="s">
        <v>24696</v>
      </c>
      <c r="M1971" t="s">
        <v>24697</v>
      </c>
      <c r="N1971">
        <f>-779.615755995063 -92.2888992806722 -548.899381254027</f>
        <v>-1420.8040365297622</v>
      </c>
      <c r="O1971">
        <f>-753.326251818597 -223.816730149367 -518.791476667675</f>
        <v>-1495.9344586356392</v>
      </c>
      <c r="P1971">
        <f>-724.067136050943 -260.754479234628 -228.325137186882</f>
        <v>-1213.146752472453</v>
      </c>
      <c r="Q1971">
        <f>-572.439894180864 -120.125955874211 -351.952040159414</f>
        <v>-1044.5178902144892</v>
      </c>
      <c r="R1971" t="s">
        <v>24698</v>
      </c>
      <c r="S1971" t="s">
        <v>24699</v>
      </c>
      <c r="T1971" t="s">
        <v>24700</v>
      </c>
      <c r="U1971" t="s">
        <v>24701</v>
      </c>
      <c r="V1971">
        <f>-716.227594346857 -132.346099728718 -87.7990208959839</f>
        <v>-936.37271497155893</v>
      </c>
      <c r="W1971" t="s">
        <v>24702</v>
      </c>
      <c r="X1971" t="s">
        <v>24703</v>
      </c>
      <c r="Y1971" t="s">
        <v>24704</v>
      </c>
    </row>
    <row r="1972" spans="1:25" x14ac:dyDescent="0.3">
      <c r="A1972">
        <v>98550</v>
      </c>
      <c r="B1972" t="s">
        <v>24705</v>
      </c>
      <c r="C1972">
        <f>-743.705894686869 -40.8898119742075 -90.461810150568</f>
        <v>-875.05751681164452</v>
      </c>
      <c r="D1972">
        <f>-765.070319455029 -52.1730430353427 -203.742386880637</f>
        <v>-1020.9857493710088</v>
      </c>
      <c r="E1972">
        <f>-775.130654467229 -57.9409579549988 -301.681998112291</f>
        <v>-1134.7536105345189</v>
      </c>
      <c r="F1972">
        <f>-781.449166605138 -61.8292032118425 -390.469346768242</f>
        <v>-1233.7477165852224</v>
      </c>
      <c r="G1972">
        <f>-784.623675467017 -64.3558601867508 -479.473713669761</f>
        <v>-1328.4532493235288</v>
      </c>
      <c r="H1972">
        <f>-785.739251262743 -66.5076269700746 -604.032765657721</f>
        <v>-1456.2796438905386</v>
      </c>
      <c r="I1972">
        <f>-752.356555965335 -59.6665624962363 -679.820755557505</f>
        <v>-1491.8438740190763</v>
      </c>
      <c r="J1972">
        <f>-790.903283537704 -38.4379839424419 -549.638392067303</f>
        <v>-1378.979659547449</v>
      </c>
      <c r="K1972" t="s">
        <v>24706</v>
      </c>
      <c r="L1972" t="s">
        <v>24707</v>
      </c>
      <c r="M1972" t="s">
        <v>24708</v>
      </c>
      <c r="N1972">
        <f>-779.59342529577 -92.6832721813025 -548.802685778016</f>
        <v>-1421.0793832550885</v>
      </c>
      <c r="O1972">
        <f>-753.387637067653 -224.23538493856 -518.735981478549</f>
        <v>-1496.3590034847621</v>
      </c>
      <c r="P1972">
        <f>-724.794148651608 -261.228686317832 -228.210327724464</f>
        <v>-1214.233162693904</v>
      </c>
      <c r="Q1972">
        <f>-572.714506152853 -120.765057686107 -351.468907667017</f>
        <v>-1044.9484715059771</v>
      </c>
      <c r="R1972" t="s">
        <v>24709</v>
      </c>
      <c r="S1972" t="s">
        <v>24710</v>
      </c>
      <c r="T1972" t="s">
        <v>24711</v>
      </c>
      <c r="U1972" t="s">
        <v>24712</v>
      </c>
      <c r="V1972">
        <f>-716.816190510899 -133.216274606938 -87.6708900088918</f>
        <v>-937.70335512672875</v>
      </c>
      <c r="W1972" t="s">
        <v>24713</v>
      </c>
      <c r="X1972" t="s">
        <v>24714</v>
      </c>
      <c r="Y1972" t="s">
        <v>24715</v>
      </c>
    </row>
    <row r="1973" spans="1:25" x14ac:dyDescent="0.3">
      <c r="A1973">
        <v>98600</v>
      </c>
      <c r="B1973" t="s">
        <v>24716</v>
      </c>
      <c r="C1973">
        <f>-744.363481089152 -41.9650732012192 -90.2566797931532</f>
        <v>-876.58523408352437</v>
      </c>
      <c r="D1973">
        <f>-765.589847757221 -53.0738815412203 -203.580427202403</f>
        <v>-1022.2441565008444</v>
      </c>
      <c r="E1973">
        <f>-775.463346879596 -58.6678313247321 -301.549140989991</f>
        <v>-1135.6803191943191</v>
      </c>
      <c r="F1973">
        <f>-781.585078603087 -62.3895141583137 -390.357572834017</f>
        <v>-1234.3321655954178</v>
      </c>
      <c r="G1973">
        <f>-784.534222700908 -64.7416824823051 -479.374318554495</f>
        <v>-1328.6502237377081</v>
      </c>
      <c r="H1973">
        <f>-785.305170122964 -66.641435365399 -603.94007989879</f>
        <v>-1455.8866853871532</v>
      </c>
      <c r="I1973">
        <f>-751.657682202192 -59.7756512778453 -679.608658103536</f>
        <v>-1491.0419915835732</v>
      </c>
      <c r="J1973">
        <f>-790.585211595594 -38.67482700452 -549.503827000855</f>
        <v>-1378.763865600969</v>
      </c>
      <c r="K1973" t="s">
        <v>24717</v>
      </c>
      <c r="L1973" t="s">
        <v>24718</v>
      </c>
      <c r="M1973" t="s">
        <v>24719</v>
      </c>
      <c r="N1973">
        <f>-779.346632728411 -92.9359863777991 -548.74575996781</f>
        <v>-1421.02837907402</v>
      </c>
      <c r="O1973">
        <f>-753.43349114325 -224.576163854745 -518.789349898476</f>
        <v>-1496.7990048964709</v>
      </c>
      <c r="P1973">
        <f>-726.236355671846 -261.587015879853 -228.132003378</f>
        <v>-1215.955374929699</v>
      </c>
      <c r="Q1973">
        <f>-573.289237140562 -121.676135097139 -350.94482342156</f>
        <v>-1045.910195659261</v>
      </c>
      <c r="R1973" t="s">
        <v>24720</v>
      </c>
      <c r="S1973" t="s">
        <v>24721</v>
      </c>
      <c r="T1973" t="s">
        <v>24722</v>
      </c>
      <c r="U1973" t="s">
        <v>24723</v>
      </c>
      <c r="V1973">
        <f>-717.47529003785 -134.068072912709 -87.5295035055486</f>
        <v>-939.07286645610759</v>
      </c>
      <c r="W1973" t="s">
        <v>24724</v>
      </c>
      <c r="X1973" t="s">
        <v>24725</v>
      </c>
      <c r="Y1973" t="s">
        <v>24726</v>
      </c>
    </row>
    <row r="1974" spans="1:25" x14ac:dyDescent="0.3">
      <c r="A1974">
        <v>98650</v>
      </c>
      <c r="B1974" t="s">
        <v>24727</v>
      </c>
      <c r="C1974">
        <f>-744.545769011197 -42.4202891687878 -90.1961896069765</f>
        <v>-877.1622477869613</v>
      </c>
      <c r="D1974">
        <f>-765.695415533093 -53.468151156459 -203.540233556285</f>
        <v>-1022.703800245837</v>
      </c>
      <c r="E1974">
        <f>-775.478115170775 -58.9916932418457 -301.522147229085</f>
        <v>-1135.9919556417058</v>
      </c>
      <c r="F1974">
        <f>-781.507308057459 -62.6429027274658 -390.339564997694</f>
        <v>-1234.4897757826188</v>
      </c>
      <c r="G1974">
        <f>-784.35341483732 -64.9178226070294 -479.361796902526</f>
        <v>-1328.6330343468753</v>
      </c>
      <c r="H1974">
        <f>-784.9689859226 -66.7032849137333 -603.930157233133</f>
        <v>-1455.6024280694664</v>
      </c>
      <c r="I1974">
        <f>-751.200181248973 -59.8222463435709 -679.543355992566</f>
        <v>-1490.5657835851098</v>
      </c>
      <c r="J1974">
        <f>-790.302272322161 -38.7835745873044 -549.475015390263</f>
        <v>-1378.5608622997283</v>
      </c>
      <c r="K1974" t="s">
        <v>24728</v>
      </c>
      <c r="L1974" t="s">
        <v>24729</v>
      </c>
      <c r="M1974" t="s">
        <v>24730</v>
      </c>
      <c r="N1974">
        <f>-779.093772886331 -93.0515415951538 -548.752507646765</f>
        <v>-1420.8978221282498</v>
      </c>
      <c r="O1974">
        <f>-753.332124323704 -224.731735241482 -518.849085014693</f>
        <v>-1496.912944579879</v>
      </c>
      <c r="P1974">
        <f>-726.703013261654 -261.799622502264 -228.146428268682</f>
        <v>-1216.6490640325999</v>
      </c>
      <c r="Q1974">
        <f>-573.340947604209 -122.273699551119 -350.879678380412</f>
        <v>-1046.4943255357398</v>
      </c>
      <c r="R1974" t="s">
        <v>24731</v>
      </c>
      <c r="S1974" t="s">
        <v>24732</v>
      </c>
      <c r="T1974" t="s">
        <v>24733</v>
      </c>
      <c r="U1974" t="s">
        <v>24734</v>
      </c>
      <c r="V1974">
        <f>-717.72421935893 -134.56252657648 -87.4745238683511</f>
        <v>-939.76126980376102</v>
      </c>
      <c r="W1974" t="s">
        <v>24735</v>
      </c>
      <c r="X1974" t="s">
        <v>24736</v>
      </c>
      <c r="Y1974" t="s">
        <v>24737</v>
      </c>
    </row>
    <row r="1975" spans="1:25" x14ac:dyDescent="0.3">
      <c r="A1975">
        <v>98700</v>
      </c>
      <c r="B1975" t="s">
        <v>24738</v>
      </c>
      <c r="C1975">
        <f>-744.821948029778 -42.8200797532243 -90.17201439174</f>
        <v>-877.81404217474233</v>
      </c>
      <c r="D1975">
        <f>-765.854365921287 -53.7883677539239 -203.545433778029</f>
        <v>-1023.1881674532399</v>
      </c>
      <c r="E1975">
        <f>-775.469548733752 -59.2071257496013 -301.549809748183</f>
        <v>-1136.2264842315365</v>
      </c>
      <c r="F1975">
        <f>-781.319841371866 -62.7497411383952 -390.383704988438</f>
        <v>-1234.4532874986992</v>
      </c>
      <c r="G1975">
        <f>-783.959111299999 -64.9030907586725 -479.415398997051</f>
        <v>-1328.2776010557225</v>
      </c>
      <c r="H1975">
        <f>-784.256092283196 -66.505509285244 -603.987264223606</f>
        <v>-1454.748865792046</v>
      </c>
      <c r="I1975">
        <f>-750.252298325855 -59.5816987723208 -679.49120252459</f>
        <v>-1489.3251996227659</v>
      </c>
      <c r="J1975">
        <f>-789.716168468476 -38.663252214465 -549.505152610509</f>
        <v>-1377.8845732934501</v>
      </c>
      <c r="K1975" t="s">
        <v>24739</v>
      </c>
      <c r="L1975" t="s">
        <v>24740</v>
      </c>
      <c r="M1975" t="s">
        <v>24741</v>
      </c>
      <c r="N1975">
        <f>-778.534626830855 -92.9374203385867 -548.83360068548</f>
        <v>-1420.3056478549215</v>
      </c>
      <c r="O1975">
        <f>-752.982583563101 -224.673060268962 -519.019611829183</f>
        <v>-1496.675255661246</v>
      </c>
      <c r="P1975">
        <f>-726.911657745075 -262.076412131305 -228.309176804482</f>
        <v>-1217.2972466808619</v>
      </c>
      <c r="Q1975">
        <f>-573.00162844028 -123.098232472421 -350.978070517058</f>
        <v>-1047.077931429759</v>
      </c>
      <c r="R1975" t="s">
        <v>24742</v>
      </c>
      <c r="S1975" t="s">
        <v>24743</v>
      </c>
      <c r="T1975" t="s">
        <v>24744</v>
      </c>
      <c r="U1975" t="s">
        <v>24745</v>
      </c>
      <c r="V1975">
        <f>-718.025939190665 -134.950072848081 -87.4509769160594</f>
        <v>-940.42698895480532</v>
      </c>
      <c r="W1975" t="s">
        <v>24746</v>
      </c>
      <c r="X1975" t="s">
        <v>24747</v>
      </c>
      <c r="Y1975" t="s">
        <v>24748</v>
      </c>
    </row>
    <row r="1976" spans="1:25" x14ac:dyDescent="0.3">
      <c r="A1976">
        <v>98750</v>
      </c>
      <c r="B1976" t="s">
        <v>24749</v>
      </c>
      <c r="C1976">
        <f>-744.960746675194 -42.9864086423881 -90.1844856705286</f>
        <v>-878.13164098811069</v>
      </c>
      <c r="D1976">
        <f>-765.927624474197 -53.924519105107 -203.573150006342</f>
        <v>-1023.425293585646</v>
      </c>
      <c r="E1976">
        <f>-775.461222861912 -59.3190799316728 -301.586587778186</f>
        <v>-1136.3668905717709</v>
      </c>
      <c r="F1976">
        <f>-781.227580995243 -62.8406049486466 -390.426863108482</f>
        <v>-1234.4950490523715</v>
      </c>
      <c r="G1976">
        <f>-783.772378156966 -64.9740789276361 -479.461732532262</f>
        <v>-1328.2081896168643</v>
      </c>
      <c r="H1976">
        <f>-783.927003339544 -66.5500729030039 -604.034329858705</f>
        <v>-1454.5114061012528</v>
      </c>
      <c r="I1976">
        <f>-749.815404963814 -59.6106534793753 -679.488045545589</f>
        <v>-1488.9141039887782</v>
      </c>
      <c r="J1976">
        <f>-789.449634257363 -38.7193334696556 -549.552439242702</f>
        <v>-1377.7214069697206</v>
      </c>
      <c r="K1976" t="s">
        <v>24750</v>
      </c>
      <c r="L1976" t="s">
        <v>24751</v>
      </c>
      <c r="M1976" t="s">
        <v>24752</v>
      </c>
      <c r="N1976">
        <f>-778.268442815139 -92.9936807064612 -548.879771078011</f>
        <v>-1420.1418945996111</v>
      </c>
      <c r="O1976">
        <f>-752.749630616972 -224.744387359175 -519.100785400333</f>
        <v>-1496.5948033764801</v>
      </c>
      <c r="P1976">
        <f>-726.743118012398 -262.364280491438 -228.412625570803</f>
        <v>-1217.520024074639</v>
      </c>
      <c r="Q1976">
        <f>-572.764393990052 -123.435221084092 -351.050709049765</f>
        <v>-1047.250324123909</v>
      </c>
      <c r="R1976" t="s">
        <v>24753</v>
      </c>
      <c r="S1976" t="s">
        <v>24754</v>
      </c>
      <c r="T1976" t="s">
        <v>24755</v>
      </c>
      <c r="U1976" t="s">
        <v>24756</v>
      </c>
      <c r="V1976">
        <f>-718.155384548794 -135.170417452361 -87.4566527740494</f>
        <v>-940.78245477520443</v>
      </c>
      <c r="W1976" t="s">
        <v>24757</v>
      </c>
      <c r="X1976" t="s">
        <v>24758</v>
      </c>
      <c r="Y1976" t="s">
        <v>24759</v>
      </c>
    </row>
    <row r="1977" spans="1:25" x14ac:dyDescent="0.3">
      <c r="A1977">
        <v>98800</v>
      </c>
      <c r="B1977" t="s">
        <v>24760</v>
      </c>
      <c r="C1977">
        <f>-745.142954301937 -43.0552539863645 -90.2200568912522</f>
        <v>-878.41826517955371</v>
      </c>
      <c r="D1977">
        <f>-765.973706652043 -53.9565344407019 -203.637224766267</f>
        <v>-1023.5674658590119</v>
      </c>
      <c r="E1977">
        <f>-775.401681568852 -59.3200716943072 -301.662808050962</f>
        <v>-1136.3845613141211</v>
      </c>
      <c r="F1977">
        <f>-781.077477937125 -62.8130867736272 -390.509998353336</f>
        <v>-1234.4005630640881</v>
      </c>
      <c r="G1977">
        <f>-783.536986802168 -64.9168007012465 -479.547963564402</f>
        <v>-1328.0017510678165</v>
      </c>
      <c r="H1977">
        <f>-783.577864652645 -66.4495016769051 -604.121193860593</f>
        <v>-1454.1485601901431</v>
      </c>
      <c r="I1977">
        <f>-749.34499370436 -59.4849534480154 -679.517692532697</f>
        <v>-1488.3476396850724</v>
      </c>
      <c r="J1977">
        <f>-789.17121429822 -38.6420918004903 -549.634796457026</f>
        <v>-1377.4481025557363</v>
      </c>
      <c r="K1977" t="s">
        <v>24761</v>
      </c>
      <c r="L1977" t="s">
        <v>24762</v>
      </c>
      <c r="M1977" t="s">
        <v>24763</v>
      </c>
      <c r="N1977">
        <f>-777.948563925603 -92.9079581170911 -548.970748334195</f>
        <v>-1419.8272703768891</v>
      </c>
      <c r="O1977">
        <f>-752.380408976803 -224.651439563455 -519.199405712269</f>
        <v>-1496.2312542525269</v>
      </c>
      <c r="P1977">
        <f>-726.402507026477 -262.466326356661 -228.534076321195</f>
        <v>-1217.4029097043331</v>
      </c>
      <c r="Q1977">
        <f>-572.492261284287 -123.392469902482 -351.094250604845</f>
        <v>-1046.9789817916139</v>
      </c>
      <c r="R1977" t="s">
        <v>24764</v>
      </c>
      <c r="S1977" t="s">
        <v>24765</v>
      </c>
      <c r="T1977" t="s">
        <v>24766</v>
      </c>
      <c r="U1977" t="s">
        <v>24767</v>
      </c>
      <c r="V1977">
        <f>-718.266147776464 -135.357241615651 -87.4868919789712</f>
        <v>-941.11028137108622</v>
      </c>
      <c r="W1977" t="s">
        <v>24768</v>
      </c>
      <c r="X1977" t="s">
        <v>24769</v>
      </c>
      <c r="Y1977" t="s">
        <v>24770</v>
      </c>
    </row>
    <row r="1978" spans="1:25" x14ac:dyDescent="0.3">
      <c r="A1978">
        <v>98850</v>
      </c>
      <c r="B1978" t="s">
        <v>24771</v>
      </c>
      <c r="C1978">
        <f>-745.056083731912 -42.9476876081487 -90.2396469491316</f>
        <v>-878.24341828919239</v>
      </c>
      <c r="D1978">
        <f>-765.845244683581 -53.8554296034679 -203.663852904729</f>
        <v>-1023.3645271917778</v>
      </c>
      <c r="E1978">
        <f>-775.239611804463 -59.2231608377324 -301.692340862205</f>
        <v>-1136.1551135044006</v>
      </c>
      <c r="F1978">
        <f>-780.885917160366 -62.7189441007047 -390.541349344316</f>
        <v>-1234.1462106053868</v>
      </c>
      <c r="G1978">
        <f>-783.317219096425 -64.8239162214893 -479.580025097829</f>
        <v>-1327.7211604157433</v>
      </c>
      <c r="H1978">
        <f>-783.320139709786 -66.3563801607486 -604.153243507832</f>
        <v>-1453.8297633783666</v>
      </c>
      <c r="I1978">
        <f>-749.052997563316 -59.3835281140864 -679.533426147044</f>
        <v>-1487.9699518244465</v>
      </c>
      <c r="J1978">
        <f>-788.951067030443 -38.5534601708291 -549.668355786903</f>
        <v>-1377.1728829881752</v>
      </c>
      <c r="K1978" t="s">
        <v>24772</v>
      </c>
      <c r="L1978" t="s">
        <v>24773</v>
      </c>
      <c r="M1978" t="s">
        <v>24774</v>
      </c>
      <c r="N1978">
        <f>-777.686544355177 -92.8105567689177 -549.00109762797</f>
        <v>-1419.4981987520648</v>
      </c>
      <c r="O1978">
        <f>-752.040203660084 -224.534510943063 -519.211704192027</f>
        <v>-1495.7864187951741</v>
      </c>
      <c r="P1978">
        <f>-726.086311958891 -262.249604280165 -228.531233183009</f>
        <v>-1216.8671494220648</v>
      </c>
      <c r="Q1978">
        <f>-572.174433913107 -123.157348610046 -351.068332705179</f>
        <v>-1046.400115228332</v>
      </c>
      <c r="R1978" t="s">
        <v>24775</v>
      </c>
      <c r="S1978" t="s">
        <v>24776</v>
      </c>
      <c r="T1978" t="s">
        <v>24777</v>
      </c>
      <c r="U1978" t="s">
        <v>24778</v>
      </c>
      <c r="V1978">
        <f>-718.165659072728 -135.14935981228 -87.5174707655839</f>
        <v>-940.83248965059181</v>
      </c>
      <c r="W1978" t="s">
        <v>24779</v>
      </c>
      <c r="X1978" t="s">
        <v>24780</v>
      </c>
      <c r="Y1978" t="s">
        <v>24781</v>
      </c>
    </row>
    <row r="1979" spans="1:25" x14ac:dyDescent="0.3">
      <c r="A1979">
        <v>98900</v>
      </c>
      <c r="B1979" t="s">
        <v>24782</v>
      </c>
      <c r="C1979">
        <f>-744.64106751298 -42.7509634752848 -90.3029363322412</f>
        <v>-877.69496732050607</v>
      </c>
      <c r="D1979">
        <f>-765.399183406627 -53.6881710152502 -203.730073564515</f>
        <v>-1022.8174279863922</v>
      </c>
      <c r="E1979">
        <f>-774.760568905786 -59.0861330327293 -301.759953430778</f>
        <v>-1135.6066553692933</v>
      </c>
      <c r="F1979">
        <f>-780.375088844568 -62.6107856921726 -390.609856533138</f>
        <v>-1233.5957310698786</v>
      </c>
      <c r="G1979">
        <f>-782.773358012156 -64.7446139630197 -479.648859910029</f>
        <v>-1327.1668318852046</v>
      </c>
      <c r="H1979">
        <f>-782.728840090988 -66.316685026891 -604.221547231153</f>
        <v>-1453.2670723490319</v>
      </c>
      <c r="I1979">
        <f>-748.422779569963 -59.3034505761741 -679.580250272466</f>
        <v>-1487.3064804186031</v>
      </c>
      <c r="J1979">
        <f>-788.443791399398 -38.5096730437776 -549.747385506982</f>
        <v>-1376.7008499501576</v>
      </c>
      <c r="K1979" t="s">
        <v>24783</v>
      </c>
      <c r="L1979" t="s">
        <v>24784</v>
      </c>
      <c r="M1979" t="s">
        <v>24785</v>
      </c>
      <c r="N1979">
        <f>-777.052992000027 -92.7400808410307 -549.058922353237</f>
        <v>-1418.8519951942947</v>
      </c>
      <c r="O1979">
        <f>-751.129455105185 -224.386917589003 -519.158549743935</f>
        <v>-1494.6749224381231</v>
      </c>
      <c r="P1979">
        <f>-725.212646022849 -261.706599529528 -228.423634725281</f>
        <v>-1215.342880277658</v>
      </c>
      <c r="Q1979">
        <f>-571.301370609216 -122.471966306774 -350.7999774626</f>
        <v>-1044.5733143785899</v>
      </c>
      <c r="R1979" t="s">
        <v>24786</v>
      </c>
      <c r="S1979" t="s">
        <v>24787</v>
      </c>
      <c r="T1979" t="s">
        <v>24788</v>
      </c>
      <c r="U1979" t="s">
        <v>24789</v>
      </c>
      <c r="V1979">
        <f>-717.669607480952 -134.875728591555 -87.563354407496</f>
        <v>-940.10869048000302</v>
      </c>
      <c r="W1979" t="s">
        <v>24790</v>
      </c>
      <c r="X1979" t="s">
        <v>24791</v>
      </c>
      <c r="Y1979" t="s">
        <v>24792</v>
      </c>
    </row>
    <row r="1980" spans="1:25" x14ac:dyDescent="0.3">
      <c r="A1980">
        <v>98950</v>
      </c>
      <c r="B1980" t="s">
        <v>24793</v>
      </c>
      <c r="C1980">
        <f>-744.424479495505 -42.6767144291896 -90.3369365411781</f>
        <v>-877.43813046587275</v>
      </c>
      <c r="D1980">
        <f>-765.186437748349 -53.6408097855117 -203.760656226049</f>
        <v>-1022.5879037599098</v>
      </c>
      <c r="E1980">
        <f>-774.548229256446 -59.060057858246 -301.789513541138</f>
        <v>-1135.39780065583</v>
      </c>
      <c r="F1980">
        <f>-780.162251856381 -62.603028753108 -390.638742470885</f>
        <v>-1233.4040230803739</v>
      </c>
      <c r="G1980">
        <f>-782.559213659171 -64.7531757583963 -479.677270972868</f>
        <v>-1326.9896603904353</v>
      </c>
      <c r="H1980">
        <f>-782.512451999824 -66.3455920532901 -604.249662204943</f>
        <v>-1453.1077062580571</v>
      </c>
      <c r="I1980">
        <f>-748.203061875762 -59.2962275132809 -679.603498910417</f>
        <v>-1487.1027882994599</v>
      </c>
      <c r="J1980">
        <f>-788.270519972924 -38.5385530969791 -549.780225775182</f>
        <v>-1376.5892988450851</v>
      </c>
      <c r="K1980" t="s">
        <v>24794</v>
      </c>
      <c r="L1980" t="s">
        <v>24795</v>
      </c>
      <c r="M1980" t="s">
        <v>24796</v>
      </c>
      <c r="N1980">
        <f>-776.795497925769 -92.7511530254594 -549.082800001897</f>
        <v>-1418.6294509531253</v>
      </c>
      <c r="O1980">
        <f>-750.690352234417 -224.347916534208 -519.118030949884</f>
        <v>-1494.156299718509</v>
      </c>
      <c r="P1980">
        <f>-724.730283666735 -261.672931034715 -228.387674055485</f>
        <v>-1214.7908887569349</v>
      </c>
      <c r="Q1980">
        <f>-571.128546368468 -121.887234954037 -350.524123823401</f>
        <v>-1043.539905145906</v>
      </c>
      <c r="R1980" t="s">
        <v>24797</v>
      </c>
      <c r="S1980" t="s">
        <v>24798</v>
      </c>
      <c r="T1980" t="s">
        <v>24799</v>
      </c>
      <c r="U1980" t="s">
        <v>24800</v>
      </c>
      <c r="V1980">
        <f>-717.377437535152 -134.837290993123 -87.5925847079492</f>
        <v>-939.80731323622422</v>
      </c>
      <c r="W1980" t="s">
        <v>24801</v>
      </c>
      <c r="X1980" t="s">
        <v>24802</v>
      </c>
      <c r="Y1980" t="s">
        <v>24803</v>
      </c>
    </row>
    <row r="1981" spans="1:25" x14ac:dyDescent="0.3">
      <c r="A1981">
        <v>99000</v>
      </c>
      <c r="B1981" t="s">
        <v>24804</v>
      </c>
      <c r="C1981">
        <f>-743.934998583482 -42.4957874624065 -90.416737457212</f>
        <v>-876.84752350310043</v>
      </c>
      <c r="D1981">
        <f>-764.687856802168 -53.510413217525 -203.837220119285</f>
        <v>-1022.0354901389779</v>
      </c>
      <c r="E1981">
        <f>-774.034090053914 -58.9541771815157 -301.866144772583</f>
        <v>-1134.8544120080128</v>
      </c>
      <c r="F1981">
        <f>-779.631011901327 -62.5111533200391 -390.71587370844</f>
        <v>-1232.8580389298061</v>
      </c>
      <c r="G1981">
        <f>-782.00865828935 -64.6655853155796 -479.75485035168</f>
        <v>-1326.4290939566097</v>
      </c>
      <c r="H1981">
        <f>-781.932600434609 -66.2523553930164 -604.327303471658</f>
        <v>-1452.5122592992834</v>
      </c>
      <c r="I1981">
        <f>-747.615934334178 -59.0767595549908 -679.665904466156</f>
        <v>-1486.3585983553248</v>
      </c>
      <c r="J1981">
        <f>-787.804187851401 -38.4692540642727 -549.857714542478</f>
        <v>-1376.1311564581517</v>
      </c>
      <c r="K1981" t="s">
        <v>24805</v>
      </c>
      <c r="L1981" t="s">
        <v>24806</v>
      </c>
      <c r="M1981" t="s">
        <v>24807</v>
      </c>
      <c r="N1981">
        <f>-776.128031686301 -92.6388615103235 -549.160546841173</f>
        <v>-1417.9274400377976</v>
      </c>
      <c r="O1981">
        <f>-749.578751771828 -224.127544021643 -519.12901953031</f>
        <v>-1492.8353153237808</v>
      </c>
      <c r="P1981">
        <f>-723.392882119535 -261.70524556348 -228.451455761854</f>
        <v>-1213.5495834448691</v>
      </c>
      <c r="Q1981">
        <f>-571.262434534349 -119.406524494552 -349.522893668009</f>
        <v>-1040.19185269691</v>
      </c>
      <c r="R1981" t="s">
        <v>24808</v>
      </c>
      <c r="S1981" t="s">
        <v>24809</v>
      </c>
      <c r="T1981" t="s">
        <v>24810</v>
      </c>
      <c r="U1981" t="s">
        <v>24811</v>
      </c>
      <c r="V1981">
        <f>-716.683223520393 -134.574246782975 -87.6650497128777</f>
        <v>-938.9225200162457</v>
      </c>
      <c r="W1981" t="s">
        <v>24812</v>
      </c>
      <c r="X1981" t="s">
        <v>24813</v>
      </c>
      <c r="Y1981" t="s">
        <v>24814</v>
      </c>
    </row>
    <row r="1982" spans="1:25" x14ac:dyDescent="0.3">
      <c r="A1982">
        <v>99050</v>
      </c>
      <c r="B1982" t="s">
        <v>24815</v>
      </c>
      <c r="C1982">
        <f>-743.64426878542 -42.4845513526898 -90.4583267709768</f>
        <v>-876.58714690908653</v>
      </c>
      <c r="D1982">
        <f>-764.401029411539 -53.5291233464407 -203.875254033996</f>
        <v>-1021.8054067919757</v>
      </c>
      <c r="E1982">
        <f>-773.754685975408 -58.9798445945107 -301.903138549912</f>
        <v>-1134.6376691198307</v>
      </c>
      <c r="F1982">
        <f>-779.359958374664 -62.5358413294618 -390.752233062708</f>
        <v>-1232.6480327668337</v>
      </c>
      <c r="G1982">
        <f>-781.74792254878 -64.6806453813726 -479.791206397428</f>
        <v>-1326.2197743275806</v>
      </c>
      <c r="H1982">
        <f>-781.688189032991 -66.2443039176392 -604.363897670563</f>
        <v>-1452.296390621193</v>
      </c>
      <c r="I1982">
        <f>-747.371877811325 -58.9851175708066 -679.694630219614</f>
        <v>-1486.0516256017456</v>
      </c>
      <c r="J1982">
        <f>-787.610498014515 -38.4839223463546 -549.888316329966</f>
        <v>-1375.9827366908355</v>
      </c>
      <c r="K1982" t="s">
        <v>24816</v>
      </c>
      <c r="L1982" t="s">
        <v>24817</v>
      </c>
      <c r="M1982" t="s">
        <v>24818</v>
      </c>
      <c r="N1982">
        <f>-775.818264639058 -92.6284582601422 -549.203025394006</f>
        <v>-1417.6497482932064</v>
      </c>
      <c r="O1982">
        <f>-748.988149334558 -224.058825550243 -519.158176358276</f>
        <v>-1492.2051512430771</v>
      </c>
      <c r="P1982">
        <f>-722.489118804746 -261.963789650915 -228.551498730526</f>
        <v>-1213.0044071861869</v>
      </c>
      <c r="Q1982">
        <f>-571.995933954574 -117.318311997843 -348.885775010696</f>
        <v>-1038.200020963113</v>
      </c>
      <c r="R1982" t="s">
        <v>24819</v>
      </c>
      <c r="S1982" t="s">
        <v>24820</v>
      </c>
      <c r="T1982" t="s">
        <v>24821</v>
      </c>
      <c r="U1982" t="s">
        <v>24822</v>
      </c>
      <c r="V1982">
        <f>-716.268850124906 -134.525137861895 -87.7031480465395</f>
        <v>-938.49713603334044</v>
      </c>
      <c r="W1982" t="s">
        <v>24823</v>
      </c>
      <c r="X1982" t="s">
        <v>24824</v>
      </c>
      <c r="Y1982" t="s">
        <v>24825</v>
      </c>
    </row>
    <row r="1983" spans="1:25" x14ac:dyDescent="0.3">
      <c r="A1983">
        <v>99100</v>
      </c>
      <c r="B1983" t="s">
        <v>24826</v>
      </c>
      <c r="C1983">
        <f>-743.15925982643 -42.4755423299678 -90.5663358083715</f>
        <v>-876.20113796476926</v>
      </c>
      <c r="D1983">
        <f>-763.920439126083 -53.6429024555673 -203.970397740601</f>
        <v>-1021.5337393222513</v>
      </c>
      <c r="E1983">
        <f>-773.326780045803 -59.1275337559666 -301.991337174727</f>
        <v>-1134.4456509764966</v>
      </c>
      <c r="F1983">
        <f>-778.998705994086 -62.6860437198695 -390.836208576405</f>
        <v>-1232.5209582903606</v>
      </c>
      <c r="G1983">
        <f>-781.472221480266 -64.8022004409847 -479.873502786513</f>
        <v>-1326.1479247077637</v>
      </c>
      <c r="H1983">
        <f>-781.552709567869 -66.2920234268049 -604.447006654948</f>
        <v>-1452.2917396496218</v>
      </c>
      <c r="I1983">
        <f>-747.227638368636 -58.78943915078 -679.749898636527</f>
        <v>-1485.766976155943</v>
      </c>
      <c r="J1983">
        <f>-787.555080905032 -38.5951077282591 -549.94789595318</f>
        <v>-1376.098084586471</v>
      </c>
      <c r="K1983" t="s">
        <v>24827</v>
      </c>
      <c r="L1983" t="s">
        <v>24828</v>
      </c>
      <c r="M1983" t="s">
        <v>24829</v>
      </c>
      <c r="N1983">
        <f>-775.47954086328 -92.6778393327884 -549.308834864458</f>
        <v>-1417.4662150605263</v>
      </c>
      <c r="O1983">
        <f>-748.030940380024 -223.998904909352 -519.343735776569</f>
        <v>-1491.373581065945</v>
      </c>
      <c r="P1983">
        <f>-719.984438477194 -263.130430548504 -229.045014394039</f>
        <v>-1212.1598834197371</v>
      </c>
      <c r="Q1983">
        <f>-575.082849201229 -111.265180543609 -347.330117079102</f>
        <v>-1033.6781468239401</v>
      </c>
      <c r="R1983" t="s">
        <v>24830</v>
      </c>
      <c r="S1983" t="s">
        <v>24831</v>
      </c>
      <c r="T1983" t="s">
        <v>24832</v>
      </c>
      <c r="U1983" t="s">
        <v>24833</v>
      </c>
      <c r="V1983">
        <f>-715.440651014152 -134.475954611122 -87.7792281644125</f>
        <v>-937.6958337896865</v>
      </c>
      <c r="W1983" t="s">
        <v>24834</v>
      </c>
      <c r="X1983" t="s">
        <v>24835</v>
      </c>
      <c r="Y1983" t="s">
        <v>24836</v>
      </c>
    </row>
    <row r="1984" spans="1:25" x14ac:dyDescent="0.3">
      <c r="A1984">
        <v>99150</v>
      </c>
      <c r="B1984" t="s">
        <v>24837</v>
      </c>
      <c r="C1984">
        <f>-742.892758600912 -42.4672981017654 -90.6264322815798</f>
        <v>-875.98648898425722</v>
      </c>
      <c r="D1984">
        <f>-763.655825222835 -53.708999643726 -204.022870913603</f>
        <v>-1021.387695780164</v>
      </c>
      <c r="E1984">
        <f>-773.105228967706 -59.2083100372342 -302.038770566659</f>
        <v>-1134.3523095715993</v>
      </c>
      <c r="F1984">
        <f>-778.832054387988 -62.7608457763004 -390.880403314767</f>
        <v>-1232.4733034790554</v>
      </c>
      <c r="G1984">
        <f>-781.377085107677 -64.8502652420193 -479.916340045334</f>
        <v>-1326.1436903950303</v>
      </c>
      <c r="H1984">
        <f>-781.574157646053 -66.2801607840688 -604.490532016422</f>
        <v>-1452.3448504465437</v>
      </c>
      <c r="I1984">
        <f>-747.233568926964 -58.6185713955783 -679.770357123515</f>
        <v>-1485.6224974460574</v>
      </c>
      <c r="J1984">
        <f>-787.609057541787 -38.6281617207358 -549.972082809732</f>
        <v>-1376.2093020722548</v>
      </c>
      <c r="K1984" t="s">
        <v>24838</v>
      </c>
      <c r="L1984" t="s">
        <v>24839</v>
      </c>
      <c r="M1984" t="s">
        <v>24840</v>
      </c>
      <c r="N1984">
        <f>-775.365735780844 -92.6735829212753 -549.371073636271</f>
        <v>-1417.4103923383905</v>
      </c>
      <c r="O1984">
        <f>-747.492469394628 -223.931575376895 -519.522297370056</f>
        <v>-1490.946342141579</v>
      </c>
      <c r="P1984">
        <f>-718.526480877062 -263.620114737704 -229.389579854478</f>
        <v>-1211.536175469244</v>
      </c>
      <c r="Q1984">
        <f>-576.336661678553 -108.092550157154 -346.197537508722</f>
        <v>-1030.6267493444291</v>
      </c>
      <c r="R1984" t="s">
        <v>24841</v>
      </c>
      <c r="S1984" t="s">
        <v>24842</v>
      </c>
      <c r="T1984" t="s">
        <v>24843</v>
      </c>
      <c r="U1984" t="s">
        <v>24844</v>
      </c>
      <c r="V1984">
        <f>-714.937370436582 -134.400712870473 -87.8186274720713</f>
        <v>-937.15671077912634</v>
      </c>
      <c r="W1984" t="s">
        <v>24845</v>
      </c>
      <c r="X1984" t="s">
        <v>24846</v>
      </c>
      <c r="Y1984" t="s">
        <v>24847</v>
      </c>
    </row>
    <row r="1985" spans="1:25" x14ac:dyDescent="0.3">
      <c r="A1985">
        <v>99200</v>
      </c>
      <c r="B1985" t="s">
        <v>24848</v>
      </c>
      <c r="C1985">
        <f>-742.330798561525 -42.6882737807259 -90.6899741524259</f>
        <v>-875.70904649467673</v>
      </c>
      <c r="D1985">
        <f>-763.087682339822 -54.0692918902896 -204.073514401367</f>
        <v>-1021.2304886314786</v>
      </c>
      <c r="E1985">
        <f>-772.605997302699 -59.5711864037341 -302.082666700969</f>
        <v>-1134.2598504074022</v>
      </c>
      <c r="F1985">
        <f>-778.423537210264 -63.0802457530533 -390.919991753715</f>
        <v>-1232.4237747170323</v>
      </c>
      <c r="G1985">
        <f>-781.087984456192 -65.0765092644533 -479.954763004122</f>
        <v>-1326.1192567247672</v>
      </c>
      <c r="H1985">
        <f>-781.481959167303 -66.3230592326122 -604.530338211039</f>
        <v>-1452.335356610954</v>
      </c>
      <c r="I1985">
        <f>-747.077354547942 -58.2680416558023 -679.739898903823</f>
        <v>-1485.0852951075674</v>
      </c>
      <c r="J1985">
        <f>-787.626992117363 -38.7966376248917 -549.96062329887</f>
        <v>-1376.3842530411248</v>
      </c>
      <c r="K1985" t="s">
        <v>24849</v>
      </c>
      <c r="L1985" t="s">
        <v>24850</v>
      </c>
      <c r="M1985" t="s">
        <v>24851</v>
      </c>
      <c r="N1985">
        <f>-774.990321113745 -92.7524666158347 -549.460828315722</f>
        <v>-1417.2036160453017</v>
      </c>
      <c r="O1985">
        <f>-746.139848336088 -223.87547684656 -519.93405319693</f>
        <v>-1489.9493783795779</v>
      </c>
      <c r="P1985">
        <f>-716.076750261904 -263.383580334684 -229.8881836457</f>
        <v>-1209.3485142422878</v>
      </c>
      <c r="Q1985">
        <f>-577.541571490919 -101.978173623707 -343.056880828517</f>
        <v>-1022.576625943143</v>
      </c>
      <c r="R1985" t="s">
        <v>24852</v>
      </c>
      <c r="S1985" t="s">
        <v>24853</v>
      </c>
      <c r="T1985" t="s">
        <v>24854</v>
      </c>
      <c r="U1985" t="s">
        <v>24855</v>
      </c>
      <c r="V1985">
        <f>-713.912050553453 -134.553997535264 -87.8609148009094</f>
        <v>-936.32696288962643</v>
      </c>
      <c r="W1985" t="s">
        <v>24856</v>
      </c>
      <c r="X1985" t="s">
        <v>24857</v>
      </c>
      <c r="Y1985" t="s">
        <v>24858</v>
      </c>
    </row>
    <row r="1986" spans="1:25" x14ac:dyDescent="0.3">
      <c r="A1986">
        <v>99250</v>
      </c>
      <c r="B1986" t="s">
        <v>24859</v>
      </c>
      <c r="C1986">
        <f>-742.048584802199 -42.8721885963694 -90.7097019206166</f>
        <v>-875.63047531918494</v>
      </c>
      <c r="D1986">
        <f>-762.802064014019 -54.3321405071872 -204.085997123714</f>
        <v>-1021.2202016449203</v>
      </c>
      <c r="E1986">
        <f>-772.347489321551 -59.830997124119 -302.092687927345</f>
        <v>-1134.2711743730151</v>
      </c>
      <c r="F1986">
        <f>-778.200597107109 -63.309819036713 -390.928897407003</f>
        <v>-1232.4393135508249</v>
      </c>
      <c r="G1986">
        <f>-780.911613397028 -65.2472702391156 -479.963354976626</f>
        <v>-1326.1222386127695</v>
      </c>
      <c r="H1986">
        <f>-781.381845089124 -66.3811264376611 -604.539871947249</f>
        <v>-1452.302843474034</v>
      </c>
      <c r="I1986">
        <f>-746.929179673797 -58.1099774299732 -679.703972531369</f>
        <v>-1484.7431296351392</v>
      </c>
      <c r="J1986">
        <f>-787.592731986525 -38.9275422213962 -549.941030675844</f>
        <v>-1376.461304883765</v>
      </c>
      <c r="K1986" t="s">
        <v>24860</v>
      </c>
      <c r="L1986" t="s">
        <v>24861</v>
      </c>
      <c r="M1986" t="s">
        <v>24862</v>
      </c>
      <c r="N1986">
        <f>-774.757165931459 -92.8368447725366 -549.498804761384</f>
        <v>-1417.0928154653795</v>
      </c>
      <c r="O1986">
        <f>-745.462994665219 -223.905335784601 -520.163583559643</f>
        <v>-1489.531914009463</v>
      </c>
      <c r="P1986">
        <f>-714.906768481356 -263.235098897746 -230.145163504976</f>
        <v>-1208.2870308840779</v>
      </c>
      <c r="Q1986">
        <f>-577.16496858549 -100.373857606221 -342.191135933594</f>
        <v>-1019.7299621253051</v>
      </c>
      <c r="R1986" t="s">
        <v>24863</v>
      </c>
      <c r="S1986" t="s">
        <v>24864</v>
      </c>
      <c r="T1986" t="s">
        <v>24865</v>
      </c>
      <c r="U1986" t="s">
        <v>24866</v>
      </c>
      <c r="V1986">
        <f>-713.340484142802 -134.710821408552 -87.8780357809583</f>
        <v>-935.92934133231222</v>
      </c>
      <c r="W1986" t="s">
        <v>24867</v>
      </c>
      <c r="X1986" t="s">
        <v>24868</v>
      </c>
      <c r="Y1986" t="s">
        <v>24869</v>
      </c>
    </row>
    <row r="1987" spans="1:25" x14ac:dyDescent="0.3">
      <c r="A1987">
        <v>99300</v>
      </c>
      <c r="B1987" t="s">
        <v>24870</v>
      </c>
      <c r="C1987">
        <f>-741.752251721706 -43.337616691337 -90.7389342432213</f>
        <v>-875.8288026562642</v>
      </c>
      <c r="D1987">
        <f>-762.497248265837 -54.9658861765545 -204.099748547679</f>
        <v>-1021.5628829900705</v>
      </c>
      <c r="E1987">
        <f>-772.10547062814 -60.4477301711406 -302.101117128554</f>
        <v>-1134.6543179278347</v>
      </c>
      <c r="F1987">
        <f>-778.040877492717 -63.8491170578034 -390.934875060277</f>
        <v>-1232.8248696107974</v>
      </c>
      <c r="G1987">
        <f>-780.859575107158 -65.6439310417618 -479.969174247834</f>
        <v>-1326.4726803967537</v>
      </c>
      <c r="H1987">
        <f>-781.506268853887 -66.5091061532523 -604.546939563058</f>
        <v>-1452.5623145701975</v>
      </c>
      <c r="I1987">
        <f>-746.931162211547 -57.8224769582098 -679.607800879354</f>
        <v>-1484.3614400491108</v>
      </c>
      <c r="J1987">
        <f>-787.816508272955 -39.2160531423904 -549.879128443142</f>
        <v>-1376.9116898584875</v>
      </c>
      <c r="K1987" t="s">
        <v>24871</v>
      </c>
      <c r="L1987" t="s">
        <v>24872</v>
      </c>
      <c r="M1987" t="s">
        <v>24873</v>
      </c>
      <c r="N1987">
        <f>-774.626946416736 -93.0407826649271 -549.573762155208</f>
        <v>-1417.2414912368711</v>
      </c>
      <c r="O1987">
        <f>-744.562117199245 -224.016961292946 -520.629745976056</f>
        <v>-1489.208824468247</v>
      </c>
      <c r="P1987">
        <f>-712.003513755435 -262.943960150587 -230.774942586957</f>
        <v>-1205.7224164929789</v>
      </c>
      <c r="Q1987">
        <f>-574.443199145462 -98.9559343108738 -341.391179504433</f>
        <v>-1014.7903129607688</v>
      </c>
      <c r="R1987" t="s">
        <v>24874</v>
      </c>
      <c r="S1987" t="s">
        <v>24875</v>
      </c>
      <c r="T1987" t="s">
        <v>24876</v>
      </c>
      <c r="U1987" t="s">
        <v>24877</v>
      </c>
      <c r="V1987">
        <f>-712.53605681357 -135.190925878975 -87.8881928177672</f>
        <v>-935.61517551031216</v>
      </c>
      <c r="W1987" t="s">
        <v>24878</v>
      </c>
      <c r="X1987" t="s">
        <v>24879</v>
      </c>
      <c r="Y1987" t="s">
        <v>24880</v>
      </c>
    </row>
    <row r="1988" spans="1:25" x14ac:dyDescent="0.3">
      <c r="A1988">
        <v>99350</v>
      </c>
      <c r="B1988" t="s">
        <v>24881</v>
      </c>
      <c r="C1988">
        <f>-741.673126124479 -43.6254574725967 -90.745546382301</f>
        <v>-876.04412997937675</v>
      </c>
      <c r="D1988">
        <f>-762.416258664909 -55.3260059168349 -204.099285359794</f>
        <v>-1021.841549941538</v>
      </c>
      <c r="E1988">
        <f>-772.064157562931 -60.7945711496748 -302.097514628308</f>
        <v>-1134.9562433409137</v>
      </c>
      <c r="F1988">
        <f>-778.051036274551 -64.154528128335 -390.929385771116</f>
        <v>-1233.1349501740019</v>
      </c>
      <c r="G1988">
        <f>-780.937013484725 -65.877020569922 -479.962855208897</f>
        <v>-1326.776889263544</v>
      </c>
      <c r="H1988">
        <f>-781.693498285245 -66.6080765053855 -604.541035746784</f>
        <v>-1452.8426105374147</v>
      </c>
      <c r="I1988">
        <f>-747.035321911664 -57.718921703661 -679.539734018338</f>
        <v>-1484.293977633663</v>
      </c>
      <c r="J1988">
        <f>-788.036591386943 -39.3938157874411 -549.837530774564</f>
        <v>-1377.2679379489482</v>
      </c>
      <c r="K1988" t="s">
        <v>24882</v>
      </c>
      <c r="L1988" t="s">
        <v>24883</v>
      </c>
      <c r="M1988" t="s">
        <v>24884</v>
      </c>
      <c r="N1988">
        <f>-774.684621309614 -93.1789124202705 -549.603074248461</f>
        <v>-1417.4666079783456</v>
      </c>
      <c r="O1988">
        <f>-744.267289872308 -224.125815465481 -520.869656986479</f>
        <v>-1489.2627623242679</v>
      </c>
      <c r="P1988">
        <f>-710.618499637568 -262.797893364054 -231.105110725834</f>
        <v>-1204.5215037274561</v>
      </c>
      <c r="Q1988">
        <f>-572.573701984761 -98.3069741559302 -340.362819815617</f>
        <v>-1011.2434959563082</v>
      </c>
      <c r="R1988" t="s">
        <v>24885</v>
      </c>
      <c r="S1988" t="s">
        <v>24886</v>
      </c>
      <c r="T1988" t="s">
        <v>24887</v>
      </c>
      <c r="U1988" t="s">
        <v>24888</v>
      </c>
      <c r="V1988">
        <f>-712.254809742782 -135.515097907032 -87.8665255695629</f>
        <v>-935.63643321937684</v>
      </c>
      <c r="W1988" t="s">
        <v>24889</v>
      </c>
      <c r="X1988" t="s">
        <v>24890</v>
      </c>
      <c r="Y1988" t="s">
        <v>24891</v>
      </c>
    </row>
    <row r="1989" spans="1:25" x14ac:dyDescent="0.3">
      <c r="A1989">
        <v>99400</v>
      </c>
      <c r="B1989" t="s">
        <v>24892</v>
      </c>
      <c r="C1989">
        <f>-741.59702457234 -44.1330823721316 -90.7224344783914</f>
        <v>-876.45254142286308</v>
      </c>
      <c r="D1989">
        <f>-762.357209068046 -55.9598397353129 -204.059850830132</f>
        <v>-1022.3768996334909</v>
      </c>
      <c r="E1989">
        <f>-772.090017267042 -61.404827359906 -302.051045854543</f>
        <v>-1135.5458904814909</v>
      </c>
      <c r="F1989">
        <f>-778.18041843412 -64.6914256211585 -390.878646891062</f>
        <v>-1233.7504909463405</v>
      </c>
      <c r="G1989">
        <f>-781.196714107296 -66.2856491908001 -479.910205280192</f>
        <v>-1327.3925685782881</v>
      </c>
      <c r="H1989">
        <f>-782.163155942793 -66.7786124080353 -604.488083578913</f>
        <v>-1453.4298519297413</v>
      </c>
      <c r="I1989">
        <f>-747.386175173463 -57.5266305109899 -679.387872639051</f>
        <v>-1484.3006783235039</v>
      </c>
      <c r="J1989">
        <f>-788.568316400158 -39.7077885985898 -549.720872157448</f>
        <v>-1377.9969771561957</v>
      </c>
      <c r="K1989" t="s">
        <v>24893</v>
      </c>
      <c r="L1989" t="s">
        <v>24894</v>
      </c>
      <c r="M1989" t="s">
        <v>24895</v>
      </c>
      <c r="N1989">
        <f>-774.907474203168 -93.4155528453934 -549.614190894957</f>
        <v>-1417.9372179435186</v>
      </c>
      <c r="O1989">
        <f>-743.860418804881 -224.301131817087 -521.315292224199</f>
        <v>-1489.4768428461671</v>
      </c>
      <c r="P1989">
        <f>-708.415645291512 -262.733104171786 -231.733114237531</f>
        <v>-1202.8818637008289</v>
      </c>
      <c r="Q1989">
        <f>-567.835798944536 -98.1584776580437 -337.579124773188</f>
        <v>-1003.5734013757677</v>
      </c>
      <c r="R1989" t="s">
        <v>24896</v>
      </c>
      <c r="S1989" t="s">
        <v>24897</v>
      </c>
      <c r="T1989" t="s">
        <v>24898</v>
      </c>
      <c r="U1989" t="s">
        <v>24899</v>
      </c>
      <c r="V1989">
        <f>-711.714999712098 -135.829640524338 -87.8399552130059</f>
        <v>-935.3845954494418</v>
      </c>
      <c r="W1989" t="s">
        <v>24900</v>
      </c>
      <c r="X1989" t="s">
        <v>24901</v>
      </c>
      <c r="Y1989" t="s">
        <v>24902</v>
      </c>
    </row>
    <row r="1990" spans="1:25" x14ac:dyDescent="0.3">
      <c r="A1990">
        <v>99450</v>
      </c>
      <c r="B1990" t="s">
        <v>24903</v>
      </c>
      <c r="C1990">
        <f>-741.561366450029 -44.4052954009719 -90.6949814417064</f>
        <v>-876.66164329270737</v>
      </c>
      <c r="D1990">
        <f>-762.349986720783 -56.3010130313503 -204.019885121375</f>
        <v>-1022.6708848735084</v>
      </c>
      <c r="E1990">
        <f>-772.113197826812 -61.750222963311 -302.007959818448</f>
        <v>-1135.8713806085709</v>
      </c>
      <c r="F1990">
        <f>-778.232488145038 -65.0195188740372 -390.83411851684</f>
        <v>-1234.0861255359152</v>
      </c>
      <c r="G1990">
        <f>-781.278994406956 -66.5740011408548 -479.86534708367</f>
        <v>-1327.7183426314807</v>
      </c>
      <c r="H1990">
        <f>-782.289251536695 -66.9881839651487 -604.443128845965</f>
        <v>-1453.7205643478087</v>
      </c>
      <c r="I1990">
        <f>-747.46996444455 -57.5773434898149 -679.303433797022</f>
        <v>-1484.3507417313867</v>
      </c>
      <c r="J1990">
        <f>-788.735541108641 -39.9674078812864 -549.65590877127</f>
        <v>-1378.3588577611972</v>
      </c>
      <c r="K1990" t="s">
        <v>24904</v>
      </c>
      <c r="L1990" t="s">
        <v>24905</v>
      </c>
      <c r="M1990" t="s">
        <v>24906</v>
      </c>
      <c r="N1990">
        <f>-774.953807842362 -93.6444941892032 -549.589144470127</f>
        <v>-1418.1874465016922</v>
      </c>
      <c r="O1990">
        <f>-743.545857006675 -224.484643732997 -521.459135485224</f>
        <v>-1489.489636224896</v>
      </c>
      <c r="P1990">
        <f>-707.236488443034 -263.070740881358 -232.004572066654</f>
        <v>-1202.3118013910459</v>
      </c>
      <c r="Q1990">
        <f>-565.880825613873 -98.1861769578836 -336.323660417435</f>
        <v>-1000.3906629891916</v>
      </c>
      <c r="R1990" t="s">
        <v>24907</v>
      </c>
      <c r="S1990" t="s">
        <v>24908</v>
      </c>
      <c r="T1990" t="s">
        <v>24909</v>
      </c>
      <c r="U1990" t="s">
        <v>24910</v>
      </c>
      <c r="V1990">
        <f>-711.484792643472 -136.120098559595 -87.805475961114</f>
        <v>-935.41036716418103</v>
      </c>
      <c r="W1990" t="s">
        <v>24911</v>
      </c>
      <c r="X1990" t="s">
        <v>24912</v>
      </c>
      <c r="Y1990" t="s">
        <v>24913</v>
      </c>
    </row>
    <row r="1991" spans="1:25" x14ac:dyDescent="0.3">
      <c r="A1991">
        <v>99500</v>
      </c>
      <c r="B1991" t="s">
        <v>24914</v>
      </c>
      <c r="C1991">
        <f>-741.426560728429 -45.2081153792117 -90.6417283967772</f>
        <v>-877.27640450441788</v>
      </c>
      <c r="D1991">
        <f>-762.284764619446 -57.2231611969901 -203.94124987779</f>
        <v>-1023.4491756942261</v>
      </c>
      <c r="E1991">
        <f>-772.071608277138 -62.7021603860132 -301.925205769076</f>
        <v>-1136.6989744322273</v>
      </c>
      <c r="F1991">
        <f>-778.196348702533 -65.9707811501676 -390.751190509027</f>
        <v>-1234.9183203617276</v>
      </c>
      <c r="G1991">
        <f>-781.231701383068 -67.4973195680582 -479.783246618342</f>
        <v>-1328.5122675694681</v>
      </c>
      <c r="H1991">
        <f>-782.207996893284 -67.8439861506174 -604.361419681094</f>
        <v>-1454.4134027249954</v>
      </c>
      <c r="I1991">
        <f>-747.3766909206 -58.1546017327282 -679.180560734972</f>
        <v>-1484.7118533883004</v>
      </c>
      <c r="J1991">
        <f>-788.714263938979 -40.8644380045541 -549.561078524784</f>
        <v>-1379.139780468317</v>
      </c>
      <c r="K1991" t="s">
        <v>24915</v>
      </c>
      <c r="L1991" t="s">
        <v>24916</v>
      </c>
      <c r="M1991" t="s">
        <v>24917</v>
      </c>
      <c r="N1991">
        <f>-774.84265681236 -94.5185119022269 -549.520375574962</f>
        <v>-1418.8815442895489</v>
      </c>
      <c r="O1991">
        <f>-743.104931422945 -225.342538021593 -521.723008881231</f>
        <v>-1490.170478325769</v>
      </c>
      <c r="P1991">
        <f>-702.737834409997 -264.717460765081 -232.912811312166</f>
        <v>-1200.3681064872439</v>
      </c>
      <c r="Q1991">
        <f>-560.353735926615 -99.6854690443754 -335.587656241125</f>
        <v>-995.62686121211527</v>
      </c>
      <c r="R1991" t="s">
        <v>24918</v>
      </c>
      <c r="S1991" t="s">
        <v>24919</v>
      </c>
      <c r="T1991" t="s">
        <v>24920</v>
      </c>
      <c r="U1991" t="s">
        <v>24921</v>
      </c>
      <c r="V1991">
        <f>-711.107924255099 -137.022544505673 -87.7064442848475</f>
        <v>-935.83691304561944</v>
      </c>
      <c r="W1991" t="s">
        <v>24922</v>
      </c>
      <c r="X1991" t="s">
        <v>24923</v>
      </c>
      <c r="Y1991" t="s">
        <v>24924</v>
      </c>
    </row>
    <row r="1992" spans="1:25" x14ac:dyDescent="0.3">
      <c r="A1992">
        <v>99550</v>
      </c>
      <c r="B1992" t="s">
        <v>24925</v>
      </c>
      <c r="C1992">
        <f>-741.419093187115 -45.666459875657 -90.5951232322277</f>
        <v>-877.68067629499967</v>
      </c>
      <c r="D1992">
        <f>-762.328581977951 -57.7131828832967 -203.881816164226</f>
        <v>-1023.9235810254736</v>
      </c>
      <c r="E1992">
        <f>-772.135247655798 -63.2229810881811 -301.86212829218</f>
        <v>-1137.2203570361592</v>
      </c>
      <c r="F1992">
        <f>-778.267325703843 -66.5221163485135 -390.686500805423</f>
        <v>-1235.4759428577795</v>
      </c>
      <c r="G1992">
        <f>-781.299093759802 -68.0825046222833 -479.717978001891</f>
        <v>-1329.0995763839762</v>
      </c>
      <c r="H1992">
        <f>-782.258825997093 -68.481282713987 -604.296312937652</f>
        <v>-1455.0364216487319</v>
      </c>
      <c r="I1992">
        <f>-747.469953059262 -58.7145119616716 -679.125146215345</f>
        <v>-1485.3096112362787</v>
      </c>
      <c r="J1992">
        <f>-788.729903497433 -41.4679351367527 -549.508289727357</f>
        <v>-1379.7061283615426</v>
      </c>
      <c r="K1992" t="s">
        <v>24926</v>
      </c>
      <c r="L1992" t="s">
        <v>24927</v>
      </c>
      <c r="M1992" t="s">
        <v>24928</v>
      </c>
      <c r="N1992">
        <f>-774.943287357082 -95.1437039860637 -549.442705657285</f>
        <v>-1419.5296970004306</v>
      </c>
      <c r="O1992">
        <f>-743.313043379848 -226.03034142543 -521.799745590774</f>
        <v>-1491.1431303960521</v>
      </c>
      <c r="P1992">
        <f>-697.362101575729 -267.15785045119 -234.070331532115</f>
        <v>-1198.5902835590339</v>
      </c>
      <c r="Q1992">
        <f>-556.134948164618 -100.855816025019 -336.292359050754</f>
        <v>-993.28312324039098</v>
      </c>
      <c r="R1992" t="s">
        <v>24929</v>
      </c>
      <c r="S1992" t="s">
        <v>24930</v>
      </c>
      <c r="T1992" t="s">
        <v>24931</v>
      </c>
      <c r="U1992" t="s">
        <v>24932</v>
      </c>
      <c r="V1992">
        <f>-711.195765246059 -137.489390702652 -87.6347362840414</f>
        <v>-936.31989223275241</v>
      </c>
      <c r="W1992" t="s">
        <v>24933</v>
      </c>
      <c r="X1992" t="s">
        <v>24934</v>
      </c>
      <c r="Y1992" t="s">
        <v>24935</v>
      </c>
    </row>
    <row r="1993" spans="1:25" x14ac:dyDescent="0.3">
      <c r="A1993">
        <v>99600</v>
      </c>
      <c r="B1993" t="s">
        <v>24936</v>
      </c>
      <c r="C1993">
        <f>-741.979525019061 -46.2005891125027 -90.4445962627731</f>
        <v>-878.62471039433683</v>
      </c>
      <c r="D1993">
        <f>-762.976037075876 -58.2261570254332 -203.717524162006</f>
        <v>-1024.9197182633152</v>
      </c>
      <c r="E1993">
        <f>-772.881597058925 -63.6437757674073 -301.692965547055</f>
        <v>-1138.2183383733873</v>
      </c>
      <c r="F1993">
        <f>-779.112742834256 -66.8275743164172 -390.514492751036</f>
        <v>-1236.4548099017093</v>
      </c>
      <c r="G1993">
        <f>-782.251848912475 -68.2422632755217 -479.544798683367</f>
        <v>-1330.0389108713637</v>
      </c>
      <c r="H1993">
        <f>-783.369746203972 -68.4056812498507 -604.12225296935</f>
        <v>-1455.8976804231727</v>
      </c>
      <c r="I1993">
        <f>-748.874943575852 -58.4314963741492 -679.059869159011</f>
        <v>-1486.366309109012</v>
      </c>
      <c r="J1993">
        <f>-789.6544397104 -41.4662654338761 -549.276258705968</f>
        <v>-1380.396963850244</v>
      </c>
      <c r="K1993" t="s">
        <v>24937</v>
      </c>
      <c r="L1993" t="s">
        <v>24938</v>
      </c>
      <c r="M1993" t="s">
        <v>24939</v>
      </c>
      <c r="N1993">
        <f>-776.101163370278 -95.201258599069 -549.327410686827</f>
        <v>-1420.6298326561739</v>
      </c>
      <c r="O1993">
        <f>-744.853737588076 -226.307352802283 -522.218341961437</f>
        <v>-1493.3794323517959</v>
      </c>
      <c r="P1993">
        <f>-679.211359721347 -274.571609024442 -239.45908516634</f>
        <v>-1193.242053912129</v>
      </c>
      <c r="Q1993">
        <f>-547.23817475546 -100.657764473424 -341.380098773294</f>
        <v>-989.27603800217798</v>
      </c>
      <c r="R1993" t="s">
        <v>24940</v>
      </c>
      <c r="S1993" t="s">
        <v>24941</v>
      </c>
      <c r="T1993" t="s">
        <v>24942</v>
      </c>
      <c r="U1993" t="s">
        <v>24943</v>
      </c>
      <c r="V1993">
        <f>-712.114589258488 -137.93960439137 -87.4870525131994</f>
        <v>-937.54124616305739</v>
      </c>
      <c r="W1993" t="s">
        <v>24944</v>
      </c>
      <c r="X1993" t="s">
        <v>24945</v>
      </c>
      <c r="Y1993" t="s">
        <v>24946</v>
      </c>
    </row>
    <row r="1994" spans="1:25" x14ac:dyDescent="0.3">
      <c r="A1994">
        <v>99650</v>
      </c>
      <c r="B1994" t="s">
        <v>24947</v>
      </c>
      <c r="C1994">
        <f>-742.443740985065 -46.3214243191671 -90.3678782260143</f>
        <v>-879.13304353024648</v>
      </c>
      <c r="D1994">
        <f>-763.449528786127 -58.288131192656 -203.645217826892</f>
        <v>-1025.382877805675</v>
      </c>
      <c r="E1994">
        <f>-773.415455106767 -63.5693809984175 -301.622001110234</f>
        <v>-1138.6068372154186</v>
      </c>
      <c r="F1994">
        <f>-779.722532238827 -66.592638114904 -390.443938986849</f>
        <v>-1236.7591093405799</v>
      </c>
      <c r="G1994">
        <f>-782.959298042628 -67.8083675331823 -479.473612407938</f>
        <v>-1330.2412779837482</v>
      </c>
      <c r="H1994">
        <f>-784.235990500858 -67.6520269407831 -604.049536393337</f>
        <v>-1455.9375538349782</v>
      </c>
      <c r="I1994">
        <f>-750.059520508165 -57.5171439826672 -679.111296992072</f>
        <v>-1486.687961482904</v>
      </c>
      <c r="J1994">
        <f>-790.429674156081 -40.8481159604894 -549.126928862268</f>
        <v>-1380.4047189788384</v>
      </c>
      <c r="K1994" t="s">
        <v>24948</v>
      </c>
      <c r="L1994" t="s">
        <v>24949</v>
      </c>
      <c r="M1994" t="s">
        <v>24950</v>
      </c>
      <c r="N1994">
        <f>-776.918702154851 -94.5936130338127 -549.332860265666</f>
        <v>-1420.8451754543298</v>
      </c>
      <c r="O1994">
        <f>-745.656138974147 -225.783551304281 -522.675443578343</f>
        <v>-1494.1151338567711</v>
      </c>
      <c r="P1994">
        <f>-669.409492273103 -277.334095425909 -243.17562503367</f>
        <v>-1189.9192127326819</v>
      </c>
      <c r="Q1994">
        <f>-544.346082154288 -98.6921510897582 -345.630884306613</f>
        <v>-988.66911755065917</v>
      </c>
      <c r="R1994" t="s">
        <v>24951</v>
      </c>
      <c r="S1994" t="s">
        <v>24952</v>
      </c>
      <c r="T1994" t="s">
        <v>24953</v>
      </c>
      <c r="U1994" t="s">
        <v>24954</v>
      </c>
      <c r="V1994">
        <f>-712.718365466535 -138.041653536146 -87.4155077257486</f>
        <v>-938.17552672842965</v>
      </c>
      <c r="W1994" t="s">
        <v>24955</v>
      </c>
      <c r="X1994" t="s">
        <v>24956</v>
      </c>
      <c r="Y1994" t="s">
        <v>24957</v>
      </c>
    </row>
    <row r="1995" spans="1:25" x14ac:dyDescent="0.3">
      <c r="A1995">
        <v>99700</v>
      </c>
      <c r="B1995" t="s">
        <v>24958</v>
      </c>
      <c r="C1995">
        <f>-743.245388750874 -46.6364288440138 -90.2396244819653</f>
        <v>-880.1214420768531</v>
      </c>
      <c r="D1995">
        <f>-764.16183556324 -58.4650880017221 -203.548075431394</f>
        <v>-1026.174998996356</v>
      </c>
      <c r="E1995">
        <f>-774.183920562221 -63.4445780470721 -301.534905896929</f>
        <v>-1139.1634045062222</v>
      </c>
      <c r="F1995">
        <f>-780.59600576857 -66.1159476826749 -390.360543069362</f>
        <v>-1237.0724965206068</v>
      </c>
      <c r="G1995">
        <f>-783.991734221245 -66.8983868517569 -479.389130454494</f>
        <v>-1330.2792515274959</v>
      </c>
      <c r="H1995">
        <f>-785.548163817134 -66.0485647913931 -603.959013578413</f>
        <v>-1455.5557421869401</v>
      </c>
      <c r="I1995">
        <f>-752.393823010049 -55.5706054322895 -679.431208793539</f>
        <v>-1487.3956372358775</v>
      </c>
      <c r="J1995">
        <f>-791.664181489316 -39.5623547275973 -548.87375041391</f>
        <v>-1380.1002866308231</v>
      </c>
      <c r="K1995" t="s">
        <v>24959</v>
      </c>
      <c r="L1995" t="s">
        <v>24960</v>
      </c>
      <c r="M1995" t="s">
        <v>24961</v>
      </c>
      <c r="N1995">
        <f>-778.0623173238 -93.2826421460034 -549.410185657214</f>
        <v>-1420.7551451270174</v>
      </c>
      <c r="O1995">
        <f>-746.082927920695 -224.472461276407 -523.742806357269</f>
        <v>-1494.298195554371</v>
      </c>
      <c r="P1995">
        <f>-650.95557858711 -280.745294935757 -251.024426489589</f>
        <v>-1182.725300012456</v>
      </c>
      <c r="Q1995">
        <f>-545.073606376938 -92.3802357905086 -357.600371062397</f>
        <v>-995.05421322984353</v>
      </c>
      <c r="R1995" t="s">
        <v>24962</v>
      </c>
      <c r="S1995" t="s">
        <v>24963</v>
      </c>
      <c r="T1995" t="s">
        <v>24964</v>
      </c>
      <c r="U1995" t="s">
        <v>24965</v>
      </c>
      <c r="V1995">
        <f>-713.619450591447 -138.358100299907 -87.3054924318776</f>
        <v>-939.2830433232316</v>
      </c>
      <c r="W1995" t="s">
        <v>24966</v>
      </c>
      <c r="X1995" t="s">
        <v>24967</v>
      </c>
      <c r="Y1995" t="s">
        <v>24968</v>
      </c>
    </row>
    <row r="1996" spans="1:25" x14ac:dyDescent="0.3">
      <c r="A1996">
        <v>99750</v>
      </c>
      <c r="B1996" t="s">
        <v>24969</v>
      </c>
      <c r="C1996">
        <f>-743.473695397946 -46.9009894177773 -90.1538345774241</f>
        <v>-880.52851939314746</v>
      </c>
      <c r="D1996">
        <f>-764.307710656103 -58.6926832218833 -203.481340940462</f>
        <v>-1026.4817348184483</v>
      </c>
      <c r="E1996">
        <f>-774.350172390902 -63.5657711697779 -301.471400895059</f>
        <v>-1139.3873444557389</v>
      </c>
      <c r="F1996">
        <f>-780.81649612777 -66.1110413934389 -390.296877210901</f>
        <v>-1237.2244147321098</v>
      </c>
      <c r="G1996">
        <f>-784.302736806975 -66.7359410507697 -479.323215413712</f>
        <v>-1330.3618932714567</v>
      </c>
      <c r="H1996">
        <f>-786.02284789195 -65.6323201477139 -603.889054187463</f>
        <v>-1455.544222227127</v>
      </c>
      <c r="I1996">
        <f>-753.53723730042 -55.0230871596998 -679.632977778425</f>
        <v>-1488.1933022385447</v>
      </c>
      <c r="J1996">
        <f>-792.114987652193 -39.2708475908967 -548.741344947255</f>
        <v>-1380.1271801903447</v>
      </c>
      <c r="K1996" t="s">
        <v>24970</v>
      </c>
      <c r="L1996" t="s">
        <v>24971</v>
      </c>
      <c r="M1996" t="s">
        <v>24972</v>
      </c>
      <c r="N1996">
        <f>-778.416814936013 -92.9651213106242 -549.406160921706</f>
        <v>-1420.7880971683433</v>
      </c>
      <c r="O1996">
        <f>-745.850956592514 -224.084363522248 -524.199749780767</f>
        <v>-1494.1350698955289</v>
      </c>
      <c r="P1996">
        <f>-643.313231437955 -281.110033794281 -254.338071390507</f>
        <v>-1178.7613366227429</v>
      </c>
      <c r="Q1996">
        <f>-548.456024697392 -89.0562374682531 -364.64824597717</f>
        <v>-1002.1605081428152</v>
      </c>
      <c r="R1996" t="s">
        <v>24973</v>
      </c>
      <c r="S1996" t="s">
        <v>24974</v>
      </c>
      <c r="T1996" t="s">
        <v>24975</v>
      </c>
      <c r="U1996" t="s">
        <v>24976</v>
      </c>
      <c r="V1996">
        <f>-713.711131500884 -138.66952978426 -87.2550384065866</f>
        <v>-939.63569969173068</v>
      </c>
      <c r="W1996" t="s">
        <v>24977</v>
      </c>
      <c r="X1996" t="s">
        <v>24978</v>
      </c>
      <c r="Y1996" t="s">
        <v>24979</v>
      </c>
    </row>
    <row r="1997" spans="1:25" x14ac:dyDescent="0.3">
      <c r="A1997">
        <v>99800</v>
      </c>
      <c r="B1997" t="s">
        <v>24980</v>
      </c>
      <c r="C1997">
        <f>-743.279267045703 -47.8185496408623 -89.9514748149408</f>
        <v>-881.0492915015061</v>
      </c>
      <c r="D1997">
        <f>-763.964230597545 -59.643558560442 -203.302864013537</f>
        <v>-1026.910653171524</v>
      </c>
      <c r="E1997">
        <f>-774.02834056138 -64.4956594396717 -301.29170241672</f>
        <v>-1139.8157024177717</v>
      </c>
      <c r="F1997">
        <f>-780.570439871022 -67.008881766204 -390.112380958237</f>
        <v>-1237.6917025954631</v>
      </c>
      <c r="G1997">
        <f>-784.18745856606 -67.5884751816454 -479.133911485503</f>
        <v>-1330.9098452332084</v>
      </c>
      <c r="H1997">
        <f>-786.146603180177 -66.4089262157165 -603.695450667487</f>
        <v>-1456.2509800633804</v>
      </c>
      <c r="I1997">
        <f>-755.179078336284 -55.7380135225083 -680.064107030832</f>
        <v>-1490.9811988896242</v>
      </c>
      <c r="J1997">
        <f>-792.241957951226 -40.1090374740838 -548.518757110407</f>
        <v>-1380.869752535717</v>
      </c>
      <c r="K1997" t="s">
        <v>24981</v>
      </c>
      <c r="L1997" t="s">
        <v>24982</v>
      </c>
      <c r="M1997" t="s">
        <v>24983</v>
      </c>
      <c r="N1997">
        <f>-778.327087437753 -93.7469106838332 -549.245426345918</f>
        <v>-1421.3194244675042</v>
      </c>
      <c r="O1997">
        <f>-744.458455538856 -224.660075366674 -524.480670040192</f>
        <v>-1493.5992009457218</v>
      </c>
      <c r="P1997">
        <f>-630.500151674393 -282.749039637463 -259.47052583427</f>
        <v>-1172.7197171461262</v>
      </c>
      <c r="Q1997">
        <f>-559.460410313327 -87.8900170214231 -382.084460200902</f>
        <v>-1029.434887535652</v>
      </c>
      <c r="R1997" t="s">
        <v>24984</v>
      </c>
      <c r="S1997" t="s">
        <v>24985</v>
      </c>
      <c r="T1997" t="s">
        <v>24986</v>
      </c>
      <c r="U1997" t="s">
        <v>24987</v>
      </c>
      <c r="V1997">
        <f>-712.824766955056 -139.582241057028 -87.1453353423533</f>
        <v>-939.55234335443731</v>
      </c>
      <c r="W1997" t="s">
        <v>24988</v>
      </c>
      <c r="X1997" t="s">
        <v>24989</v>
      </c>
      <c r="Y1997" t="s">
        <v>24990</v>
      </c>
    </row>
    <row r="1998" spans="1:25" x14ac:dyDescent="0.3">
      <c r="A1998">
        <v>99850</v>
      </c>
      <c r="B1998" t="s">
        <v>24991</v>
      </c>
      <c r="C1998">
        <f>-743.010852463795 -48.5453053910694 -89.80535291772</f>
        <v>-881.36151077258444</v>
      </c>
      <c r="D1998">
        <f>-763.665291652228 -60.3927378066801 -203.159888201157</f>
        <v>-1027.217917660065</v>
      </c>
      <c r="E1998">
        <f>-773.754051054494 -65.267544116763 -301.145111741314</f>
        <v>-1140.166706912571</v>
      </c>
      <c r="F1998">
        <f>-780.335928227619 -67.8073552413739 -389.962285080513</f>
        <v>-1238.105568549506</v>
      </c>
      <c r="G1998">
        <f>-784.009753791642 -68.4201955839565 -478.98114118523</f>
        <v>-1331.4110905608284</v>
      </c>
      <c r="H1998">
        <f>-786.064919240093 -67.2956541075398 -603.541769922908</f>
        <v>-1456.9023432705408</v>
      </c>
      <c r="I1998">
        <f>-755.913854263727 -56.6382701655039 -680.238213690378</f>
        <v>-1492.7903381196088</v>
      </c>
      <c r="J1998">
        <f>-792.169428195542 -40.9848280059432 -548.371132558966</f>
        <v>-1381.5253887604513</v>
      </c>
      <c r="K1998" t="s">
        <v>24992</v>
      </c>
      <c r="L1998" t="s">
        <v>24993</v>
      </c>
      <c r="M1998" t="s">
        <v>24994</v>
      </c>
      <c r="N1998">
        <f>-778.151812958575 -94.5961311713882 -549.086401394936</f>
        <v>-1421.8343455248992</v>
      </c>
      <c r="O1998">
        <f>-743.622009001465 -225.38455318089 -524.503574301853</f>
        <v>-1493.510136484208</v>
      </c>
      <c r="P1998">
        <f>-625.413400627038 -284.259134529617 -261.53649112016</f>
        <v>-1171.2090262768149</v>
      </c>
      <c r="Q1998">
        <f>-564.269946896328 -90.9450783861053 -391.69780982686</f>
        <v>-1046.9128351092932</v>
      </c>
      <c r="R1998" t="s">
        <v>24995</v>
      </c>
      <c r="S1998" t="s">
        <v>24996</v>
      </c>
      <c r="T1998" t="s">
        <v>24997</v>
      </c>
      <c r="U1998" t="s">
        <v>24998</v>
      </c>
      <c r="V1998">
        <f>-712.217153527004 -140.277804236864 -87.0659536267375</f>
        <v>-939.5609113906055</v>
      </c>
      <c r="W1998" t="s">
        <v>24999</v>
      </c>
      <c r="X1998" t="s">
        <v>25000</v>
      </c>
      <c r="Y1998" t="s">
        <v>25001</v>
      </c>
    </row>
    <row r="1999" spans="1:25" x14ac:dyDescent="0.3">
      <c r="A1999">
        <v>99900</v>
      </c>
      <c r="B1999" t="s">
        <v>25002</v>
      </c>
      <c r="C1999">
        <f>-742.415262719719 -49.6492612650095 -89.6000590121647</f>
        <v>-881.66458299689316</v>
      </c>
      <c r="D1999">
        <f>-763.164486138193 -61.7056373703053 -202.915147508694</f>
        <v>-1027.7852710171924</v>
      </c>
      <c r="E1999">
        <f>-773.41185704309 -66.6572195669949 -300.88012547918</f>
        <v>-1140.9492020892649</v>
      </c>
      <c r="F1999">
        <f>-780.159274429857 -69.2383164024686 -389.683664412657</f>
        <v>-1239.0812552449825</v>
      </c>
      <c r="G1999">
        <f>-784.016434224489 -69.8674990277937 -478.694737964328</f>
        <v>-1332.5786712166107</v>
      </c>
      <c r="H1999">
        <f>-786.342815404589 -68.744905947786 -603.250485071254</f>
        <v>-1458.3382064236291</v>
      </c>
      <c r="I1999">
        <f>-757.922113776719 -58.1657874333555 -680.615687076264</f>
        <v>-1496.7035882863383</v>
      </c>
      <c r="J1999">
        <f>-792.347178999877 -42.4385012240391 -548.066866823616</f>
        <v>-1382.852547047532</v>
      </c>
      <c r="K1999" t="s">
        <v>25003</v>
      </c>
      <c r="L1999" t="s">
        <v>25004</v>
      </c>
      <c r="M1999" t="s">
        <v>25005</v>
      </c>
      <c r="N1999">
        <f>-778.291063584055 -96.0393034737358 -548.812572055331</f>
        <v>-1423.1429391131219</v>
      </c>
      <c r="O1999">
        <f>-743.210295730091 -226.845186866079 -524.964918870911</f>
        <v>-1495.020401467081</v>
      </c>
      <c r="P1999">
        <f>-616.52109008396 -289.866380277294 -266.954707142457</f>
        <v>-1173.3421775037109</v>
      </c>
      <c r="Q1999">
        <f>-571.17959610842 -101.482894904822 -410.156013731803</f>
        <v>-1082.8185047450452</v>
      </c>
      <c r="R1999" t="s">
        <v>25006</v>
      </c>
      <c r="S1999" t="s">
        <v>25007</v>
      </c>
      <c r="T1999" t="s">
        <v>25008</v>
      </c>
      <c r="U1999" t="s">
        <v>25009</v>
      </c>
      <c r="V1999">
        <f>-710.740132028445 -141.119805834257 -86.971040528303</f>
        <v>-938.83097839100503</v>
      </c>
      <c r="W1999" t="s">
        <v>25010</v>
      </c>
      <c r="X1999" t="s">
        <v>25011</v>
      </c>
      <c r="Y1999" t="s">
        <v>25012</v>
      </c>
    </row>
    <row r="2000" spans="1:25" x14ac:dyDescent="0.3">
      <c r="A2000">
        <v>99950</v>
      </c>
      <c r="B2000" t="s">
        <v>25013</v>
      </c>
      <c r="C2000">
        <f>-742.252043320789 -49.9045385550976 -89.5532237614732</f>
        <v>-881.70980563735975</v>
      </c>
      <c r="D2000">
        <f>-763.095777117709 -62.0793307284982 -202.838415888688</f>
        <v>-1028.0135237348952</v>
      </c>
      <c r="E2000">
        <f>-773.462938986445 -66.9880252088371 -300.792924180134</f>
        <v>-1141.2438883754162</v>
      </c>
      <c r="F2000">
        <f>-780.328117767162 -69.4783141900502 -389.58992217458</f>
        <v>-1239.3963541317921</v>
      </c>
      <c r="G2000">
        <f>-784.310052971006 -69.9665778246435 -478.596410472825</f>
        <v>-1332.8730412684745</v>
      </c>
      <c r="H2000">
        <f>-786.815048343306 -68.5975947790682 -603.146310946441</f>
        <v>-1458.5589540688152</v>
      </c>
      <c r="I2000">
        <f>-759.300695433918 -57.9531088421761 -680.829410583651</f>
        <v>-1498.0832148597451</v>
      </c>
      <c r="J2000">
        <f>-792.718208228298 -42.3947906249557 -547.902364947071</f>
        <v>-1383.0153638003246</v>
      </c>
      <c r="K2000" t="s">
        <v>25014</v>
      </c>
      <c r="L2000" t="s">
        <v>25015</v>
      </c>
      <c r="M2000" t="s">
        <v>25016</v>
      </c>
      <c r="N2000">
        <f>-778.707056766724 -96.0053802872642 -548.773572862019</f>
        <v>-1423.4860099160073</v>
      </c>
      <c r="O2000">
        <f>-743.757245637388 -226.949850179271 -525.573706802726</f>
        <v>-1496.280802619385</v>
      </c>
      <c r="P2000">
        <f>-612.899703357269 -294.616307998735 -270.840877518613</f>
        <v>-1178.356888874617</v>
      </c>
      <c r="Q2000">
        <f>-573.771013924045 -108.121340208023 -418.283931942779</f>
        <v>-1100.176286074847</v>
      </c>
      <c r="R2000" t="s">
        <v>25017</v>
      </c>
      <c r="S2000" t="s">
        <v>25018</v>
      </c>
      <c r="T2000" t="s">
        <v>25019</v>
      </c>
      <c r="U2000" t="s">
        <v>25020</v>
      </c>
      <c r="V2000">
        <f>-710.059102494613 -141.297518666023 -86.946819262123</f>
        <v>-938.30344042275897</v>
      </c>
      <c r="W2000" t="s">
        <v>25021</v>
      </c>
      <c r="X2000" t="s">
        <v>25022</v>
      </c>
      <c r="Y2000" t="s">
        <v>25023</v>
      </c>
    </row>
    <row r="2001" spans="1:25" x14ac:dyDescent="0.3">
      <c r="A2001">
        <v>100000</v>
      </c>
      <c r="B2001" t="s">
        <v>25024</v>
      </c>
      <c r="C2001">
        <f>-742.239044300928 -50.046197830012 -89.5953046116205</f>
        <v>-881.88054674256045</v>
      </c>
      <c r="D2001">
        <f>-763.268299206681 -62.4974414144335 -202.816071476735</f>
        <v>-1028.5818120978495</v>
      </c>
      <c r="E2001">
        <f>-773.936973911845 -67.2519300634717 -300.745848036332</f>
        <v>-1141.9347520116487</v>
      </c>
      <c r="F2001">
        <f>-781.118483105092 -69.4545447343428 -389.525375499048</f>
        <v>-1240.0984033384827</v>
      </c>
      <c r="G2001">
        <f>-785.45322193948 -69.5116206699327 -478.516744460545</f>
        <v>-1333.4815870699576</v>
      </c>
      <c r="H2001">
        <f>-788.482910679352 -67.394271533401 -603.044465324798</f>
        <v>-1458.9216475375511</v>
      </c>
      <c r="I2001">
        <f>-762.623515778239 -56.44524034799 -681.25215578129</f>
        <v>-1500.3209119075191</v>
      </c>
      <c r="J2001">
        <f>-794.033730066041 -41.4930021904563 -547.622198107532</f>
        <v>-1383.1489303640292</v>
      </c>
      <c r="K2001" t="s">
        <v>25025</v>
      </c>
      <c r="L2001" t="s">
        <v>25026</v>
      </c>
      <c r="M2001" t="s">
        <v>25027</v>
      </c>
      <c r="N2001">
        <f>-780.265677655703 -95.1590178543763 -548.869650930131</f>
        <v>-1424.2943464402103</v>
      </c>
      <c r="O2001">
        <f>-746.34201640866 -226.602411898137 -527.261542144349</f>
        <v>-1500.2059704511462</v>
      </c>
      <c r="P2001">
        <f>-609.415905918543 -304.802747414678 -278.811981609114</f>
        <v>-1193.0306349423349</v>
      </c>
      <c r="Q2001">
        <f>-578.803944966597 -121.261644479853 -431.869152323237</f>
        <v>-1131.934741769687</v>
      </c>
      <c r="R2001" t="s">
        <v>25028</v>
      </c>
      <c r="S2001" t="s">
        <v>25029</v>
      </c>
      <c r="T2001" t="s">
        <v>25030</v>
      </c>
      <c r="U2001" t="s">
        <v>25031</v>
      </c>
      <c r="V2001">
        <f>-709.416078299088 -141.335563418623 -86.9714749850704</f>
        <v>-937.72311670278134</v>
      </c>
      <c r="W2001" t="s">
        <v>25032</v>
      </c>
      <c r="X2001" t="s">
        <v>25033</v>
      </c>
      <c r="Y2001" t="s">
        <v>25034</v>
      </c>
    </row>
    <row r="2002" spans="1:25" x14ac:dyDescent="0.3">
      <c r="A2002">
        <v>100050</v>
      </c>
      <c r="B2002" t="s">
        <v>25035</v>
      </c>
      <c r="C2002">
        <f>-742.371734367008 -49.9262803543397 -89.6592679148348</f>
        <v>-881.95728263618253</v>
      </c>
      <c r="D2002">
        <f>-763.474831301424 -62.5270944235442 -202.849794613068</f>
        <v>-1028.8517203380363</v>
      </c>
      <c r="E2002">
        <f>-774.335597680388 -67.2635610790176 -300.759370317807</f>
        <v>-1142.3585290772126</v>
      </c>
      <c r="F2002">
        <f>-781.736176196211 -69.3944994042165 -389.522729515622</f>
        <v>-1240.6534051160495</v>
      </c>
      <c r="G2002">
        <f>-786.331063347526 -69.3276224150827 -478.500947707084</f>
        <v>-1334.1596334696926</v>
      </c>
      <c r="H2002">
        <f>-789.764324290426 -66.984240536264 -603.014097839133</f>
        <v>-1459.762662665823</v>
      </c>
      <c r="I2002">
        <f>-764.655489037148 -55.9546438588659 -681.454597820389</f>
        <v>-1502.0647307164029</v>
      </c>
      <c r="J2002">
        <f>-795.014919993796 -41.1528906383414 -547.529993583952</f>
        <v>-1383.6978042160895</v>
      </c>
      <c r="K2002" t="s">
        <v>25036</v>
      </c>
      <c r="L2002" t="s">
        <v>25037</v>
      </c>
      <c r="M2002" t="s">
        <v>25038</v>
      </c>
      <c r="N2002">
        <f>-781.492126713685 -94.8779754415491 -548.913929645968</f>
        <v>-1425.2840318012022</v>
      </c>
      <c r="O2002">
        <f>-748.45429077134 -226.643690342205 -527.992999810749</f>
        <v>-1503.0909809242939</v>
      </c>
      <c r="P2002">
        <f>-609.541504338126 -309.752708840889 -282.254565430185</f>
        <v>-1201.5487786091999</v>
      </c>
      <c r="Q2002">
        <f>-581.287199345297 -128.274185163706 -438.19724285775</f>
        <v>-1147.758627366753</v>
      </c>
      <c r="R2002" t="s">
        <v>25039</v>
      </c>
      <c r="S2002" t="s">
        <v>25040</v>
      </c>
      <c r="T2002" t="s">
        <v>25041</v>
      </c>
      <c r="U2002" t="s">
        <v>25042</v>
      </c>
      <c r="V2002">
        <f>-709.388370624756 -141.152268691008 -86.9928624299157</f>
        <v>-937.5335017456797</v>
      </c>
      <c r="W2002" t="s">
        <v>25043</v>
      </c>
      <c r="X2002" t="s">
        <v>25044</v>
      </c>
      <c r="Y2002" t="s">
        <v>25045</v>
      </c>
    </row>
    <row r="2003" spans="1:25" x14ac:dyDescent="0.3">
      <c r="A2003">
        <v>100100</v>
      </c>
      <c r="B2003" t="s">
        <v>25046</v>
      </c>
      <c r="C2003">
        <f>-742.782522980398 -49.7691838269986 -89.8143044853949</f>
        <v>-882.36601129279154</v>
      </c>
      <c r="D2003">
        <f>-764.037246429418 -62.5579774907717 -202.955357285054</f>
        <v>-1029.5505812052438</v>
      </c>
      <c r="E2003">
        <f>-775.226334018675 -67.3231013987331 -300.826492096698</f>
        <v>-1143.375927514106</v>
      </c>
      <c r="F2003">
        <f>-782.990508485273 -69.4345759197518 -389.559294331034</f>
        <v>-1241.9843787360587</v>
      </c>
      <c r="G2003">
        <f>-788.00741881972 -69.3117762254806 -478.514723233474</f>
        <v>-1335.8339182786744</v>
      </c>
      <c r="H2003">
        <f>-792.084928057802 -66.8591251296612 -603.006196518008</f>
        <v>-1461.9502497054712</v>
      </c>
      <c r="I2003">
        <f>-768.154838586201 -55.8768107291735 -681.820991686266</f>
        <v>-1505.8526410016404</v>
      </c>
      <c r="J2003">
        <f>-796.627635572255 -40.9737728093346 -547.4848561093</f>
        <v>-1385.0862644908898</v>
      </c>
      <c r="K2003" t="s">
        <v>25047</v>
      </c>
      <c r="L2003" t="s">
        <v>25048</v>
      </c>
      <c r="M2003" t="s">
        <v>25049</v>
      </c>
      <c r="N2003">
        <f>-783.953636905955 -94.9028989271114 -548.962442301106</f>
        <v>-1427.8189781341725</v>
      </c>
      <c r="O2003">
        <f>-753.295148357374 -227.375027874701 -528.834637858103</f>
        <v>-1509.5048140901781</v>
      </c>
      <c r="P2003">
        <f>-612.602582631087 -319.223571142038 -287.25510485753</f>
        <v>-1219.0812586306552</v>
      </c>
      <c r="Q2003">
        <f>-585.387155643391 -142.722440544323 -448.987995343196</f>
        <v>-1177.09759153091</v>
      </c>
      <c r="R2003" t="s">
        <v>25050</v>
      </c>
      <c r="S2003" t="s">
        <v>25051</v>
      </c>
      <c r="T2003" t="s">
        <v>25052</v>
      </c>
      <c r="U2003" t="s">
        <v>25053</v>
      </c>
      <c r="V2003">
        <f>-709.634269092016 -141.162553538012 -87.0064392946261</f>
        <v>-937.80326192465407</v>
      </c>
      <c r="W2003" t="s">
        <v>25054</v>
      </c>
      <c r="X2003" t="s">
        <v>25055</v>
      </c>
      <c r="Y2003" t="s">
        <v>25056</v>
      </c>
    </row>
    <row r="2004" spans="1:25" x14ac:dyDescent="0.3">
      <c r="A2004">
        <v>100150</v>
      </c>
      <c r="B2004" t="s">
        <v>25057</v>
      </c>
      <c r="C2004">
        <f>-742.900237202379 -49.7687023692838 -89.8645736277846</f>
        <v>-882.53351319944738</v>
      </c>
      <c r="D2004">
        <f>-764.264834316777 -62.6322896164074 -202.97638032906</f>
        <v>-1029.8735042622443</v>
      </c>
      <c r="E2004">
        <f>-775.564009483639 -67.465194714297 -300.83162832086</f>
        <v>-1143.8608325187961</v>
      </c>
      <c r="F2004">
        <f>-783.42851592493 -69.6433714952509 -389.553920386884</f>
        <v>-1242.625807807065</v>
      </c>
      <c r="G2004">
        <f>-788.542390682581 -69.599658954131 -478.503908238874</f>
        <v>-1336.645957875586</v>
      </c>
      <c r="H2004">
        <f>-792.748330563126 -67.2749525631227 -602.99363512138</f>
        <v>-1463.0169182476288</v>
      </c>
      <c r="I2004">
        <f>-769.218383897231 -56.4012893763161 -681.943911434871</f>
        <v>-1507.5635847084181</v>
      </c>
      <c r="J2004">
        <f>-796.944867958318 -41.2661664361578 -547.502676691419</f>
        <v>-1385.7137110858948</v>
      </c>
      <c r="K2004" t="s">
        <v>25058</v>
      </c>
      <c r="L2004" t="s">
        <v>25059</v>
      </c>
      <c r="M2004" t="s">
        <v>25060</v>
      </c>
      <c r="N2004">
        <f>-784.850095039584 -95.3297314132305 -548.921064451807</f>
        <v>-1429.1008909046213</v>
      </c>
      <c r="O2004">
        <f>-755.701505505164 -228.175679010615 -528.985755828297</f>
        <v>-1512.8629403440759</v>
      </c>
      <c r="P2004">
        <f>-615.446679650863 -323.712804126842 -288.585249031851</f>
        <v>-1227.7447328095559</v>
      </c>
      <c r="Q2004">
        <f>-586.426584365541 -150.06068583967 -453.065123023269</f>
        <v>-1189.55239322848</v>
      </c>
      <c r="R2004" t="s">
        <v>25061</v>
      </c>
      <c r="S2004" t="s">
        <v>25062</v>
      </c>
      <c r="T2004" t="s">
        <v>25063</v>
      </c>
      <c r="U2004" t="s">
        <v>25064</v>
      </c>
      <c r="V2004">
        <f>-709.893273719488 -141.246178357521 -86.9905214085964</f>
        <v>-938.12997348560532</v>
      </c>
      <c r="W2004" t="s">
        <v>25065</v>
      </c>
      <c r="X2004" t="s">
        <v>25066</v>
      </c>
      <c r="Y2004" t="s">
        <v>25067</v>
      </c>
    </row>
    <row r="2005" spans="1:25" x14ac:dyDescent="0.3">
      <c r="A2005">
        <v>100200</v>
      </c>
      <c r="B2005" t="s">
        <v>25068</v>
      </c>
      <c r="C2005">
        <f>-743.188623792571 -49.6522469449303 -89.9226454486114</f>
        <v>-882.76351618611272</v>
      </c>
      <c r="D2005">
        <f>-764.749454172254 -62.5275686649798 -202.995969341396</f>
        <v>-1030.2729921786297</v>
      </c>
      <c r="E2005">
        <f>-776.091111185796 -67.5196916806576 -300.838270819579</f>
        <v>-1144.4490736860325</v>
      </c>
      <c r="F2005">
        <f>-783.939267137891 -69.9059605624234 -389.556665130672</f>
        <v>-1243.4018928309863</v>
      </c>
      <c r="G2005">
        <f>-788.976900429666 -70.1491115888116 -478.510622394648</f>
        <v>-1337.6366344131256</v>
      </c>
      <c r="H2005">
        <f>-793.010147987728 -68.3155229249103 -603.014309836571</f>
        <v>-1464.3399807492092</v>
      </c>
      <c r="I2005">
        <f>-769.995107240057 -57.7149879037725 -682.153132521727</f>
        <v>-1509.8632276655565</v>
      </c>
      <c r="J2005">
        <f>-796.642840378324 -41.9521155066591 -547.651043919564</f>
        <v>-1386.245999804547</v>
      </c>
      <c r="K2005" t="s">
        <v>25069</v>
      </c>
      <c r="L2005" t="s">
        <v>25070</v>
      </c>
      <c r="M2005" t="s">
        <v>25071</v>
      </c>
      <c r="N2005">
        <f>-785.827692171141 -96.2925153854608 -548.801699617581</f>
        <v>-1430.9219071741827</v>
      </c>
      <c r="O2005">
        <f>-759.839785246241 -229.760179500051 -528.663919485807</f>
        <v>-1518.2638842320989</v>
      </c>
      <c r="P2005">
        <f>-622.444467208674 -328.609379719033 -287.951172407413</f>
        <v>-1239.0050193351201</v>
      </c>
      <c r="Q2005">
        <f>-585.265167320176 -160.507058257393 -456.504392189799</f>
        <v>-1202.276617767368</v>
      </c>
      <c r="R2005" t="s">
        <v>25072</v>
      </c>
      <c r="S2005" t="s">
        <v>25073</v>
      </c>
      <c r="T2005" t="s">
        <v>25074</v>
      </c>
      <c r="U2005" t="s">
        <v>25075</v>
      </c>
      <c r="V2005">
        <f>-711.001708821452 -141.226608810686 -86.9241660070579</f>
        <v>-939.15248363919591</v>
      </c>
      <c r="W2005" t="s">
        <v>25076</v>
      </c>
      <c r="X2005" t="s">
        <v>25077</v>
      </c>
      <c r="Y2005" t="s">
        <v>25078</v>
      </c>
    </row>
    <row r="2006" spans="1:25" x14ac:dyDescent="0.3">
      <c r="A2006">
        <v>100250</v>
      </c>
      <c r="B2006" t="s">
        <v>25079</v>
      </c>
      <c r="C2006">
        <f>-743.282924849843 -49.3464872667553 -89.9970076801038</f>
        <v>-882.62641979670207</v>
      </c>
      <c r="D2006">
        <f>-764.921171320994 -62.1609136832196 -203.062454178271</f>
        <v>-1030.1445391824846</v>
      </c>
      <c r="E2006">
        <f>-776.18433951842 -67.2345758174667 -300.909661859896</f>
        <v>-1144.3285771957826</v>
      </c>
      <c r="F2006">
        <f>-783.905726682501 -69.7471968849422 -389.635632490205</f>
        <v>-1243.2885560576483</v>
      </c>
      <c r="G2006">
        <f>-788.75983612292 -70.1762145581301 -478.599162530619</f>
        <v>-1337.5352132116691</v>
      </c>
      <c r="H2006">
        <f>-792.478324866832 -68.6674805132575 -603.116914312172</f>
        <v>-1464.2627196922615</v>
      </c>
      <c r="I2006">
        <f>-769.565585734997 -58.2800656503869 -682.313792685822</f>
        <v>-1510.1594440712058</v>
      </c>
      <c r="J2006">
        <f>-795.928539211628 -42.0975436176743 -547.840940970513</f>
        <v>-1385.8670237998163</v>
      </c>
      <c r="K2006" t="s">
        <v>25080</v>
      </c>
      <c r="L2006" t="s">
        <v>25081</v>
      </c>
      <c r="M2006" t="s">
        <v>25082</v>
      </c>
      <c r="N2006">
        <f>-785.755395040383 -96.5653310163809 -548.804652334258</f>
        <v>-1431.125378391022</v>
      </c>
      <c r="O2006">
        <f>-761.249895782062 -230.242391814277 -528.102543014826</f>
        <v>-1519.594830611165</v>
      </c>
      <c r="P2006">
        <f>-626.255400902984 -328.585158876421 -285.829246589297</f>
        <v>-1240.669806368702</v>
      </c>
      <c r="Q2006">
        <f>-583.744267856249 -163.87387684327 -456.457139724476</f>
        <v>-1204.0752844239951</v>
      </c>
      <c r="R2006" t="s">
        <v>25083</v>
      </c>
      <c r="S2006" t="s">
        <v>25084</v>
      </c>
      <c r="T2006" t="s">
        <v>25085</v>
      </c>
      <c r="U2006" t="s">
        <v>25086</v>
      </c>
      <c r="V2006">
        <f>-711.866618882895 -140.962354695538 -86.8930029709276</f>
        <v>-939.72197654936053</v>
      </c>
      <c r="W2006" t="s">
        <v>25087</v>
      </c>
      <c r="X2006" t="s">
        <v>25088</v>
      </c>
      <c r="Y2006" t="s">
        <v>25089</v>
      </c>
    </row>
    <row r="2007" spans="1:25" x14ac:dyDescent="0.3">
      <c r="A2007">
        <v>100300</v>
      </c>
      <c r="B2007" t="s">
        <v>25090</v>
      </c>
      <c r="C2007">
        <f>-743.764232310735 -48.2519848754359 -90.1692264922013</f>
        <v>-882.18544367837228</v>
      </c>
      <c r="D2007">
        <f>-765.457036228099 -60.7777824745467 -203.256490412443</f>
        <v>-1029.4913091150888</v>
      </c>
      <c r="E2007">
        <f>-776.373341157373 -65.9981227099483 -301.135207678468</f>
        <v>-1143.5066715457895</v>
      </c>
      <c r="F2007">
        <f>-783.63459045694 -68.7949399528736 -389.891578332567</f>
        <v>-1242.3211087423806</v>
      </c>
      <c r="G2007">
        <f>-787.885021073768 -69.671000763693 -478.882638823014</f>
        <v>-1336.4386606604751</v>
      </c>
      <c r="H2007">
        <f>-790.613535652309 -68.9614828658168 -603.433310576021</f>
        <v>-1463.0083290941468</v>
      </c>
      <c r="I2007">
        <f>-767.800960369106 -59.0269211790855 -682.717044193069</f>
        <v>-1509.5449257412606</v>
      </c>
      <c r="J2007">
        <f>-793.907038918754 -41.9326261512749 -548.370605838181</f>
        <v>-1384.2102709082098</v>
      </c>
      <c r="K2007" t="s">
        <v>25091</v>
      </c>
      <c r="L2007" t="s">
        <v>25092</v>
      </c>
      <c r="M2007" t="s">
        <v>25093</v>
      </c>
      <c r="N2007">
        <f>-784.91869411983 -96.6145220580052 -548.878872355212</f>
        <v>-1430.4120885330472</v>
      </c>
      <c r="O2007">
        <f>-762.997285836399 -230.444663826237 -526.390400213112</f>
        <v>-1519.8323498757482</v>
      </c>
      <c r="P2007">
        <f>-634.30781400073 -324.711281744356 -279.117238224254</f>
        <v>-1238.1363339693398</v>
      </c>
      <c r="Q2007">
        <f>-580.444202253605 -167.912398173214 -453.941902825154</f>
        <v>-1202.298503251973</v>
      </c>
      <c r="R2007" t="s">
        <v>25094</v>
      </c>
      <c r="S2007" t="s">
        <v>25095</v>
      </c>
      <c r="T2007" t="s">
        <v>25096</v>
      </c>
      <c r="U2007" t="s">
        <v>25097</v>
      </c>
      <c r="V2007">
        <f>-714.134607467114 -139.897674262041 -86.8785986336324</f>
        <v>-940.91088036278745</v>
      </c>
      <c r="W2007" t="s">
        <v>25098</v>
      </c>
      <c r="X2007" t="s">
        <v>25099</v>
      </c>
      <c r="Y2007" t="s">
        <v>25100</v>
      </c>
    </row>
    <row r="2008" spans="1:25" x14ac:dyDescent="0.3">
      <c r="A2008">
        <v>100350</v>
      </c>
      <c r="B2008" t="s">
        <v>25101</v>
      </c>
      <c r="C2008">
        <f>-744.243541847136 -47.6018796555841 -90.1930293256158</f>
        <v>-882.03845082833595</v>
      </c>
      <c r="D2008">
        <f>-765.912756621385 -59.9539762596971 -203.304051650904</f>
        <v>-1029.1707845319861</v>
      </c>
      <c r="E2008">
        <f>-776.676822577901 -65.2512102804913 -301.195497145213</f>
        <v>-1143.1235300036053</v>
      </c>
      <c r="F2008">
        <f>-783.755300553127 -68.2025254517955 -389.961569154432</f>
        <v>-1241.9193951593545</v>
      </c>
      <c r="G2008">
        <f>-787.780703645297 -69.3206121478972 -478.960448974254</f>
        <v>-1336.0617647674483</v>
      </c>
      <c r="H2008">
        <f>-790.154172794931 -69.0403661378739 -603.519889565756</f>
        <v>-1462.7144284985609</v>
      </c>
      <c r="I2008">
        <f>-767.39965757677 -59.3265401872729 -682.84776622285</f>
        <v>-1509.573963986893</v>
      </c>
      <c r="J2008">
        <f>-793.421945884686 -41.7925926007802 -548.563738878283</f>
        <v>-1383.7782773637491</v>
      </c>
      <c r="K2008" t="s">
        <v>25102</v>
      </c>
      <c r="L2008" t="s">
        <v>25103</v>
      </c>
      <c r="M2008" t="s">
        <v>25104</v>
      </c>
      <c r="N2008">
        <f>-784.797505120767 -96.5347351784014 -548.851210592087</f>
        <v>-1430.1834508912555</v>
      </c>
      <c r="O2008">
        <f>-763.656267925807 -230.309436128526 -525.338244158395</f>
        <v>-1519.3039482127278</v>
      </c>
      <c r="P2008">
        <f>-638.443090934418 -322.355718988713 -275.457546610859</f>
        <v>-1236.2563565339901</v>
      </c>
      <c r="Q2008">
        <f>-579.397775572319 -168.989356549695 -451.648695248015</f>
        <v>-1200.035827370029</v>
      </c>
      <c r="R2008" t="s">
        <v>25105</v>
      </c>
      <c r="S2008" t="s">
        <v>25106</v>
      </c>
      <c r="T2008" t="s">
        <v>25107</v>
      </c>
      <c r="U2008" t="s">
        <v>25108</v>
      </c>
      <c r="V2008">
        <f>-715.336506512534 -139.205054554825 -86.8808782559042</f>
        <v>-941.42243932326323</v>
      </c>
      <c r="W2008" t="s">
        <v>25109</v>
      </c>
      <c r="X2008" t="s">
        <v>25110</v>
      </c>
      <c r="Y2008" t="s">
        <v>25111</v>
      </c>
    </row>
    <row r="2009" spans="1:25" x14ac:dyDescent="0.3">
      <c r="A2009">
        <v>100400</v>
      </c>
      <c r="B2009" t="s">
        <v>25112</v>
      </c>
      <c r="C2009">
        <f>-745.180300809089 -46.4086312101776 -90.18618867169</f>
        <v>-881.77512069095667</v>
      </c>
      <c r="D2009">
        <f>-766.777065399551 -58.5401629486551 -203.334878173312</f>
        <v>-1028.6521065215181</v>
      </c>
      <c r="E2009">
        <f>-777.297563358921 -64.1455157609942 -301.235620996571</f>
        <v>-1142.6787001164862</v>
      </c>
      <c r="F2009">
        <f>-784.097378516213 -67.5675382928796 -390.006659133988</f>
        <v>-1241.6715759430806</v>
      </c>
      <c r="G2009">
        <f>-787.793020175037 -69.3490795756172 -479.008929201971</f>
        <v>-1336.1510289526252</v>
      </c>
      <c r="H2009">
        <f>-789.658717137178 -70.1962636943745 -603.574717468449</f>
        <v>-1463.4296983000013</v>
      </c>
      <c r="I2009">
        <f>-766.837784879327 -60.917504598433 -682.935469010207</f>
        <v>-1510.6907584879671</v>
      </c>
      <c r="J2009">
        <f>-793.025082083642 -42.4328273218407 -548.88306882692</f>
        <v>-1384.3409782324027</v>
      </c>
      <c r="K2009" t="s">
        <v>25113</v>
      </c>
      <c r="L2009" t="s">
        <v>25114</v>
      </c>
      <c r="M2009" t="s">
        <v>25115</v>
      </c>
      <c r="N2009">
        <f>-784.65043331047 -97.2139833980248 -548.635847343644</f>
        <v>-1430.5002640521388</v>
      </c>
      <c r="O2009">
        <f>-763.802157937434 -230.733754658931 -523.534788768035</f>
        <v>-1518.0707013644001</v>
      </c>
      <c r="P2009">
        <f>-644.374662502835 -318.798517083989 -269.422942942231</f>
        <v>-1232.596122529055</v>
      </c>
      <c r="Q2009">
        <f>-576.732762630304 -168.897923425004 -445.505968241324</f>
        <v>-1191.1366542966321</v>
      </c>
      <c r="R2009" t="s">
        <v>25116</v>
      </c>
      <c r="S2009" t="s">
        <v>25117</v>
      </c>
      <c r="T2009" t="s">
        <v>25118</v>
      </c>
      <c r="U2009" t="s">
        <v>25119</v>
      </c>
      <c r="V2009">
        <f>-717.01685481065 -137.67553774637 -86.9040977233427</f>
        <v>-941.59649028036267</v>
      </c>
      <c r="W2009" t="s">
        <v>25120</v>
      </c>
      <c r="X2009" t="s">
        <v>25121</v>
      </c>
      <c r="Y2009" t="s">
        <v>25122</v>
      </c>
    </row>
    <row r="2010" spans="1:25" x14ac:dyDescent="0.3">
      <c r="A2010">
        <v>100450</v>
      </c>
      <c r="B2010" t="s">
        <v>25123</v>
      </c>
      <c r="C2010">
        <f>-745.496327927682 -46.1536397001664 -90.1821038929648</f>
        <v>-881.83207152081332</v>
      </c>
      <c r="D2010">
        <f>-767.055958563514 -58.2420979052081 -203.342428235112</f>
        <v>-1028.6404847038341</v>
      </c>
      <c r="E2010">
        <f>-777.511025952782 -64.0055410088482 -301.241109307233</f>
        <v>-1142.7576762688632</v>
      </c>
      <c r="F2010">
        <f>-784.242947927145 -67.6478375949371 -390.008531519284</f>
        <v>-1241.899317041366</v>
      </c>
      <c r="G2010">
        <f>-787.864291223359 -69.7268860965546 -479.007356760171</f>
        <v>-1336.5985340800846</v>
      </c>
      <c r="H2010">
        <f>-789.621832410238 -71.0702594797858 -603.570187153757</f>
        <v>-1464.2622790437808</v>
      </c>
      <c r="I2010">
        <f>-766.734105556471 -61.9513677040929 -682.93046958069</f>
        <v>-1511.6159428412539</v>
      </c>
      <c r="J2010">
        <f>-793.038512883776 -43.0896822688369 -548.992655198812</f>
        <v>-1385.1208503514249</v>
      </c>
      <c r="K2010" t="s">
        <v>25124</v>
      </c>
      <c r="L2010" t="s">
        <v>25125</v>
      </c>
      <c r="M2010" t="s">
        <v>25126</v>
      </c>
      <c r="N2010">
        <f>-784.658519455403 -97.8685173107119 -548.52000853204</f>
        <v>-1431.0470452981549</v>
      </c>
      <c r="O2010">
        <f>-763.681927185398 -231.268915649687 -522.796259586729</f>
        <v>-1517.7471024218139</v>
      </c>
      <c r="P2010">
        <f>-645.637543448313 -318.049996523345 -267.598703310792</f>
        <v>-1231.28624328245</v>
      </c>
      <c r="Q2010">
        <f>-575.202825915721 -167.827654171602 -442.307190800929</f>
        <v>-1185.337670888252</v>
      </c>
      <c r="R2010" t="s">
        <v>25127</v>
      </c>
      <c r="S2010" t="s">
        <v>25128</v>
      </c>
      <c r="T2010" t="s">
        <v>25129</v>
      </c>
      <c r="U2010" t="s">
        <v>25130</v>
      </c>
      <c r="V2010">
        <f>-717.379153190699 -137.533505945624 -86.8835425815168</f>
        <v>-941.79620171783984</v>
      </c>
      <c r="W2010" t="s">
        <v>25131</v>
      </c>
      <c r="X2010" t="s">
        <v>25132</v>
      </c>
      <c r="Y2010" t="s">
        <v>25133</v>
      </c>
    </row>
    <row r="2011" spans="1:25" x14ac:dyDescent="0.3">
      <c r="A2011">
        <v>100500</v>
      </c>
      <c r="B2011" t="s">
        <v>25134</v>
      </c>
      <c r="C2011">
        <f>-745.633339474834 -46.1478834390821 -90.306296924932</f>
        <v>-882.08751983884804</v>
      </c>
      <c r="D2011">
        <f>-767.163852486256 -58.325803179491 -203.462583498352</f>
        <v>-1028.952239164099</v>
      </c>
      <c r="E2011">
        <f>-777.624191222647 -64.3375520444645 -301.345732916906</f>
        <v>-1143.3074761840176</v>
      </c>
      <c r="F2011">
        <f>-784.375946840974 -68.2744736832669 -390.099038405494</f>
        <v>-1242.7494589297351</v>
      </c>
      <c r="G2011">
        <f>-788.034521986956 -70.7169440324885 -479.087202019368</f>
        <v>-1337.8386680388126</v>
      </c>
      <c r="H2011">
        <f>-789.863736252001 -72.6405180120398 -603.641427957547</f>
        <v>-1466.1456822215878</v>
      </c>
      <c r="I2011">
        <f>-766.896329885653 -63.7752530793812 -683.007344399081</f>
        <v>-1513.6789273641152</v>
      </c>
      <c r="J2011">
        <f>-793.327323191517 -44.4182311059963 -549.19131624961</f>
        <v>-1386.9368705471234</v>
      </c>
      <c r="K2011" t="s">
        <v>25135</v>
      </c>
      <c r="L2011" t="s">
        <v>25136</v>
      </c>
      <c r="M2011" t="s">
        <v>25137</v>
      </c>
      <c r="N2011">
        <f>-784.790230557615 -99.1701007717779 -548.471169216967</f>
        <v>-1432.43150054636</v>
      </c>
      <c r="O2011">
        <f>-763.100986176768 -232.309001419081 -522.008964537742</f>
        <v>-1517.4189521335911</v>
      </c>
      <c r="P2011">
        <f>-645.883109058431 -317.665007979551 -265.951297225218</f>
        <v>-1229.4994142631999</v>
      </c>
      <c r="Q2011">
        <f>-572.25510734829 -164.453108280842 -436.702284204459</f>
        <v>-1173.4104998335911</v>
      </c>
      <c r="R2011" t="s">
        <v>25138</v>
      </c>
      <c r="S2011" t="s">
        <v>25139</v>
      </c>
      <c r="T2011" t="s">
        <v>25140</v>
      </c>
      <c r="U2011" t="s">
        <v>25141</v>
      </c>
      <c r="V2011">
        <f>-717.341120226173 -137.56130619082 -86.9335540704831</f>
        <v>-941.83598048747604</v>
      </c>
      <c r="W2011" t="s">
        <v>25142</v>
      </c>
      <c r="X2011" t="s">
        <v>25143</v>
      </c>
      <c r="Y2011" t="s">
        <v>25144</v>
      </c>
    </row>
    <row r="2012" spans="1:25" x14ac:dyDescent="0.3">
      <c r="A2012">
        <v>100550</v>
      </c>
      <c r="B2012" t="s">
        <v>25145</v>
      </c>
      <c r="C2012">
        <f>-745.324859158708 -46.1884222023157 -90.4108378401445</f>
        <v>-881.9241192011682</v>
      </c>
      <c r="D2012">
        <f>-766.842887893252 -58.4775430828095 -203.557576200989</f>
        <v>-1028.8780071770504</v>
      </c>
      <c r="E2012">
        <f>-777.34827371038 -64.5686849893139 -301.43085998325</f>
        <v>-1143.3478186829439</v>
      </c>
      <c r="F2012">
        <f>-784.162951026839 -68.5717268726919 -390.176442893534</f>
        <v>-1242.9111207930648</v>
      </c>
      <c r="G2012">
        <f>-787.906583031273 -71.0726395886602 -479.159352434633</f>
        <v>-1338.1385750545662</v>
      </c>
      <c r="H2012">
        <f>-789.878177015144 -73.068468757451 -603.71038261741</f>
        <v>-1466.6570283900051</v>
      </c>
      <c r="I2012">
        <f>-766.901128741485 -64.2455820157954 -683.078045049116</f>
        <v>-1514.2247558063964</v>
      </c>
      <c r="J2012">
        <f>-793.382389937093 -44.8306130638055 -549.270838615475</f>
        <v>-1387.4838416163734</v>
      </c>
      <c r="K2012" t="s">
        <v>25146</v>
      </c>
      <c r="L2012" t="s">
        <v>25147</v>
      </c>
      <c r="M2012" t="s">
        <v>25148</v>
      </c>
      <c r="N2012">
        <f>-784.638693459346 -99.5495871103683 -548.532444938885</f>
        <v>-1432.7207255085991</v>
      </c>
      <c r="O2012">
        <f>-762.337129378905 -232.563777841035 -521.945619658536</f>
        <v>-1516.8465268784762</v>
      </c>
      <c r="P2012">
        <f>-644.776289941093 -317.236398184514 -265.818263432397</f>
        <v>-1227.830951558004</v>
      </c>
      <c r="Q2012">
        <f>-570.492338882767 -161.754794597078 -434.217273955996</f>
        <v>-1166.4644074358409</v>
      </c>
      <c r="R2012" t="s">
        <v>25149</v>
      </c>
      <c r="S2012" t="s">
        <v>25150</v>
      </c>
      <c r="T2012" t="s">
        <v>25151</v>
      </c>
      <c r="U2012" t="s">
        <v>25152</v>
      </c>
      <c r="V2012">
        <f>-716.832706625702 -137.498126309349 -87.0040555682011</f>
        <v>-941.33488850325216</v>
      </c>
      <c r="W2012" t="s">
        <v>25153</v>
      </c>
      <c r="X2012" t="s">
        <v>25154</v>
      </c>
      <c r="Y2012" t="s">
        <v>25155</v>
      </c>
    </row>
    <row r="2013" spans="1:25" x14ac:dyDescent="0.3">
      <c r="A2013">
        <v>100600</v>
      </c>
      <c r="B2013" t="s">
        <v>25156</v>
      </c>
      <c r="C2013">
        <f>-744.747080455235 -45.9832156630646 -90.5956660892278</f>
        <v>-881.32596220752748</v>
      </c>
      <c r="D2013">
        <f>-766.266627504477 -58.4875241890518 -203.718465564391</f>
        <v>-1028.4726172579199</v>
      </c>
      <c r="E2013">
        <f>-776.894346815441 -64.7034945384182 -301.570743083515</f>
        <v>-1143.1685844373742</v>
      </c>
      <c r="F2013">
        <f>-783.867337530412 -68.796091247714 -390.299933037922</f>
        <v>-1242.9633618160481</v>
      </c>
      <c r="G2013">
        <f>-787.818051312457 -71.3571535133401 -479.272305527638</f>
        <v>-1338.4475103534351</v>
      </c>
      <c r="H2013">
        <f>-790.130343419186 -73.4039855122958 -603.816539201886</f>
        <v>-1467.3508681333678</v>
      </c>
      <c r="I2013">
        <f>-767.175551509591 -64.4870706578665 -683.180221222612</f>
        <v>-1514.8428433900694</v>
      </c>
      <c r="J2013">
        <f>-793.776371936073 -45.1919038382325 -549.372998965811</f>
        <v>-1388.3412747401167</v>
      </c>
      <c r="K2013" t="s">
        <v>25157</v>
      </c>
      <c r="L2013" t="s">
        <v>25158</v>
      </c>
      <c r="M2013" t="s">
        <v>25159</v>
      </c>
      <c r="N2013">
        <f>-784.449222673575 -99.8146287913653 -548.648545185489</f>
        <v>-1432.9123966504294</v>
      </c>
      <c r="O2013">
        <f>-760.493198828171 -232.538529896589 -522.06369414498</f>
        <v>-1515.0954228697401</v>
      </c>
      <c r="P2013">
        <f>-641.777929995889 -315.762559548917 -265.994079209148</f>
        <v>-1223.5345687539541</v>
      </c>
      <c r="Q2013">
        <f>-567.973658152765 -155.721340767597 -430.282163328942</f>
        <v>-1153.977162249304</v>
      </c>
      <c r="R2013" t="s">
        <v>25160</v>
      </c>
      <c r="S2013" t="s">
        <v>25161</v>
      </c>
      <c r="T2013" t="s">
        <v>25162</v>
      </c>
      <c r="U2013" t="s">
        <v>25163</v>
      </c>
      <c r="V2013">
        <f>-715.646773601012 -137.147773572133 -87.1429346851173</f>
        <v>-939.93748185826234</v>
      </c>
      <c r="W2013" t="s">
        <v>25164</v>
      </c>
      <c r="X2013" t="s">
        <v>25165</v>
      </c>
      <c r="Y2013" t="s">
        <v>25166</v>
      </c>
    </row>
    <row r="2014" spans="1:25" x14ac:dyDescent="0.3">
      <c r="A2014">
        <v>100650</v>
      </c>
      <c r="B2014" t="s">
        <v>25167</v>
      </c>
      <c r="C2014">
        <f>-744.553254744611 -45.9927611571297 -90.6796686683407</f>
        <v>-881.2256845700814</v>
      </c>
      <c r="D2014">
        <f>-766.087366258345 -58.5866868491048 -203.789752617197</f>
        <v>-1028.4638057246468</v>
      </c>
      <c r="E2014">
        <f>-776.785001038078 -64.8503184218068 -301.631337093637</f>
        <v>-1143.2666565535219</v>
      </c>
      <c r="F2014">
        <f>-783.843745769761 -68.9753056966078 -390.352219162017</f>
        <v>-1243.1712706283859</v>
      </c>
      <c r="G2014">
        <f>-787.903216168323 -71.5549897529836 -479.3191150153</f>
        <v>-1338.7773209366064</v>
      </c>
      <c r="H2014">
        <f>-790.391158499017 -73.6124290667894 -603.859884435056</f>
        <v>-1467.8634720008624</v>
      </c>
      <c r="I2014">
        <f>-767.482673810269 -64.5934641839942 -683.225417082316</f>
        <v>-1515.3015550765792</v>
      </c>
      <c r="J2014">
        <f>-794.102746146174 -45.4204728101065 -549.410385384436</f>
        <v>-1388.9336043407166</v>
      </c>
      <c r="K2014" t="s">
        <v>25168</v>
      </c>
      <c r="L2014" t="s">
        <v>25169</v>
      </c>
      <c r="M2014" t="s">
        <v>25170</v>
      </c>
      <c r="N2014">
        <f>-784.489951683073 -99.9937653028221 -548.700907127038</f>
        <v>-1433.1846241129331</v>
      </c>
      <c r="O2014">
        <f>-759.667880724188 -232.562977841957 -522.149849846937</f>
        <v>-1514.3807084130819</v>
      </c>
      <c r="P2014">
        <f>-640.270623346782 -315.025128205567 -266.150888284172</f>
        <v>-1221.4466398365209</v>
      </c>
      <c r="Q2014">
        <f>-567.089516530002 -153.229946271673 -428.993475132886</f>
        <v>-1149.312937934561</v>
      </c>
      <c r="R2014" t="s">
        <v>25171</v>
      </c>
      <c r="S2014" t="s">
        <v>25172</v>
      </c>
      <c r="T2014" t="s">
        <v>25173</v>
      </c>
      <c r="U2014" t="s">
        <v>25174</v>
      </c>
      <c r="V2014">
        <f>-715.105005193149 -137.20572426614 -87.2030919367464</f>
        <v>-939.5138213960355</v>
      </c>
      <c r="W2014" t="s">
        <v>25175</v>
      </c>
      <c r="X2014" t="s">
        <v>25176</v>
      </c>
      <c r="Y2014" t="s">
        <v>25177</v>
      </c>
    </row>
    <row r="2015" spans="1:25" x14ac:dyDescent="0.3">
      <c r="A2015">
        <v>100700</v>
      </c>
      <c r="B2015" t="s">
        <v>25178</v>
      </c>
      <c r="C2015">
        <f>-744.109222626352 -46.1750572742703 -90.77564990651</f>
        <v>-881.05992980713233</v>
      </c>
      <c r="D2015">
        <f>-765.690760735409 -58.9281729036932 -203.858808772074</f>
        <v>-1028.4777424111762</v>
      </c>
      <c r="E2015">
        <f>-776.526251239976 -65.2362440718296 -301.682517605516</f>
        <v>-1143.4450129173215</v>
      </c>
      <c r="F2015">
        <f>-783.746588334862 -69.3658603513463 -390.390187181146</f>
        <v>-1243.5026358673545</v>
      </c>
      <c r="G2015">
        <f>-788.00501690592 -71.91034736189 -479.348668738105</f>
        <v>-1339.2640330059151</v>
      </c>
      <c r="H2015">
        <f>-790.809405640368 -73.8747271877178 -603.884195776949</f>
        <v>-1468.5683286050348</v>
      </c>
      <c r="I2015">
        <f>-768.011380621977 -64.6120740409242 -683.253650375079</f>
        <v>-1515.8771050379801</v>
      </c>
      <c r="J2015">
        <f>-794.623348807635 -45.7668335562043 -549.39827836444</f>
        <v>-1389.7884607282795</v>
      </c>
      <c r="K2015" t="s">
        <v>25179</v>
      </c>
      <c r="L2015" t="s">
        <v>25180</v>
      </c>
      <c r="M2015" t="s">
        <v>25181</v>
      </c>
      <c r="N2015">
        <f>-784.527270162718 -100.253753005046 -548.766320586375</f>
        <v>-1433.5473437541389</v>
      </c>
      <c r="O2015">
        <f>-758.343882194283 -232.602345067032 -522.37378145194</f>
        <v>-1513.320008713255</v>
      </c>
      <c r="P2015">
        <f>-638.367230756748 -313.35433539419 -266.100693766124</f>
        <v>-1217.822259917062</v>
      </c>
      <c r="Q2015">
        <f>-565.704970994697 -149.370135078658 -426.974085487649</f>
        <v>-1142.0491915610039</v>
      </c>
      <c r="R2015" t="s">
        <v>25182</v>
      </c>
      <c r="S2015" t="s">
        <v>25183</v>
      </c>
      <c r="T2015" t="s">
        <v>25184</v>
      </c>
      <c r="U2015" t="s">
        <v>25185</v>
      </c>
      <c r="V2015">
        <f>-714.047463629568 -137.433426299873 -87.3023579858278</f>
        <v>-938.78324791526882</v>
      </c>
      <c r="W2015" t="s">
        <v>25186</v>
      </c>
      <c r="X2015" t="s">
        <v>25187</v>
      </c>
      <c r="Y2015" t="s">
        <v>25188</v>
      </c>
    </row>
    <row r="2016" spans="1:25" x14ac:dyDescent="0.3">
      <c r="A2016">
        <v>100750</v>
      </c>
      <c r="B2016" t="s">
        <v>25189</v>
      </c>
      <c r="C2016">
        <f>-743.859378732847 -46.3484496013205 -90.8119142836439</f>
        <v>-881.01974261781129</v>
      </c>
      <c r="D2016">
        <f>-765.478842263254 -59.1905516572151 -203.87789129612</f>
        <v>-1028.5472852165892</v>
      </c>
      <c r="E2016">
        <f>-776.390864568668 -65.4920568127418 -301.693465876227</f>
        <v>-1143.5763872576367</v>
      </c>
      <c r="F2016">
        <f>-783.695827407109 -69.583815258379 -390.39592590168</f>
        <v>-1243.6755685671681</v>
      </c>
      <c r="G2016">
        <f>-788.054188630428 -72.0565748609213 -479.35168913902</f>
        <v>-1339.4624526303692</v>
      </c>
      <c r="H2016">
        <f>-791.013204453177 -73.8853428891182 -603.885612431863</f>
        <v>-1468.7841597741581</v>
      </c>
      <c r="I2016">
        <f>-768.226427873347 -64.5034317938585 -683.244145403853</f>
        <v>-1515.9740050710584</v>
      </c>
      <c r="J2016">
        <f>-794.846104510745 -45.8529248983675 -549.36224628021</f>
        <v>-1390.0612756893224</v>
      </c>
      <c r="K2016" t="s">
        <v>25190</v>
      </c>
      <c r="L2016" t="s">
        <v>25191</v>
      </c>
      <c r="M2016" t="s">
        <v>25192</v>
      </c>
      <c r="N2016">
        <f>-784.576090553231 -100.308272274247 -548.806658056642</f>
        <v>-1433.69102088412</v>
      </c>
      <c r="O2016">
        <f>-757.983839083357 -232.613650223631 -522.573267802638</f>
        <v>-1513.170757109626</v>
      </c>
      <c r="P2016">
        <f>-638.164891344573 -312.722058569752 -266.024599084088</f>
        <v>-1216.9115489984129</v>
      </c>
      <c r="Q2016">
        <f>-565.188673303595 -148.297391112649 -426.305265012866</f>
        <v>-1139.7913294291102</v>
      </c>
      <c r="R2016" t="s">
        <v>25193</v>
      </c>
      <c r="S2016" t="s">
        <v>25194</v>
      </c>
      <c r="T2016" t="s">
        <v>25195</v>
      </c>
      <c r="U2016" t="s">
        <v>25196</v>
      </c>
      <c r="V2016">
        <f>-713.54672865149 -137.538228510007 -87.3419770484222</f>
        <v>-938.42693420991918</v>
      </c>
      <c r="W2016" t="s">
        <v>25197</v>
      </c>
      <c r="X2016" t="s">
        <v>25198</v>
      </c>
      <c r="Y2016" t="s">
        <v>25199</v>
      </c>
    </row>
    <row r="2017" spans="1:25" x14ac:dyDescent="0.3">
      <c r="A2017">
        <v>100800</v>
      </c>
      <c r="B2017" t="s">
        <v>25200</v>
      </c>
      <c r="C2017">
        <f>-743.234531215674 -46.7223331613798 -90.8771585808178</f>
        <v>-880.83402295787153</v>
      </c>
      <c r="D2017">
        <f>-764.909076552369 -59.731001794228 -203.913441495882</f>
        <v>-1028.5535198424791</v>
      </c>
      <c r="E2017">
        <f>-775.936035628709 -65.9925642927199 -301.718644119089</f>
        <v>-1143.6472440405178</v>
      </c>
      <c r="F2017">
        <f>-783.367740022447 -69.9764387850969 -390.415521549777</f>
        <v>-1243.759700357321</v>
      </c>
      <c r="G2017">
        <f>-787.873180633893 -72.2684232054598 -479.368970234647</f>
        <v>-1339.5105740739998</v>
      </c>
      <c r="H2017">
        <f>-791.057399830853 -73.7675799389222 -603.901726909489</f>
        <v>-1468.7267066792642</v>
      </c>
      <c r="I2017">
        <f>-768.208495098419 -64.2569574282625 -683.226963676617</f>
        <v>-1515.6924162032983</v>
      </c>
      <c r="J2017">
        <f>-794.888373871822 -45.8979705920162 -549.294669242589</f>
        <v>-1390.0810137064273</v>
      </c>
      <c r="K2017" t="s">
        <v>25201</v>
      </c>
      <c r="L2017" t="s">
        <v>25202</v>
      </c>
      <c r="M2017" t="s">
        <v>25203</v>
      </c>
      <c r="N2017">
        <f>-784.424042442476 -100.317763241012 -548.907162784326</f>
        <v>-1433.648968467814</v>
      </c>
      <c r="O2017">
        <f>-757.314667609538 -232.585029049024 -523.048075314501</f>
        <v>-1512.947771973063</v>
      </c>
      <c r="P2017">
        <f>-637.737396734089 -312.460612092113 -266.313984753895</f>
        <v>-1216.5119935800969</v>
      </c>
      <c r="Q2017">
        <f>-564.18269948306 -145.897161516992 -424.102616250895</f>
        <v>-1134.1824772509469</v>
      </c>
      <c r="R2017" t="s">
        <v>25204</v>
      </c>
      <c r="S2017" t="s">
        <v>25205</v>
      </c>
      <c r="T2017" t="s">
        <v>25206</v>
      </c>
      <c r="U2017" t="s">
        <v>25207</v>
      </c>
      <c r="V2017">
        <f>-712.515358029491 -137.944891192941 -87.3558089553035</f>
        <v>-937.8160581777355</v>
      </c>
      <c r="W2017" t="s">
        <v>25208</v>
      </c>
      <c r="X2017" t="s">
        <v>25209</v>
      </c>
      <c r="Y2017" t="s">
        <v>25210</v>
      </c>
    </row>
    <row r="2018" spans="1:25" x14ac:dyDescent="0.3">
      <c r="A2018">
        <v>100850</v>
      </c>
      <c r="B2018" t="s">
        <v>25211</v>
      </c>
      <c r="C2018">
        <f>-743.024232018419 -46.860381124184 -90.8843747015235</f>
        <v>-880.7689878441264</v>
      </c>
      <c r="D2018">
        <f>-764.72765851435 -59.931576920369 -203.907919884471</f>
        <v>-1028.5671553191901</v>
      </c>
      <c r="E2018">
        <f>-775.812251341537 -66.1674515774394 -301.708192484806</f>
        <v>-1143.6878954037825</v>
      </c>
      <c r="F2018">
        <f>-783.30749426105 -70.0972427346962 -390.402215116868</f>
        <v>-1243.8069521126142</v>
      </c>
      <c r="G2018">
        <f>-787.886923172232 -72.3034428001749 -479.3539508409</f>
        <v>-1339.544316813307</v>
      </c>
      <c r="H2018">
        <f>-791.184740623266 -73.6496425727896 -603.88549467874</f>
        <v>-1468.7198778747957</v>
      </c>
      <c r="I2018">
        <f>-768.23750463239 -64.1034372305487 -683.178137329283</f>
        <v>-1515.5190791922219</v>
      </c>
      <c r="J2018">
        <f>-794.985068863977 -45.8507798559194 -549.2403933361</f>
        <v>-1390.0762420559963</v>
      </c>
      <c r="K2018" t="s">
        <v>25212</v>
      </c>
      <c r="L2018" t="s">
        <v>25213</v>
      </c>
      <c r="M2018" t="s">
        <v>25214</v>
      </c>
      <c r="N2018">
        <f>-784.481929060208 -100.263749149994 -548.930406192677</f>
        <v>-1433.676084402879</v>
      </c>
      <c r="O2018">
        <f>-757.214791198291 -232.531922365728 -523.257026411872</f>
        <v>-1513.003739975891</v>
      </c>
      <c r="P2018">
        <f>-637.837935572918 -313.029750251473 -266.624023265216</f>
        <v>-1217.491709089607</v>
      </c>
      <c r="Q2018">
        <f>-564.287713293881 -144.810003642425 -422.647705613189</f>
        <v>-1131.7454225494948</v>
      </c>
      <c r="R2018" t="s">
        <v>25215</v>
      </c>
      <c r="S2018" t="s">
        <v>25216</v>
      </c>
      <c r="T2018" t="s">
        <v>25217</v>
      </c>
      <c r="U2018" t="s">
        <v>25218</v>
      </c>
      <c r="V2018">
        <f>-712.187611623248 -138.06310608535 -87.3465979823726</f>
        <v>-937.59731569097062</v>
      </c>
      <c r="W2018" t="s">
        <v>25219</v>
      </c>
      <c r="X2018" t="s">
        <v>25220</v>
      </c>
      <c r="Y2018" t="s">
        <v>25221</v>
      </c>
    </row>
    <row r="2019" spans="1:25" x14ac:dyDescent="0.3">
      <c r="A2019">
        <v>100900</v>
      </c>
      <c r="B2019" t="s">
        <v>25222</v>
      </c>
      <c r="C2019">
        <f>-742.837607085286 -47.5008548979126 -90.8346963165559</f>
        <v>-881.1731582997545</v>
      </c>
      <c r="D2019">
        <f>-764.570994822588 -60.6155038628087 -203.847581110584</f>
        <v>-1029.0340797959807</v>
      </c>
      <c r="E2019">
        <f>-775.75157093073 -66.7855808014708 -301.641096657073</f>
        <v>-1144.1782483892739</v>
      </c>
      <c r="F2019">
        <f>-783.360035306726 -70.6132739375987 -390.329867872775</f>
        <v>-1244.3031771170997</v>
      </c>
      <c r="G2019">
        <f>-788.078502586253 -72.6737056460327 -479.277737974386</f>
        <v>-1340.0299462066716</v>
      </c>
      <c r="H2019">
        <f>-791.596434076451 -73.7691688480274 -603.805878797513</f>
        <v>-1469.1714817219913</v>
      </c>
      <c r="I2019">
        <f>-768.504960336564 -64.1788186803774 -683.05124597878</f>
        <v>-1515.7350249957212</v>
      </c>
      <c r="J2019">
        <f>-795.314569609064 -46.0830893636723 -549.09772852514</f>
        <v>-1390.4953874978764</v>
      </c>
      <c r="K2019" t="s">
        <v>25223</v>
      </c>
      <c r="L2019" t="s">
        <v>25224</v>
      </c>
      <c r="M2019" t="s">
        <v>25225</v>
      </c>
      <c r="N2019">
        <f>-784.782197542791 -100.490936570761 -548.916689363151</f>
        <v>-1434.1898234767032</v>
      </c>
      <c r="O2019">
        <f>-757.429257253522 -232.793688632291 -523.513651229858</f>
        <v>-1513.736597115671</v>
      </c>
      <c r="P2019">
        <f>-638.794658833591 -314.584019690916 -266.945217899316</f>
        <v>-1220.323896423823</v>
      </c>
      <c r="Q2019">
        <f>-564.080086706241 -143.993117923197 -419.809143500887</f>
        <v>-1127.882348130325</v>
      </c>
      <c r="R2019" t="s">
        <v>25226</v>
      </c>
      <c r="S2019" t="s">
        <v>25227</v>
      </c>
      <c r="T2019" t="s">
        <v>25228</v>
      </c>
      <c r="U2019" t="s">
        <v>25229</v>
      </c>
      <c r="V2019">
        <f>-711.985966608831 -138.782752423474 -87.2828048187569</f>
        <v>-938.0515238510618</v>
      </c>
      <c r="W2019" t="s">
        <v>25230</v>
      </c>
      <c r="X2019" t="s">
        <v>25231</v>
      </c>
      <c r="Y2019" t="s">
        <v>25232</v>
      </c>
    </row>
    <row r="2020" spans="1:25" x14ac:dyDescent="0.3">
      <c r="A2020">
        <v>100950</v>
      </c>
      <c r="B2020" t="s">
        <v>25233</v>
      </c>
      <c r="C2020">
        <f>-742.816091049963 -47.7638576480113 -90.7876082498216</f>
        <v>-881.36755694779583</v>
      </c>
      <c r="D2020">
        <f>-764.572259009188 -60.8831984052581 -203.795550531163</f>
        <v>-1029.251007945609</v>
      </c>
      <c r="E2020">
        <f>-775.789781499155 -67.0348699925071 -301.585902952685</f>
        <v>-1144.4105544443471</v>
      </c>
      <c r="F2020">
        <f>-783.4386166927 -70.8352490945031 -390.272464133861</f>
        <v>-1244.5463299210639</v>
      </c>
      <c r="G2020">
        <f>-788.20426887528 -72.857881160126 -479.218752982543</f>
        <v>-1340.280903017949</v>
      </c>
      <c r="H2020">
        <f>-791.795406984776 -73.8888744983128 -603.745298730718</f>
        <v>-1469.4295802138067</v>
      </c>
      <c r="I2020">
        <f>-768.621172781 -64.2742957642588 -682.963603950829</f>
        <v>-1515.8590724960877</v>
      </c>
      <c r="J2020">
        <f>-795.481269080365 -46.2312263510105 -549.020598919488</f>
        <v>-1390.7330943508634</v>
      </c>
      <c r="K2020" t="s">
        <v>25234</v>
      </c>
      <c r="L2020" t="s">
        <v>25235</v>
      </c>
      <c r="M2020" t="s">
        <v>25236</v>
      </c>
      <c r="N2020">
        <f>-784.948787347754 -100.639064913265 -548.874018887375</f>
        <v>-1434.461871148394</v>
      </c>
      <c r="O2020">
        <f>-757.61858786189 -232.948533879075 -523.507653956525</f>
        <v>-1514.0747756974899</v>
      </c>
      <c r="P2020">
        <f>-639.641538640584 -314.98997508667 -266.716212574521</f>
        <v>-1221.3477263017751</v>
      </c>
      <c r="Q2020">
        <f>-563.962604500859 -143.739331804653 -418.363166866143</f>
        <v>-1126.065103171655</v>
      </c>
      <c r="R2020" t="s">
        <v>25237</v>
      </c>
      <c r="S2020" t="s">
        <v>25238</v>
      </c>
      <c r="T2020" t="s">
        <v>25239</v>
      </c>
      <c r="U2020" t="s">
        <v>25240</v>
      </c>
      <c r="V2020">
        <f>-711.967495214587 -138.988236299661 -87.2481941033915</f>
        <v>-938.20392561763947</v>
      </c>
      <c r="W2020" t="s">
        <v>25241</v>
      </c>
      <c r="X2020" t="s">
        <v>25242</v>
      </c>
      <c r="Y2020" t="s">
        <v>25243</v>
      </c>
    </row>
    <row r="2021" spans="1:25" x14ac:dyDescent="0.3">
      <c r="A2021">
        <v>101000</v>
      </c>
      <c r="B2021" t="s">
        <v>25244</v>
      </c>
      <c r="C2021">
        <f>-742.754886437431 -48.2046709953756 -90.7021948058291</f>
        <v>-881.6617522386357</v>
      </c>
      <c r="D2021">
        <f>-764.573487192187 -61.3262321323919 -203.697821380511</f>
        <v>-1029.5975407050898</v>
      </c>
      <c r="E2021">
        <f>-775.836508025674 -67.4469798093403 -301.485017455966</f>
        <v>-1144.7685052909803</v>
      </c>
      <c r="F2021">
        <f>-783.523805008137 -71.2046654435946 -390.169932935879</f>
        <v>-1244.8984033876106</v>
      </c>
      <c r="G2021">
        <f>-788.324885744562 -73.1688616159042 -479.115677285193</f>
        <v>-1340.6094246456591</v>
      </c>
      <c r="H2021">
        <f>-791.962725229477 -74.1012570003538 -603.641654172386</f>
        <v>-1469.7056364022169</v>
      </c>
      <c r="I2021">
        <f>-768.568373461326 -64.4063168700268 -682.78542982647</f>
        <v>-1515.7601201578227</v>
      </c>
      <c r="J2021">
        <f>-795.630545961314 -46.4874785258023 -548.893543757743</f>
        <v>-1391.0115682448595</v>
      </c>
      <c r="K2021" t="s">
        <v>25245</v>
      </c>
      <c r="L2021" t="s">
        <v>25246</v>
      </c>
      <c r="M2021" t="s">
        <v>25247</v>
      </c>
      <c r="N2021">
        <f>-785.093363089209 -100.894404568249 -548.794067836756</f>
        <v>-1434.781835494214</v>
      </c>
      <c r="O2021">
        <f>-757.843207037398 -233.222932488124 -523.413688776743</f>
        <v>-1514.4798283022651</v>
      </c>
      <c r="P2021">
        <f>-641.169235004815 -315.878493732806 -266.224136079422</f>
        <v>-1223.271864817043</v>
      </c>
      <c r="Q2021">
        <f>-562.881623441638 -143.828309817327 -415.625254566958</f>
        <v>-1122.3351878259232</v>
      </c>
      <c r="R2021" t="s">
        <v>25248</v>
      </c>
      <c r="S2021" t="s">
        <v>25249</v>
      </c>
      <c r="T2021" t="s">
        <v>25250</v>
      </c>
      <c r="U2021" t="s">
        <v>25251</v>
      </c>
      <c r="V2021">
        <f>-711.954994916365 -139.319956309133 -87.158366048007</f>
        <v>-938.43331727350494</v>
      </c>
      <c r="W2021" t="s">
        <v>25252</v>
      </c>
      <c r="X2021" t="s">
        <v>25253</v>
      </c>
      <c r="Y2021" t="s">
        <v>25254</v>
      </c>
    </row>
    <row r="2022" spans="1:25" x14ac:dyDescent="0.3">
      <c r="A2022">
        <v>101050</v>
      </c>
      <c r="B2022" t="s">
        <v>25255</v>
      </c>
      <c r="C2022">
        <f>-742.749801705542 -48.4712073592307 -90.6737509484159</f>
        <v>-881.8947600131886</v>
      </c>
      <c r="D2022">
        <f>-764.589657661289 -61.6107075989078 -203.663065271917</f>
        <v>-1029.8634305321139</v>
      </c>
      <c r="E2022">
        <f>-775.864345607537 -67.7195884736157 -301.449654639716</f>
        <v>-1145.0335887208687</v>
      </c>
      <c r="F2022">
        <f>-783.55925957301 -71.4554098007397 -390.134959900499</f>
        <v>-1245.1496292742486</v>
      </c>
      <c r="G2022">
        <f>-788.36518330972 -73.3861157358253 -479.081108231648</f>
        <v>-1340.8324072771934</v>
      </c>
      <c r="H2022">
        <f>-792.006476047245 -74.2592590535792 -603.607311296896</f>
        <v>-1469.8730463977201</v>
      </c>
      <c r="I2022">
        <f>-768.510895565287 -64.5378502867891 -682.718005037579</f>
        <v>-1515.7667508896552</v>
      </c>
      <c r="J2022">
        <f>-795.67471693785 -46.6719536820904 -548.846199636948</f>
        <v>-1391.1928702568885</v>
      </c>
      <c r="K2022" t="s">
        <v>25256</v>
      </c>
      <c r="L2022" t="s">
        <v>25257</v>
      </c>
      <c r="M2022" t="s">
        <v>25258</v>
      </c>
      <c r="N2022">
        <f>-785.133524813451 -101.078172612869 -548.772905658188</f>
        <v>-1434.9846030845081</v>
      </c>
      <c r="O2022">
        <f>-757.883715989843 -233.406992887169 -523.417432284569</f>
        <v>-1514.7081411615811</v>
      </c>
      <c r="P2022">
        <f>-641.716614603744 -316.531921971931 -266.14983750182</f>
        <v>-1224.398374077495</v>
      </c>
      <c r="Q2022">
        <f>-562.285833665142 -143.947375469951 -414.326053390265</f>
        <v>-1120.559262525358</v>
      </c>
      <c r="R2022" t="s">
        <v>25259</v>
      </c>
      <c r="S2022" t="s">
        <v>25260</v>
      </c>
      <c r="T2022" t="s">
        <v>25261</v>
      </c>
      <c r="U2022" t="s">
        <v>25262</v>
      </c>
      <c r="V2022">
        <f>-711.966584374209 -139.591144014922 -87.114747536206</f>
        <v>-938.67247592533693</v>
      </c>
      <c r="W2022" t="s">
        <v>25263</v>
      </c>
      <c r="X2022" t="s">
        <v>25264</v>
      </c>
      <c r="Y2022" t="s">
        <v>25265</v>
      </c>
    </row>
    <row r="2023" spans="1:25" x14ac:dyDescent="0.3">
      <c r="A2023">
        <v>101100</v>
      </c>
      <c r="B2023" t="s">
        <v>25266</v>
      </c>
      <c r="C2023">
        <f>-742.662798314062 -48.5566799498642 -90.7141690024338</f>
        <v>-881.93364726636003</v>
      </c>
      <c r="D2023">
        <f>-764.460634340249 -61.7522385172028 -203.705049272891</f>
        <v>-1029.917922130343</v>
      </c>
      <c r="E2023">
        <f>-775.704735106671 -67.8585272429511 -301.495336517008</f>
        <v>-1145.0585988666303</v>
      </c>
      <c r="F2023">
        <f>-783.373246609851 -71.5714392669249 -390.183834148154</f>
        <v>-1245.1285200249299</v>
      </c>
      <c r="G2023">
        <f>-788.152942063048 -73.4594343194851 -479.132308170927</f>
        <v>-1340.74468455346</v>
      </c>
      <c r="H2023">
        <f>-791.757832185447 -74.2514734252616 -603.660174811521</f>
        <v>-1469.6694804222295</v>
      </c>
      <c r="I2023">
        <f>-768.000772760456 -64.4586622092788 -682.683759076673</f>
        <v>-1515.1431940464079</v>
      </c>
      <c r="J2023">
        <f>-795.450524368358 -46.7013658425462 -548.881905856661</f>
        <v>-1391.0337960675652</v>
      </c>
      <c r="K2023" t="s">
        <v>25267</v>
      </c>
      <c r="L2023" t="s">
        <v>25268</v>
      </c>
      <c r="M2023" t="s">
        <v>25269</v>
      </c>
      <c r="N2023">
        <f>-784.892533940468 -101.104542496216 -548.841406765776</f>
        <v>-1434.8384832024599</v>
      </c>
      <c r="O2023">
        <f>-757.553207387718 -233.431267748117 -523.563520833487</f>
        <v>-1514.5479959693221</v>
      </c>
      <c r="P2023">
        <f>-641.893254080127 -317.923211085255 -266.512776486607</f>
        <v>-1226.3292416519889</v>
      </c>
      <c r="Q2023">
        <f>-560.943173455558 -143.280672137821 -411.419509717279</f>
        <v>-1115.6433553106581</v>
      </c>
      <c r="R2023" t="s">
        <v>25270</v>
      </c>
      <c r="S2023" t="s">
        <v>25271</v>
      </c>
      <c r="T2023" t="s">
        <v>25272</v>
      </c>
      <c r="U2023" t="s">
        <v>25273</v>
      </c>
      <c r="V2023">
        <f>-711.843847909823 -139.731915539487 -87.0994107054909</f>
        <v>-938.67517415480086</v>
      </c>
      <c r="W2023" t="s">
        <v>25274</v>
      </c>
      <c r="X2023" t="s">
        <v>25275</v>
      </c>
      <c r="Y2023" t="s">
        <v>25276</v>
      </c>
    </row>
    <row r="2024" spans="1:25" x14ac:dyDescent="0.3">
      <c r="A2024">
        <v>101150</v>
      </c>
      <c r="B2024" t="s">
        <v>25277</v>
      </c>
      <c r="C2024">
        <f>-742.590692522155 -48.6350323483618 -90.7290099076639</f>
        <v>-881.95473477818075</v>
      </c>
      <c r="D2024">
        <f>-764.365254882882 -61.8698691795123 -203.719805639187</f>
        <v>-1029.9549297015812</v>
      </c>
      <c r="E2024">
        <f>-775.600024103167 -67.9906020407509 -301.510310699761</f>
        <v>-1145.1009368436789</v>
      </c>
      <c r="F2024">
        <f>-783.263966227289 -71.7092545778044 -390.198950038909</f>
        <v>-1245.1721708440023</v>
      </c>
      <c r="G2024">
        <f>-788.04281079919 -73.5948829160245 -479.147511570303</f>
        <v>-1340.7852052855173</v>
      </c>
      <c r="H2024">
        <f>-791.650228185535 -74.375501394305 -603.675446523588</f>
        <v>-1469.701176103428</v>
      </c>
      <c r="I2024">
        <f>-767.796112588443 -64.5665303487372 -682.667750676524</f>
        <v>-1515.0303936137041</v>
      </c>
      <c r="J2024">
        <f>-795.355629208613 -46.8331098669287 -548.893979320067</f>
        <v>-1391.0827183956087</v>
      </c>
      <c r="K2024" t="s">
        <v>25278</v>
      </c>
      <c r="L2024" t="s">
        <v>25279</v>
      </c>
      <c r="M2024" t="s">
        <v>25280</v>
      </c>
      <c r="N2024">
        <f>-784.770028737998 -101.230765895025 -548.859711371861</f>
        <v>-1434.860506004884</v>
      </c>
      <c r="O2024">
        <f>-757.335615893636 -233.544369343657 -523.609293648532</f>
        <v>-1514.4892788858251</v>
      </c>
      <c r="P2024">
        <f>-641.767762566826 -318.687047301647 -266.732002738445</f>
        <v>-1227.186812606918</v>
      </c>
      <c r="Q2024">
        <f>-560.315031711769 -142.782382149587 -409.818838998742</f>
        <v>-1112.916252860098</v>
      </c>
      <c r="R2024" t="s">
        <v>25281</v>
      </c>
      <c r="S2024" t="s">
        <v>25282</v>
      </c>
      <c r="T2024" t="s">
        <v>25283</v>
      </c>
      <c r="U2024" t="s">
        <v>25284</v>
      </c>
      <c r="V2024">
        <f>-711.74465566084 -139.887558035073 -87.0860037678484</f>
        <v>-938.71821746376133</v>
      </c>
      <c r="W2024" t="s">
        <v>25285</v>
      </c>
      <c r="X2024" t="s">
        <v>25286</v>
      </c>
      <c r="Y2024" t="s">
        <v>25287</v>
      </c>
    </row>
    <row r="2025" spans="1:25" x14ac:dyDescent="0.3">
      <c r="A2025">
        <v>101200</v>
      </c>
      <c r="B2025" t="s">
        <v>25288</v>
      </c>
      <c r="C2025">
        <f>-742.389393606998 -48.6226793637245 -90.8062329774049</f>
        <v>-881.81830594812743</v>
      </c>
      <c r="D2025">
        <f>-764.096266667063 -61.9571379369395 -203.798305947125</f>
        <v>-1029.8517105511276</v>
      </c>
      <c r="E2025">
        <f>-775.315204908462 -68.1069557427522 -301.588898515996</f>
        <v>-1145.0110591672101</v>
      </c>
      <c r="F2025">
        <f>-782.980281546255 -71.8296565026103 -390.277155024054</f>
        <v>-1245.0870930729193</v>
      </c>
      <c r="G2025">
        <f>-787.775702359885 -73.6960588803056 -479.225362326264</f>
        <v>-1340.6971235664546</v>
      </c>
      <c r="H2025">
        <f>-791.421570022701 -74.4251679981226 -603.752355920589</f>
        <v>-1469.5990939414125</v>
      </c>
      <c r="I2025">
        <f>-767.468111497694 -64.5471619358354 -682.705953622776</f>
        <v>-1514.7212270563055</v>
      </c>
      <c r="J2025">
        <f>-795.154872799667 -46.9141973389819 -548.957050773143</f>
        <v>-1391.0261209117921</v>
      </c>
      <c r="K2025" t="s">
        <v>25289</v>
      </c>
      <c r="L2025" t="s">
        <v>25290</v>
      </c>
      <c r="M2025" t="s">
        <v>25291</v>
      </c>
      <c r="N2025">
        <f>-784.479429945529 -101.294428547143 -548.951272475308</f>
        <v>-1434.72513096798</v>
      </c>
      <c r="O2025">
        <f>-756.799512250735 -233.562813801278 -523.778225538139</f>
        <v>-1514.140551590152</v>
      </c>
      <c r="P2025">
        <f>-641.582162166498 -319.659437934097 -267.061377823522</f>
        <v>-1228.3029779241169</v>
      </c>
      <c r="Q2025">
        <f>-558.308649541121 -141.102565141108 -405.747571754626</f>
        <v>-1105.1587864368551</v>
      </c>
      <c r="R2025" t="s">
        <v>25292</v>
      </c>
      <c r="S2025" t="s">
        <v>25293</v>
      </c>
      <c r="T2025" t="s">
        <v>25294</v>
      </c>
      <c r="U2025" t="s">
        <v>25295</v>
      </c>
      <c r="V2025">
        <f>-711.420042757224 -139.836297671507 -87.0974982957268</f>
        <v>-938.35383872445777</v>
      </c>
      <c r="W2025" t="s">
        <v>25296</v>
      </c>
      <c r="X2025" t="s">
        <v>25297</v>
      </c>
      <c r="Y2025" t="s">
        <v>25298</v>
      </c>
    </row>
    <row r="2026" spans="1:25" x14ac:dyDescent="0.3">
      <c r="A2026">
        <v>101250</v>
      </c>
      <c r="B2026" t="s">
        <v>25299</v>
      </c>
      <c r="C2026">
        <f>-742.259948723387 -48.5740128926525 -90.8392516475648</f>
        <v>-881.67321326360423</v>
      </c>
      <c r="D2026">
        <f>-763.935392709217 -61.9466550089933 -203.833017947009</f>
        <v>-1029.7150656652193</v>
      </c>
      <c r="E2026">
        <f>-775.15892583205 -68.1046877882343 -301.622271964429</f>
        <v>-1144.8858855847134</v>
      </c>
      <c r="F2026">
        <f>-782.84039187843 -71.8247288565542 -390.309409809059</f>
        <v>-1244.9745305440431</v>
      </c>
      <c r="G2026">
        <f>-787.664465119752 -73.6775357476888 -479.256214733276</f>
        <v>-1340.5982156007167</v>
      </c>
      <c r="H2026">
        <f>-791.36289568011 -74.3757986443636 -603.781880311638</f>
        <v>-1469.5205746361116</v>
      </c>
      <c r="I2026">
        <f>-767.408931248923 -64.4546101167127 -682.729952088125</f>
        <v>-1514.5934934537606</v>
      </c>
      <c r="J2026">
        <f>-795.107163021823 -46.8851866107068 -548.977142355016</f>
        <v>-1390.9694919875458</v>
      </c>
      <c r="K2026" t="s">
        <v>25300</v>
      </c>
      <c r="L2026" t="s">
        <v>25301</v>
      </c>
      <c r="M2026" t="s">
        <v>25302</v>
      </c>
      <c r="N2026">
        <f>-784.36361580268 -101.251959091189 -548.991544255528</f>
        <v>-1434.607119149397</v>
      </c>
      <c r="O2026">
        <f>-756.4831869891 -233.488432767129 -523.822250727806</f>
        <v>-1513.7938704840349</v>
      </c>
      <c r="P2026">
        <f>-641.425177262042 -319.676776140765 -267.064729465215</f>
        <v>-1228.166682868022</v>
      </c>
      <c r="Q2026">
        <f>-556.862559210354 -139.558743747897 -402.923357537402</f>
        <v>-1099.344660495653</v>
      </c>
      <c r="R2026" t="s">
        <v>25303</v>
      </c>
      <c r="S2026" t="s">
        <v>25304</v>
      </c>
      <c r="T2026" t="s">
        <v>25305</v>
      </c>
      <c r="U2026" t="s">
        <v>25306</v>
      </c>
      <c r="V2026">
        <f>-711.218137311469 -139.802432361325 -87.1097786212924</f>
        <v>-938.1303482940865</v>
      </c>
      <c r="W2026" t="s">
        <v>25307</v>
      </c>
      <c r="X2026" t="s">
        <v>25308</v>
      </c>
      <c r="Y2026" t="s">
        <v>25309</v>
      </c>
    </row>
    <row r="2027" spans="1:25" x14ac:dyDescent="0.3">
      <c r="A2027">
        <v>101300</v>
      </c>
      <c r="B2027" t="s">
        <v>25310</v>
      </c>
      <c r="C2027">
        <f>-742.126029210556 -48.4754837810613 -90.8901383859044</f>
        <v>-881.49165137752163</v>
      </c>
      <c r="D2027">
        <f>-763.71801173732 -61.8933763320058 -203.894330144416</f>
        <v>-1029.5057182137418</v>
      </c>
      <c r="E2027">
        <f>-774.901043103337 -68.052418116351 -301.688273652893</f>
        <v>-1144.6417348725809</v>
      </c>
      <c r="F2027">
        <f>-782.558627007021 -71.7576276713096 -390.378074242679</f>
        <v>-1244.6943289210096</v>
      </c>
      <c r="G2027">
        <f>-787.371787644073 -73.5774479213269 -479.326187938205</f>
        <v>-1340.275423503605</v>
      </c>
      <c r="H2027">
        <f>-791.069269387367 -74.2092973851272 -603.852286157444</f>
        <v>-1469.1308529299381</v>
      </c>
      <c r="I2027">
        <f>-767.121031321065 -64.1766060563928 -682.787973768569</f>
        <v>-1514.0856111460266</v>
      </c>
      <c r="J2027">
        <f>-794.927221672667 -46.7705799566997 -549.029479883499</f>
        <v>-1390.7272815128658</v>
      </c>
      <c r="K2027" t="s">
        <v>25311</v>
      </c>
      <c r="L2027" t="s">
        <v>25312</v>
      </c>
      <c r="M2027" t="s">
        <v>25313</v>
      </c>
      <c r="N2027">
        <f>-783.95705891791 -101.092017397627 -549.079542513715</f>
        <v>-1434.128618829252</v>
      </c>
      <c r="O2027">
        <f>-755.473913105572 -233.182660797123 -523.863760016687</f>
        <v>-1512.5203339193822</v>
      </c>
      <c r="P2027">
        <f>-641.540491682083 -318.540908579797 -266.328706680727</f>
        <v>-1226.4101069426069</v>
      </c>
      <c r="Q2027">
        <f>-553.087662827068 -136.727920058737 -397.366947857817</f>
        <v>-1087.182530743622</v>
      </c>
      <c r="R2027" t="s">
        <v>25314</v>
      </c>
      <c r="S2027" t="s">
        <v>25315</v>
      </c>
      <c r="T2027" t="s">
        <v>25316</v>
      </c>
      <c r="U2027" t="s">
        <v>25317</v>
      </c>
      <c r="V2027">
        <f>-710.890218245109 -139.666503433889 -87.1363457334381</f>
        <v>-937.69306741243622</v>
      </c>
      <c r="W2027" t="s">
        <v>25318</v>
      </c>
      <c r="X2027" t="s">
        <v>25319</v>
      </c>
      <c r="Y2027" t="s">
        <v>25320</v>
      </c>
    </row>
    <row r="2028" spans="1:25" x14ac:dyDescent="0.3">
      <c r="A2028">
        <v>101350</v>
      </c>
      <c r="B2028" t="s">
        <v>25321</v>
      </c>
      <c r="C2028">
        <f>-742.096032592279 -48.413487076788 -90.9046737720535</f>
        <v>-881.41419344112046</v>
      </c>
      <c r="D2028">
        <f>-763.642478996092 -61.834837584239 -203.917214404159</f>
        <v>-1029.3945309844901</v>
      </c>
      <c r="E2028">
        <f>-774.788182268505 -67.999823489371 -301.715005125173</f>
        <v>-1144.503010883049</v>
      </c>
      <c r="F2028">
        <f>-782.413122118977 -71.7115754795122 -390.407375018905</f>
        <v>-1244.5320726173941</v>
      </c>
      <c r="G2028">
        <f>-787.195676084096 -73.5378235924047 -479.356889993756</f>
        <v>-1340.0903896702566</v>
      </c>
      <c r="H2028">
        <f>-790.852532378446 -74.1778388146088 -603.884208422729</f>
        <v>-1468.9145796157836</v>
      </c>
      <c r="I2028">
        <f>-766.900554974168 -64.1042313176599 -682.813572498852</f>
        <v>-1513.8183587906799</v>
      </c>
      <c r="J2028">
        <f>-794.791734965296 -46.7482941004703 -549.062493294998</f>
        <v>-1390.6025223607644</v>
      </c>
      <c r="K2028" t="s">
        <v>25322</v>
      </c>
      <c r="L2028" t="s">
        <v>25323</v>
      </c>
      <c r="M2028" t="s">
        <v>25324</v>
      </c>
      <c r="N2028">
        <f>-783.69512103697 -101.044052188542 -549.109293013611</f>
        <v>-1433.8484662391229</v>
      </c>
      <c r="O2028">
        <f>-754.852263097218 -233.046221166382 -523.817336823819</f>
        <v>-1511.715821087419</v>
      </c>
      <c r="P2028">
        <f>-641.843142533789 -317.56199992043 -265.598067553188</f>
        <v>-1225.003210007407</v>
      </c>
      <c r="Q2028">
        <f>-550.778154621304 -135.898397697854 -395.044679346822</f>
        <v>-1081.72123166598</v>
      </c>
      <c r="R2028" t="s">
        <v>25325</v>
      </c>
      <c r="S2028" t="s">
        <v>25326</v>
      </c>
      <c r="T2028" t="s">
        <v>25327</v>
      </c>
      <c r="U2028" t="s">
        <v>25328</v>
      </c>
      <c r="V2028">
        <f>-710.788339909547 -139.557041336305 -87.1571173843444</f>
        <v>-937.50249863019633</v>
      </c>
      <c r="W2028" t="s">
        <v>25329</v>
      </c>
      <c r="X2028" t="s">
        <v>25330</v>
      </c>
      <c r="Y2028" t="s">
        <v>25331</v>
      </c>
    </row>
    <row r="2029" spans="1:25" x14ac:dyDescent="0.3">
      <c r="A2029">
        <v>101400</v>
      </c>
      <c r="B2029" t="s">
        <v>25332</v>
      </c>
      <c r="C2029">
        <f>-741.970932248505 -48.227078388428 -90.9344276232629</f>
        <v>-881.13243826019595</v>
      </c>
      <c r="D2029">
        <f>-763.434733068679 -61.6391577903273 -203.963705624345</f>
        <v>-1029.0375964833513</v>
      </c>
      <c r="E2029">
        <f>-774.517448357345 -67.8151999862064 -301.768192458433</f>
        <v>-1144.1008408019843</v>
      </c>
      <c r="F2029">
        <f>-782.090432886888 -71.5436865686197 -390.464168532437</f>
        <v>-1244.0982879879448</v>
      </c>
      <c r="G2029">
        <f>-786.827072719976 -73.3910513538219 -479.415749805608</f>
        <v>-1339.6338738794059</v>
      </c>
      <c r="H2029">
        <f>-790.427361021079 -74.0635452945849 -603.944496345655</f>
        <v>-1468.4354026613189</v>
      </c>
      <c r="I2029">
        <f>-766.525656967063 -63.9090548961765 -682.878843341569</f>
        <v>-1513.3135552048084</v>
      </c>
      <c r="J2029">
        <f>-794.511446935282 -46.6446335367918 -549.128211003291</f>
        <v>-1390.2842914753649</v>
      </c>
      <c r="K2029" t="s">
        <v>25333</v>
      </c>
      <c r="L2029" t="s">
        <v>25334</v>
      </c>
      <c r="M2029" t="s">
        <v>25335</v>
      </c>
      <c r="N2029">
        <f>-783.174563493037 -100.890678713405 -549.162993871195</f>
        <v>-1433.2282360776371</v>
      </c>
      <c r="O2029">
        <f>-753.665351401902 -232.720620174242 -523.705113426783</f>
        <v>-1510.0910850029268</v>
      </c>
      <c r="P2029">
        <f>-642.564446433594 -316.097554493851 -264.290034683473</f>
        <v>-1222.9520356109178</v>
      </c>
      <c r="Q2029">
        <f>-549.033926445586 -133.106741075018 -390.057074928058</f>
        <v>-1072.197742448662</v>
      </c>
      <c r="R2029" t="s">
        <v>25336</v>
      </c>
      <c r="S2029" t="s">
        <v>25337</v>
      </c>
      <c r="T2029" t="s">
        <v>25338</v>
      </c>
      <c r="U2029" t="s">
        <v>25339</v>
      </c>
      <c r="V2029">
        <f>-710.527794341283 -139.299752949976 -87.202742306601</f>
        <v>-937.03028959785991</v>
      </c>
      <c r="W2029" t="s">
        <v>25340</v>
      </c>
      <c r="X2029" t="s">
        <v>25341</v>
      </c>
      <c r="Y2029" t="s">
        <v>25342</v>
      </c>
    </row>
    <row r="2030" spans="1:25" x14ac:dyDescent="0.3">
      <c r="A2030">
        <v>101450</v>
      </c>
      <c r="B2030" t="s">
        <v>25343</v>
      </c>
      <c r="C2030">
        <f>-741.855890602569 -48.0311362941866 -90.9710270561634</f>
        <v>-880.85805395291902</v>
      </c>
      <c r="D2030">
        <f>-763.273133217976 -61.4575447692007 -204.007507898276</f>
        <v>-1028.7381858854528</v>
      </c>
      <c r="E2030">
        <f>-774.3280106309 -67.6180833060487 -301.81591173963</f>
        <v>-1143.7620056765786</v>
      </c>
      <c r="F2030">
        <f>-781.879920826065 -71.3217713185395 -390.514940127169</f>
        <v>-1243.7166322717735</v>
      </c>
      <c r="G2030">
        <f>-786.600224226348 -73.1321647088862 -479.468239151456</f>
        <v>-1339.2006280866901</v>
      </c>
      <c r="H2030">
        <f>-790.182452162545 -73.7400957091184 -603.997726715369</f>
        <v>-1467.9202745870325</v>
      </c>
      <c r="I2030">
        <f>-766.309244339445 -63.522618740596 -682.932615623482</f>
        <v>-1512.7644787035229</v>
      </c>
      <c r="J2030">
        <f>-794.320853368503 -46.3592450612111 -549.166396190465</f>
        <v>-1389.8464946201791</v>
      </c>
      <c r="K2030" t="s">
        <v>25344</v>
      </c>
      <c r="L2030" t="s">
        <v>25345</v>
      </c>
      <c r="M2030" t="s">
        <v>25346</v>
      </c>
      <c r="N2030">
        <f>-782.891246629733 -100.585844190688 -549.230429623395</f>
        <v>-1432.7075204438161</v>
      </c>
      <c r="O2030">
        <f>-753.153410725554 -232.37050418886 -523.802902803957</f>
        <v>-1509.3268177183709</v>
      </c>
      <c r="P2030">
        <f>-642.993972280876 -315.671907475908 -263.962614346385</f>
        <v>-1222.628494103169</v>
      </c>
      <c r="Q2030">
        <f>-548.74344749828 -131.897771648967 -388.038474790555</f>
        <v>-1068.6796939378021</v>
      </c>
      <c r="R2030" t="s">
        <v>25347</v>
      </c>
      <c r="S2030" t="s">
        <v>25348</v>
      </c>
      <c r="T2030" t="s">
        <v>25349</v>
      </c>
      <c r="U2030" t="s">
        <v>25350</v>
      </c>
      <c r="V2030">
        <f>-710.315594364303 -139.064014767337 -87.2446856520938</f>
        <v>-936.62429478373383</v>
      </c>
      <c r="W2030" t="s">
        <v>25351</v>
      </c>
      <c r="X2030" t="s">
        <v>25352</v>
      </c>
      <c r="Y2030" t="s">
        <v>25353</v>
      </c>
    </row>
    <row r="2031" spans="1:25" x14ac:dyDescent="0.3">
      <c r="A2031">
        <v>101500</v>
      </c>
      <c r="B2031" t="s">
        <v>25354</v>
      </c>
      <c r="C2031">
        <f>-741.495535492495 -47.6471945926469 -91.0489505921431</f>
        <v>-880.19168067728504</v>
      </c>
      <c r="D2031">
        <f>-762.799281873218 -61.078349649021 -204.106386761834</f>
        <v>-1027.984018284073</v>
      </c>
      <c r="E2031">
        <f>-773.802334095242 -67.1651018470848 -301.925244936106</f>
        <v>-1142.8926808784329</v>
      </c>
      <c r="F2031">
        <f>-781.325092321576 -70.770519209786 -390.630623316939</f>
        <v>-1242.7262348483009</v>
      </c>
      <c r="G2031">
        <f>-786.033479156637 -72.4490332918147 -479.587069475848</f>
        <v>-1338.0695819242997</v>
      </c>
      <c r="H2031">
        <f>-789.616867246561 -72.8368150616457 -604.11749230789</f>
        <v>-1466.5711746160966</v>
      </c>
      <c r="I2031">
        <f>-765.79156987897 -62.5094667784331 -683.052411857858</f>
        <v>-1511.3534485152611</v>
      </c>
      <c r="J2031">
        <f>-793.838049933941 -45.5706835640347 -549.235505978679</f>
        <v>-1388.6442394766545</v>
      </c>
      <c r="K2031" t="s">
        <v>25355</v>
      </c>
      <c r="L2031" t="s">
        <v>25356</v>
      </c>
      <c r="M2031" t="s">
        <v>25357</v>
      </c>
      <c r="N2031">
        <f>-782.242148011288 -99.7618192781347 -549.400295410269</f>
        <v>-1431.4042626996916</v>
      </c>
      <c r="O2031">
        <f>-752.158711816891 -231.485155563605 -524.106568029425</f>
        <v>-1507.750435409921</v>
      </c>
      <c r="P2031">
        <f>-643.831126281032 -314.503781861793 -263.407053990991</f>
        <v>-1221.7419621338161</v>
      </c>
      <c r="Q2031">
        <f>-547.346429868175 -129.996083818381 -384.644342728369</f>
        <v>-1061.9868564149251</v>
      </c>
      <c r="R2031" t="s">
        <v>25358</v>
      </c>
      <c r="S2031" t="s">
        <v>25359</v>
      </c>
      <c r="T2031" t="s">
        <v>25360</v>
      </c>
      <c r="U2031" t="s">
        <v>25361</v>
      </c>
      <c r="V2031">
        <f>-709.811447061134 -138.748213070124 -87.3203498626541</f>
        <v>-935.88000999391204</v>
      </c>
      <c r="W2031" t="s">
        <v>25362</v>
      </c>
      <c r="X2031" t="s">
        <v>25363</v>
      </c>
      <c r="Y2031" t="s">
        <v>25364</v>
      </c>
    </row>
    <row r="2032" spans="1:25" x14ac:dyDescent="0.3">
      <c r="A2032">
        <v>101550</v>
      </c>
      <c r="B2032" t="s">
        <v>25365</v>
      </c>
      <c r="C2032">
        <f>-741.324030656544 -47.4494761585131 -91.0912928786263</f>
        <v>-879.86479969368338</v>
      </c>
      <c r="D2032">
        <f>-762.575995349994 -60.8864530251328 -204.157727175164</f>
        <v>-1027.6201755502907</v>
      </c>
      <c r="E2032">
        <f>-773.553736944396 -66.9436031256164 -301.981369128177</f>
        <v>-1142.4787091981893</v>
      </c>
      <c r="F2032">
        <f>-781.060624118137 -70.5077433092954 -390.68977592387</f>
        <v>-1242.2581433513024</v>
      </c>
      <c r="G2032">
        <f>-785.760688591891 -72.1303113633996 -479.647756471552</f>
        <v>-1337.5387564268426</v>
      </c>
      <c r="H2032">
        <f>-789.339608139007 -72.4230641712641 -604.178456051352</f>
        <v>-1465.9411283616232</v>
      </c>
      <c r="I2032">
        <f>-765.504613314539 -62.0570730665004 -683.10549422413</f>
        <v>-1510.6671806051695</v>
      </c>
      <c r="J2032">
        <f>-793.602754501027 -45.2073352512982 -549.274590527207</f>
        <v>-1388.0846802795322</v>
      </c>
      <c r="K2032" t="s">
        <v>25366</v>
      </c>
      <c r="L2032" t="s">
        <v>25367</v>
      </c>
      <c r="M2032" t="s">
        <v>25368</v>
      </c>
      <c r="N2032">
        <f>-781.926695524583 -99.380981065392 -549.48280541335</f>
        <v>-1430.790482003325</v>
      </c>
      <c r="O2032">
        <f>-751.699104786652 -231.081741658638 -524.22447847493</f>
        <v>-1507.0053249202201</v>
      </c>
      <c r="P2032">
        <f>-644.403657744511 -313.852592513185 -263.019785176551</f>
        <v>-1221.276035434247</v>
      </c>
      <c r="Q2032">
        <f>-546.310886451632 -129.4891815499 -383.181398668561</f>
        <v>-1058.9814666700929</v>
      </c>
      <c r="R2032" t="s">
        <v>25369</v>
      </c>
      <c r="S2032" t="s">
        <v>25370</v>
      </c>
      <c r="T2032" t="s">
        <v>25371</v>
      </c>
      <c r="U2032" t="s">
        <v>25372</v>
      </c>
      <c r="V2032">
        <f>-709.597870737983 -138.518695788422 -87.3647552395138</f>
        <v>-935.48132176591878</v>
      </c>
      <c r="W2032" t="s">
        <v>25373</v>
      </c>
      <c r="X2032" t="s">
        <v>25374</v>
      </c>
      <c r="Y2032" t="s">
        <v>25375</v>
      </c>
    </row>
    <row r="2033" spans="1:25" x14ac:dyDescent="0.3">
      <c r="A2033">
        <v>101600</v>
      </c>
      <c r="B2033" t="s">
        <v>25376</v>
      </c>
      <c r="C2033">
        <f>-741.07645302691 -47.070261311175 -91.1948503184921</f>
        <v>-879.34156465657713</v>
      </c>
      <c r="D2033">
        <f>-762.244578681341 -60.5045730896309 -204.27735260362</f>
        <v>-1027.0265043745917</v>
      </c>
      <c r="E2033">
        <f>-773.173804808019 -66.489304774884 -302.110811120949</f>
        <v>-1141.7739207038519</v>
      </c>
      <c r="F2033">
        <f>-780.645978828431 -69.9595469914002 -390.825899846996</f>
        <v>-1241.4314256668272</v>
      </c>
      <c r="G2033">
        <f>-785.320599296489 -71.4571296600132 -479.787454096903</f>
        <v>-1336.5651830534052</v>
      </c>
      <c r="H2033">
        <f>-788.87392551217 -71.5418756422073 -604.319238630408</f>
        <v>-1464.7350397847854</v>
      </c>
      <c r="I2033">
        <f>-765.025563181501 -61.028554971924 -683.22272759487</f>
        <v>-1509.2768457482948</v>
      </c>
      <c r="J2033">
        <f>-793.23891718578 -44.4376966729637 -549.368160509863</f>
        <v>-1387.0447743686068</v>
      </c>
      <c r="K2033" t="s">
        <v>25377</v>
      </c>
      <c r="L2033" t="s">
        <v>25378</v>
      </c>
      <c r="M2033" t="s">
        <v>25379</v>
      </c>
      <c r="N2033">
        <f>-781.3816400486 -98.5715250214373 -549.669695175962</f>
        <v>-1429.6228602459994</v>
      </c>
      <c r="O2033">
        <f>-750.849367887143 -230.214080143934 -524.513971724686</f>
        <v>-1505.577419755763</v>
      </c>
      <c r="P2033">
        <f>-645.855889142729 -312.714036285486 -262.290261638419</f>
        <v>-1220.8601870666339</v>
      </c>
      <c r="Q2033">
        <f>-544.245243880239 -129.272265717903 -380.929611121715</f>
        <v>-1054.4471207198569</v>
      </c>
      <c r="R2033" t="s">
        <v>25380</v>
      </c>
      <c r="S2033" t="s">
        <v>25381</v>
      </c>
      <c r="T2033" t="s">
        <v>25382</v>
      </c>
      <c r="U2033" t="s">
        <v>25383</v>
      </c>
      <c r="V2033">
        <f>-709.183647912353 -138.077066623167 -87.4685117491471</f>
        <v>-934.72922628466711</v>
      </c>
      <c r="W2033" t="s">
        <v>25384</v>
      </c>
      <c r="X2033" t="s">
        <v>25385</v>
      </c>
      <c r="Y2033" t="s">
        <v>25386</v>
      </c>
    </row>
    <row r="2034" spans="1:25" x14ac:dyDescent="0.3">
      <c r="A2034">
        <v>101650</v>
      </c>
      <c r="B2034" t="s">
        <v>25387</v>
      </c>
      <c r="C2034">
        <f>-741.069923587322 -46.8747029934225 -91.2224559977633</f>
        <v>-879.1670825785078</v>
      </c>
      <c r="D2034">
        <f>-762.196023046612 -60.2971708347445 -204.314168969688</f>
        <v>-1026.8073628510447</v>
      </c>
      <c r="E2034">
        <f>-773.114509076586 -66.2462614902404 -302.151194290828</f>
        <v>-1141.5119648576544</v>
      </c>
      <c r="F2034">
        <f>-780.587298449613 -69.6736506124712 -390.867796378157</f>
        <v>-1241.1287454402411</v>
      </c>
      <c r="G2034">
        <f>-785.272610012305 -71.1167769005237 -479.829573368169</f>
        <v>-1336.2189602809976</v>
      </c>
      <c r="H2034">
        <f>-788.851899698155 -71.112737022303 -604.360663233876</f>
        <v>-1464.325299954334</v>
      </c>
      <c r="I2034">
        <f>-765.033885509579 -60.5341536116543 -683.264562785349</f>
        <v>-1508.8326019065823</v>
      </c>
      <c r="J2034">
        <f>-793.241968016181 -44.0556439415366 -549.388376960805</f>
        <v>-1386.6859889185225</v>
      </c>
      <c r="K2034" t="s">
        <v>25388</v>
      </c>
      <c r="L2034" t="s">
        <v>25389</v>
      </c>
      <c r="M2034" t="s">
        <v>25390</v>
      </c>
      <c r="N2034">
        <f>-781.311781494286 -98.1733326920341 -549.733050866077</f>
        <v>-1429.2181650523971</v>
      </c>
      <c r="O2034">
        <f>-750.655066478823 -229.805919454901 -524.620894896031</f>
        <v>-1505.0818808297549</v>
      </c>
      <c r="P2034">
        <f>-646.583972858983 -311.861173207594 -261.890384808592</f>
        <v>-1220.3355308751688</v>
      </c>
      <c r="Q2034">
        <f>-543.224748276667 -129.153495976112 -380.151265971174</f>
        <v>-1052.5295102239529</v>
      </c>
      <c r="R2034" t="s">
        <v>25391</v>
      </c>
      <c r="S2034" t="s">
        <v>25392</v>
      </c>
      <c r="T2034" t="s">
        <v>25393</v>
      </c>
      <c r="U2034" t="s">
        <v>25394</v>
      </c>
      <c r="V2034">
        <f>-709.122804113886 -137.878340575753 -87.508111493093</f>
        <v>-934.50925618273197</v>
      </c>
      <c r="W2034" t="s">
        <v>25395</v>
      </c>
      <c r="X2034" t="s">
        <v>25396</v>
      </c>
      <c r="Y2034" t="s">
        <v>25397</v>
      </c>
    </row>
    <row r="2035" spans="1:25" x14ac:dyDescent="0.3">
      <c r="A2035">
        <v>101700</v>
      </c>
      <c r="B2035" t="s">
        <v>25398</v>
      </c>
      <c r="C2035">
        <f>-741.081661912619 -46.5408495483248 -91.2463238438331</f>
        <v>-878.86883530477689</v>
      </c>
      <c r="D2035">
        <f>-762.130115829236 -59.898710472987 -204.360165590144</f>
        <v>-1026.3889918923669</v>
      </c>
      <c r="E2035">
        <f>-773.007037750085 -65.7677994798498 -302.206583157877</f>
        <v>-1140.9814203878118</v>
      </c>
      <c r="F2035">
        <f>-780.453020342658 -69.1118749970851 -390.9285994327</f>
        <v>-1240.4934947724432</v>
      </c>
      <c r="G2035">
        <f>-785.123118609494 -70.4586563184657 -479.892771281586</f>
        <v>-1335.4745462095457</v>
      </c>
      <c r="H2035">
        <f>-788.693395019573 -70.3050607239634 -604.424161643775</f>
        <v>-1463.4226173873114</v>
      </c>
      <c r="I2035">
        <f>-764.931037132351 -59.6184645791416 -683.33021942917</f>
        <v>-1507.8797211406627</v>
      </c>
      <c r="J2035">
        <f>-793.15099981612 -43.3281057182037 -549.417746928663</f>
        <v>-1385.8968524629868</v>
      </c>
      <c r="K2035" t="s">
        <v>25399</v>
      </c>
      <c r="L2035" t="s">
        <v>25400</v>
      </c>
      <c r="M2035" t="s">
        <v>25401</v>
      </c>
      <c r="N2035">
        <f>-781.093667517416 -97.4171377502355 -549.830242130901</f>
        <v>-1428.3410473985523</v>
      </c>
      <c r="O2035">
        <f>-750.179843335288 -228.988875474774 -524.747738093885</f>
        <v>-1503.9164569039469</v>
      </c>
      <c r="P2035">
        <f>-647.34721140278 -310.120230259116 -261.243749376602</f>
        <v>-1218.7111910384979</v>
      </c>
      <c r="Q2035">
        <f>-541.176284524367 -128.734589731714 -379.047913557829</f>
        <v>-1048.95878781391</v>
      </c>
      <c r="R2035" t="s">
        <v>25402</v>
      </c>
      <c r="S2035" t="s">
        <v>25403</v>
      </c>
      <c r="T2035" t="s">
        <v>25404</v>
      </c>
      <c r="U2035" t="s">
        <v>25405</v>
      </c>
      <c r="V2035">
        <f>-709.139482347421 -137.502259172193 -87.5626498069497</f>
        <v>-934.20439132656372</v>
      </c>
      <c r="W2035" t="s">
        <v>25406</v>
      </c>
      <c r="X2035" t="s">
        <v>25407</v>
      </c>
      <c r="Y2035" t="s">
        <v>25408</v>
      </c>
    </row>
    <row r="2036" spans="1:25" x14ac:dyDescent="0.3">
      <c r="A2036">
        <v>101750</v>
      </c>
      <c r="B2036" t="s">
        <v>25409</v>
      </c>
      <c r="C2036">
        <f>-741.11628952805 -46.3314275220566 -91.2463776163592</f>
        <v>-878.69409466646573</v>
      </c>
      <c r="D2036">
        <f>-762.130676097403 -59.6512852348487 -204.371073455377</f>
        <v>-1026.1530347876287</v>
      </c>
      <c r="E2036">
        <f>-772.985899277933 -65.4705403344192 -302.222764677832</f>
        <v>-1140.6792042901841</v>
      </c>
      <c r="F2036">
        <f>-780.415952999155 -68.76169973842 -390.948339882229</f>
        <v>-1240.125992619804</v>
      </c>
      <c r="G2036">
        <f>-785.073634863235 -70.0472979982019 -479.913950479919</f>
        <v>-1335.0348833413559</v>
      </c>
      <c r="H2036">
        <f>-788.630734193084 -69.7988067304739 -604.445429909248</f>
        <v>-1462.874970832806</v>
      </c>
      <c r="I2036">
        <f>-764.925902742866 -59.0565088487538 -683.361344960278</f>
        <v>-1507.3437565518977</v>
      </c>
      <c r="J2036">
        <f>-793.120138669896 -42.869632482367 -549.41853260805</f>
        <v>-1385.4083037603132</v>
      </c>
      <c r="K2036" t="s">
        <v>25410</v>
      </c>
      <c r="L2036" t="s">
        <v>25411</v>
      </c>
      <c r="M2036" t="s">
        <v>25412</v>
      </c>
      <c r="N2036">
        <f>-781.010747686101 -96.9466321859788 -549.872116395214</f>
        <v>-1427.829496267294</v>
      </c>
      <c r="O2036">
        <f>-749.986027956117 -228.506861326237 -524.835554229899</f>
        <v>-1503.328443512253</v>
      </c>
      <c r="P2036">
        <f>-647.48366319185 -309.310085068312 -261.10212259878</f>
        <v>-1217.8958708589421</v>
      </c>
      <c r="Q2036">
        <f>-540.152889691311 -128.432304893549 -378.636050314797</f>
        <v>-1047.221244899657</v>
      </c>
      <c r="R2036" t="s">
        <v>25413</v>
      </c>
      <c r="S2036" t="s">
        <v>25414</v>
      </c>
      <c r="T2036" t="s">
        <v>25415</v>
      </c>
      <c r="U2036" t="s">
        <v>25416</v>
      </c>
      <c r="V2036">
        <f>-709.142278527608 -137.269974400383 -87.587588399016</f>
        <v>-933.99984132700706</v>
      </c>
      <c r="W2036" t="s">
        <v>25417</v>
      </c>
      <c r="X2036" t="s">
        <v>25418</v>
      </c>
      <c r="Y2036" t="s">
        <v>25419</v>
      </c>
    </row>
    <row r="2037" spans="1:25" x14ac:dyDescent="0.3">
      <c r="A2037">
        <v>101800</v>
      </c>
      <c r="B2037" t="s">
        <v>25420</v>
      </c>
      <c r="C2037">
        <f>-741.201856992172 -46.2169683556554 -91.2219900083481</f>
        <v>-878.64081535617549</v>
      </c>
      <c r="D2037">
        <f>-762.17226750197 -59.4872644284876 -204.360673055542</f>
        <v>-1026.0202049859997</v>
      </c>
      <c r="E2037">
        <f>-772.968483543452 -65.1850662051238 -302.22606593964</f>
        <v>-1140.3796156882158</v>
      </c>
      <c r="F2037">
        <f>-780.335616462699 -68.3342062647791 -390.961949642486</f>
        <v>-1239.6317723699642</v>
      </c>
      <c r="G2037">
        <f>-784.921324489454 -69.4443339598738 -479.933625721235</f>
        <v>-1334.2992841705627</v>
      </c>
      <c r="H2037">
        <f>-788.368176063902 -68.9152514404698 -604.467499013296</f>
        <v>-1461.7509265176677</v>
      </c>
      <c r="I2037">
        <f>-764.74548313313 -58.0019880436087 -683.384473223957</f>
        <v>-1506.1319444006958</v>
      </c>
      <c r="J2037">
        <f>-792.956315405499 -42.1213204338897 -549.382411817241</f>
        <v>-1384.4600476566297</v>
      </c>
      <c r="K2037" t="s">
        <v>25421</v>
      </c>
      <c r="L2037" t="s">
        <v>25422</v>
      </c>
      <c r="M2037" t="s">
        <v>25423</v>
      </c>
      <c r="N2037">
        <f>-780.746464722128 -96.1746586896456 -549.950168767759</f>
        <v>-1426.8712921795327</v>
      </c>
      <c r="O2037">
        <f>-749.472105550779 -227.709435496886 -525.108177608072</f>
        <v>-1502.289718655737</v>
      </c>
      <c r="P2037">
        <f>-647.174248748635 -308.328400253962 -261.238920666846</f>
        <v>-1216.7415696694432</v>
      </c>
      <c r="Q2037">
        <f>-537.807860571857 -127.784371412913 -377.401545575549</f>
        <v>-1042.9937775603189</v>
      </c>
      <c r="R2037" t="s">
        <v>25424</v>
      </c>
      <c r="S2037" t="s">
        <v>25425</v>
      </c>
      <c r="T2037" t="s">
        <v>25426</v>
      </c>
      <c r="U2037" t="s">
        <v>25427</v>
      </c>
      <c r="V2037">
        <f>-709.193667526839 -137.198870579267 -87.603961907015</f>
        <v>-933.99650001312102</v>
      </c>
      <c r="W2037" t="s">
        <v>25428</v>
      </c>
      <c r="X2037" t="s">
        <v>25429</v>
      </c>
      <c r="Y2037" t="s">
        <v>25430</v>
      </c>
    </row>
    <row r="2038" spans="1:25" x14ac:dyDescent="0.3">
      <c r="A2038">
        <v>101850</v>
      </c>
      <c r="B2038" t="s">
        <v>25431</v>
      </c>
      <c r="C2038">
        <f>-741.172153924523 -46.2157477021988 -91.2032643582753</f>
        <v>-878.59116598499702</v>
      </c>
      <c r="D2038">
        <f>-762.134722000818 -59.478181883449 -204.344246083047</f>
        <v>-1025.9571499673141</v>
      </c>
      <c r="E2038">
        <f>-772.908650217556 -65.1102856122977 -302.216053571565</f>
        <v>-1140.2349894014187</v>
      </c>
      <c r="F2038">
        <f>-780.248890978784 -68.1766010883443 -390.956975963641</f>
        <v>-1239.3824680307694</v>
      </c>
      <c r="G2038">
        <f>-784.800208938966 -69.1801822208915 -479.931843847489</f>
        <v>-1333.9122350073465</v>
      </c>
      <c r="H2038">
        <f>-788.190552209477 -68.4773591245328 -604.46631273735</f>
        <v>-1461.1342240713598</v>
      </c>
      <c r="I2038">
        <f>-764.596699311168 -57.4605183667613 -683.377476888168</f>
        <v>-1505.4346945660973</v>
      </c>
      <c r="J2038">
        <f>-792.826482761434 -41.7655030686035 -549.345418322453</f>
        <v>-1383.9374041524907</v>
      </c>
      <c r="K2038" t="s">
        <v>25432</v>
      </c>
      <c r="L2038" t="s">
        <v>25433</v>
      </c>
      <c r="M2038" t="s">
        <v>25434</v>
      </c>
      <c r="N2038">
        <f>-780.570659495598 -95.8076439586632 -549.984087376199</f>
        <v>-1426.3623908304603</v>
      </c>
      <c r="O2038">
        <f>-749.121575022232 -227.331647545053 -525.287995433399</f>
        <v>-1501.7412180006841</v>
      </c>
      <c r="P2038">
        <f>-646.730546535936 -308.318334023156 -261.56757640927</f>
        <v>-1216.6164569683619</v>
      </c>
      <c r="Q2038">
        <f>-536.681810015641 -127.519207445459 -376.683855749317</f>
        <v>-1040.884873210417</v>
      </c>
      <c r="R2038" t="s">
        <v>25435</v>
      </c>
      <c r="S2038" t="s">
        <v>25436</v>
      </c>
      <c r="T2038" t="s">
        <v>25437</v>
      </c>
      <c r="U2038" t="s">
        <v>25438</v>
      </c>
      <c r="V2038">
        <f>-709.117983289793 -137.190571301646 -87.6014331346012</f>
        <v>-933.90998772604007</v>
      </c>
      <c r="W2038" t="s">
        <v>25439</v>
      </c>
      <c r="X2038" t="s">
        <v>25440</v>
      </c>
      <c r="Y2038" t="s">
        <v>25441</v>
      </c>
    </row>
    <row r="2039" spans="1:25" x14ac:dyDescent="0.3">
      <c r="A2039">
        <v>101900</v>
      </c>
      <c r="B2039" t="s">
        <v>25442</v>
      </c>
      <c r="C2039">
        <f>-740.92481923034 -46.3886522679395 -91.1519712552891</f>
        <v>-878.4654427535686</v>
      </c>
      <c r="D2039">
        <f>-761.892447682799 -59.6490914489154 -204.292458316852</f>
        <v>-1025.8339974485664</v>
      </c>
      <c r="E2039">
        <f>-772.66270919475 -65.1184716486971 -302.173742340533</f>
        <v>-1139.9549231839801</v>
      </c>
      <c r="F2039">
        <f>-779.993423454028 -67.9732676675403 -390.922482710919</f>
        <v>-1238.8891738324874</v>
      </c>
      <c r="G2039">
        <f>-784.528144122213 -68.7006232214358 -479.900764024114</f>
        <v>-1333.1295313677629</v>
      </c>
      <c r="H2039">
        <f>-787.886424768759 -67.5430395025342 -604.432793232759</f>
        <v>-1459.8622575040522</v>
      </c>
      <c r="I2039">
        <f>-764.372947221099 -56.2184811820312 -683.324469064784</f>
        <v>-1503.9158974679142</v>
      </c>
      <c r="J2039">
        <f>-792.594987394888 -41.0460136115119 -549.214557605222</f>
        <v>-1382.8555586116217</v>
      </c>
      <c r="K2039" t="s">
        <v>25443</v>
      </c>
      <c r="L2039" t="s">
        <v>25444</v>
      </c>
      <c r="M2039" t="s">
        <v>25445</v>
      </c>
      <c r="N2039">
        <f>-780.22227976154 -95.0587633155203 -550.050341536465</f>
        <v>-1425.3313846135252</v>
      </c>
      <c r="O2039">
        <f>-748.389868573227 -226.57348493275 -525.800758419024</f>
        <v>-1500.7641119250011</v>
      </c>
      <c r="P2039">
        <f>-645.776201390393 -308.691098009601 -262.516979339002</f>
        <v>-1216.984278738996</v>
      </c>
      <c r="Q2039">
        <f>-535.291597286175 -126.591541266972 -375.138989418147</f>
        <v>-1037.0221279712941</v>
      </c>
      <c r="R2039" t="s">
        <v>25446</v>
      </c>
      <c r="S2039" t="s">
        <v>25447</v>
      </c>
      <c r="T2039" t="s">
        <v>25448</v>
      </c>
      <c r="U2039" t="s">
        <v>25449</v>
      </c>
      <c r="V2039">
        <f>-708.728769022207 -137.335273102467 -87.5899968719253</f>
        <v>-933.6540389965993</v>
      </c>
      <c r="W2039" t="s">
        <v>25450</v>
      </c>
      <c r="X2039" t="s">
        <v>25451</v>
      </c>
      <c r="Y2039" t="s">
        <v>25452</v>
      </c>
    </row>
    <row r="2040" spans="1:25" x14ac:dyDescent="0.3">
      <c r="A2040">
        <v>101950</v>
      </c>
      <c r="B2040" t="s">
        <v>25453</v>
      </c>
      <c r="C2040">
        <f>-740.806308152041 -46.5131990932862 -91.1246036533431</f>
        <v>-878.44411089867026</v>
      </c>
      <c r="D2040">
        <f>-761.781413612069 -59.7903440422967 -204.261733639565</f>
        <v>-1025.8334912939306</v>
      </c>
      <c r="E2040">
        <f>-772.569829453247 -65.1776989787356 -302.145363172917</f>
        <v>-1139.8928916048997</v>
      </c>
      <c r="F2040">
        <f>-779.919806793996 -67.9202845709883 -390.896291928751</f>
        <v>-1238.7363832937353</v>
      </c>
      <c r="G2040">
        <f>-784.47567237824 -68.4965228065312 -479.874713326694</f>
        <v>-1332.8469085114652</v>
      </c>
      <c r="H2040">
        <f>-787.864932331293 -67.0874384797294 -604.403124864074</f>
        <v>-1459.3554956750963</v>
      </c>
      <c r="I2040">
        <f>-764.406366354721 -55.5799805195825 -683.284762274075</f>
        <v>-1503.2711091483784</v>
      </c>
      <c r="J2040">
        <f>-792.591856502764 -40.7093828752982 -549.129416318848</f>
        <v>-1382.4306556969102</v>
      </c>
      <c r="K2040" t="s">
        <v>25454</v>
      </c>
      <c r="L2040" t="s">
        <v>25455</v>
      </c>
      <c r="M2040" t="s">
        <v>25456</v>
      </c>
      <c r="N2040">
        <f>-780.155123847677 -94.7056013681706 -550.07902586108</f>
        <v>-1424.9397510769277</v>
      </c>
      <c r="O2040">
        <f>-748.121831071767 -226.21280991847 -526.085895019179</f>
        <v>-1500.4205360094161</v>
      </c>
      <c r="P2040">
        <f>-645.221584489168 -308.830021206147 -263.070442525109</f>
        <v>-1217.1220482204239</v>
      </c>
      <c r="Q2040">
        <f>-534.802670322607 -125.930687127038 -374.454392337544</f>
        <v>-1035.187749787189</v>
      </c>
      <c r="R2040" t="s">
        <v>25457</v>
      </c>
      <c r="S2040" t="s">
        <v>25458</v>
      </c>
      <c r="T2040" t="s">
        <v>25459</v>
      </c>
      <c r="U2040" t="s">
        <v>25460</v>
      </c>
      <c r="V2040">
        <f>-708.512287280401 -137.415297584712 -87.5803961522624</f>
        <v>-933.50798101737541</v>
      </c>
      <c r="W2040" t="s">
        <v>25461</v>
      </c>
      <c r="X2040" t="s">
        <v>25462</v>
      </c>
      <c r="Y2040" t="s">
        <v>25463</v>
      </c>
    </row>
    <row r="2041" spans="1:25" x14ac:dyDescent="0.3">
      <c r="A2041">
        <v>102000</v>
      </c>
      <c r="B2041" t="s">
        <v>25464</v>
      </c>
      <c r="C2041">
        <f>-740.539043711726 -46.9129488093765 -91.0556401327336</f>
        <v>-878.50763265383614</v>
      </c>
      <c r="D2041">
        <f>-761.543066743808 -60.2341433220884 -204.182131639111</f>
        <v>-1025.9593417050073</v>
      </c>
      <c r="E2041">
        <f>-772.392606092642 -65.4694761967335 -302.067458740693</f>
        <v>-1139.9295410300685</v>
      </c>
      <c r="F2041">
        <f>-779.809151863326 -67.9990764721115 -390.818939430071</f>
        <v>-1238.6271677655084</v>
      </c>
      <c r="G2041">
        <f>-784.441231413767 -68.2853025675236 -479.794813233288</f>
        <v>-1332.5213472145786</v>
      </c>
      <c r="H2041">
        <f>-787.945622859046 -66.3899000220852 -604.313601985969</f>
        <v>-1458.6491248671</v>
      </c>
      <c r="I2041">
        <f>-764.643561731487 -54.5305193176337 -683.189564895796</f>
        <v>-1502.3636459449167</v>
      </c>
      <c r="J2041">
        <f>-792.68984369615 -40.2438298944483 -548.931482326091</f>
        <v>-1381.8651559166892</v>
      </c>
      <c r="K2041" t="s">
        <v>25465</v>
      </c>
      <c r="L2041" t="s">
        <v>25466</v>
      </c>
      <c r="M2041" t="s">
        <v>25467</v>
      </c>
      <c r="N2041">
        <f>-780.117221829908 -94.2041590656736 -550.106764579088</f>
        <v>-1424.4281454746697</v>
      </c>
      <c r="O2041">
        <f>-747.631651365951 -225.684777413946 -526.562485688029</f>
        <v>-1499.8789144679261</v>
      </c>
      <c r="P2041">
        <f>-643.866552493337 -308.750758776619 -264.028509133847</f>
        <v>-1216.6458204038031</v>
      </c>
      <c r="Q2041">
        <f>-533.895092723925 -124.206657632354 -373.118099958015</f>
        <v>-1031.219850314294</v>
      </c>
      <c r="R2041" t="s">
        <v>25468</v>
      </c>
      <c r="S2041" t="s">
        <v>25469</v>
      </c>
      <c r="T2041" t="s">
        <v>25470</v>
      </c>
      <c r="U2041" t="s">
        <v>25471</v>
      </c>
      <c r="V2041">
        <f>-708.069824624254 -137.817097204687 -87.5346709018686</f>
        <v>-933.42159273080961</v>
      </c>
      <c r="W2041" t="s">
        <v>25472</v>
      </c>
      <c r="X2041" t="s">
        <v>25473</v>
      </c>
      <c r="Y2041" t="s">
        <v>25474</v>
      </c>
    </row>
    <row r="2042" spans="1:25" x14ac:dyDescent="0.3">
      <c r="A2042">
        <v>102050</v>
      </c>
      <c r="B2042" t="s">
        <v>25475</v>
      </c>
      <c r="C2042">
        <f>-740.445478046976 -47.2063188085201 -91.0237071640433</f>
        <v>-878.6755040195394</v>
      </c>
      <c r="D2042">
        <f>-761.463158738533 -60.5362285050112 -204.146637423833</f>
        <v>-1026.1460246673773</v>
      </c>
      <c r="E2042">
        <f>-772.334744757488 -65.680678783651 -302.034390254079</f>
        <v>-1140.0498137952181</v>
      </c>
      <c r="F2042">
        <f>-779.773643282072 -68.0887816191557 -390.787444997623</f>
        <v>-1238.6498698988507</v>
      </c>
      <c r="G2042">
        <f>-784.429964175877 -68.2136078723522 -479.762379896248</f>
        <v>-1332.4059519444772</v>
      </c>
      <c r="H2042">
        <f>-787.969301295671 -66.0506717158667 -604.275848885374</f>
        <v>-1458.2958218969115</v>
      </c>
      <c r="I2042">
        <f>-764.811374103807 -54.0341010362238 -683.170406100012</f>
        <v>-1502.0158812400427</v>
      </c>
      <c r="J2042">
        <f>-792.73426263296 -40.0322124611819 -548.835396441108</f>
        <v>-1381.6018715352498</v>
      </c>
      <c r="K2042" t="s">
        <v>25476</v>
      </c>
      <c r="L2042" t="s">
        <v>25477</v>
      </c>
      <c r="M2042" t="s">
        <v>25478</v>
      </c>
      <c r="N2042">
        <f>-780.089189775064 -93.9728888732441 -550.131839259311</f>
        <v>-1424.1939179076192</v>
      </c>
      <c r="O2042">
        <f>-747.362210365153 -225.43464142089 -526.814671901088</f>
        <v>-1499.611523687131</v>
      </c>
      <c r="P2042">
        <f>-643.141765535901 -308.640275984101 -264.505425693952</f>
        <v>-1216.287467213954</v>
      </c>
      <c r="Q2042">
        <f>-533.300428637204 -123.387895879498 -372.520714583572</f>
        <v>-1029.2090391002741</v>
      </c>
      <c r="R2042" t="s">
        <v>25479</v>
      </c>
      <c r="S2042" t="s">
        <v>25480</v>
      </c>
      <c r="T2042" t="s">
        <v>25481</v>
      </c>
      <c r="U2042" t="s">
        <v>25482</v>
      </c>
      <c r="V2042">
        <f>-707.88350954753 -138.042267198008 -87.5132640735471</f>
        <v>-933.43904081908522</v>
      </c>
      <c r="W2042" t="s">
        <v>25483</v>
      </c>
      <c r="X2042" t="s">
        <v>25484</v>
      </c>
      <c r="Y2042" t="s">
        <v>25485</v>
      </c>
    </row>
    <row r="2043" spans="1:25" x14ac:dyDescent="0.3">
      <c r="A2043">
        <v>102100</v>
      </c>
      <c r="B2043" t="s">
        <v>25486</v>
      </c>
      <c r="C2043">
        <f>-740.324014783095 -47.8616076069736 -90.96106589341</f>
        <v>-879.14668828347862</v>
      </c>
      <c r="D2043">
        <f>-761.370899712293 -61.1894203265483 -204.078811626575</f>
        <v>-1026.6391316654162</v>
      </c>
      <c r="E2043">
        <f>-772.303099302291 -66.1289365112596 -301.970304629914</f>
        <v>-1140.4023404434645</v>
      </c>
      <c r="F2043">
        <f>-779.807790474967 -68.2701502564826 -390.724643419003</f>
        <v>-1238.8025841504525</v>
      </c>
      <c r="G2043">
        <f>-784.539691919441 -68.0447229005895 -479.695468954225</f>
        <v>-1332.2798837742555</v>
      </c>
      <c r="H2043">
        <f>-788.193581466847 -65.3041947811457 -604.194232716572</f>
        <v>-1457.6920089645646</v>
      </c>
      <c r="I2043">
        <f>-765.5847490718 -53.0750853087986 -683.215177890089</f>
        <v>-1501.8750122706876</v>
      </c>
      <c r="J2043">
        <f>-792.977671808051 -39.559630639312 -548.627665386901</f>
        <v>-1381.164967834264</v>
      </c>
      <c r="K2043" t="s">
        <v>25487</v>
      </c>
      <c r="L2043" t="s">
        <v>25488</v>
      </c>
      <c r="M2043" t="s">
        <v>25489</v>
      </c>
      <c r="N2043">
        <f>-780.193794532348 -93.4605371657328 -550.189319846728</f>
        <v>-1423.8436515448088</v>
      </c>
      <c r="O2043">
        <f>-747.097915810055 -224.917681975513 -527.366548996446</f>
        <v>-1499.3821467820139</v>
      </c>
      <c r="P2043">
        <f>-642.152927733152 -308.201810774145 -265.371372886506</f>
        <v>-1215.726111393803</v>
      </c>
      <c r="Q2043">
        <f>-531.899755863908 -121.406545535162 -370.26469539476</f>
        <v>-1023.57099679383</v>
      </c>
      <c r="R2043" t="s">
        <v>25490</v>
      </c>
      <c r="S2043" t="s">
        <v>25491</v>
      </c>
      <c r="T2043" t="s">
        <v>25492</v>
      </c>
      <c r="U2043" t="s">
        <v>25493</v>
      </c>
      <c r="V2043">
        <f>-707.638373666612 -138.481796785755 -87.4760949398894</f>
        <v>-933.59626539225644</v>
      </c>
      <c r="W2043" t="s">
        <v>25494</v>
      </c>
      <c r="X2043" t="s">
        <v>25495</v>
      </c>
      <c r="Y2043" t="s">
        <v>25496</v>
      </c>
    </row>
    <row r="2044" spans="1:25" x14ac:dyDescent="0.3">
      <c r="A2044">
        <v>102150</v>
      </c>
      <c r="B2044" t="s">
        <v>25497</v>
      </c>
      <c r="C2044">
        <f>-740.282657862041 -47.9982689200669 -90.9506832120173</f>
        <v>-879.23160999412528</v>
      </c>
      <c r="D2044">
        <f>-761.316387137403 -61.3187805298626 -204.071693767464</f>
        <v>-1026.7068614347295</v>
      </c>
      <c r="E2044">
        <f>-772.260104761385 -66.1563596937381 -301.966983345977</f>
        <v>-1140.3834478011001</v>
      </c>
      <c r="F2044">
        <f>-779.783113257352 -68.1665403238628 -390.722903440579</f>
        <v>-1238.6725570217939</v>
      </c>
      <c r="G2044">
        <f>-784.540847660797 -67.7703190417697 -479.691741974943</f>
        <v>-1332.0029086775096</v>
      </c>
      <c r="H2044">
        <f>-788.23787025013 -64.7493395807137 -604.182771613947</f>
        <v>-1457.1699814447907</v>
      </c>
      <c r="I2044">
        <f>-765.990653262318 -52.4666517731332 -683.298075716394</f>
        <v>-1501.7553807518452</v>
      </c>
      <c r="J2044">
        <f>-793.030948853971 -39.1369504729685 -548.555971470102</f>
        <v>-1380.7238707970414</v>
      </c>
      <c r="K2044" t="s">
        <v>25498</v>
      </c>
      <c r="L2044" t="s">
        <v>25499</v>
      </c>
      <c r="M2044" t="s">
        <v>25500</v>
      </c>
      <c r="N2044">
        <f>-780.191134485685 -93.0205197816604 -550.244872894821</f>
        <v>-1423.4565271621664</v>
      </c>
      <c r="O2044">
        <f>-746.984982049789 -224.496824311601 -527.693919556666</f>
        <v>-1499.1757259180558</v>
      </c>
      <c r="P2044">
        <f>-641.795037915209 -307.917895533242 -265.840558287719</f>
        <v>-1215.5534917361701</v>
      </c>
      <c r="Q2044">
        <f>-530.800961219908 -120.433958313486 -368.70463375696</f>
        <v>-1019.939553290354</v>
      </c>
      <c r="R2044" t="s">
        <v>25501</v>
      </c>
      <c r="S2044" t="s">
        <v>25502</v>
      </c>
      <c r="T2044" t="s">
        <v>25503</v>
      </c>
      <c r="U2044" t="s">
        <v>25504</v>
      </c>
      <c r="V2044">
        <f>-707.592718001265 -138.483540997305 -87.4709888088236</f>
        <v>-933.54724780739355</v>
      </c>
      <c r="W2044" t="s">
        <v>25505</v>
      </c>
      <c r="X2044" t="s">
        <v>25506</v>
      </c>
      <c r="Y2044" t="s">
        <v>25507</v>
      </c>
    </row>
    <row r="2045" spans="1:25" x14ac:dyDescent="0.3">
      <c r="A2045">
        <v>102200</v>
      </c>
      <c r="B2045" t="s">
        <v>25508</v>
      </c>
      <c r="C2045">
        <f>-740.223913108316 -48.0459515693474 -91.0228645669266</f>
        <v>-879.29272924458996</v>
      </c>
      <c r="D2045">
        <f>-761.132515531917 -61.3533391514675 -204.168666551945</f>
        <v>-1026.6545212353294</v>
      </c>
      <c r="E2045">
        <f>-771.988020096057 -65.9938863880627 -302.083333526549</f>
        <v>-1140.0652400106687</v>
      </c>
      <c r="F2045">
        <f>-779.437149335017 -67.7499028041495 -390.850850021535</f>
        <v>-1238.0379021607016</v>
      </c>
      <c r="G2045">
        <f>-784.125341289032 -67.0231988562136 -479.821267128029</f>
        <v>-1330.9698072732747</v>
      </c>
      <c r="H2045">
        <f>-787.729223732199 -63.4589552482153 -604.300589743562</f>
        <v>-1455.4887687239761</v>
      </c>
      <c r="I2045">
        <f>-766.251321872232 -51.1320801053828 -683.621257531024</f>
        <v>-1501.0046595086387</v>
      </c>
      <c r="J2045">
        <f>-792.590968012629 -38.0959796692498 -548.565601690427</f>
        <v>-1379.2525493723058</v>
      </c>
      <c r="K2045" t="s">
        <v>25509</v>
      </c>
      <c r="L2045" t="s">
        <v>25510</v>
      </c>
      <c r="M2045" t="s">
        <v>25511</v>
      </c>
      <c r="N2045">
        <f>-779.695647882035 -91.9588107873956 -550.48127349692</f>
        <v>-1422.1357321663506</v>
      </c>
      <c r="O2045">
        <f>-746.406321586094 -223.491183154692 -528.320393805476</f>
        <v>-1498.2178985462619</v>
      </c>
      <c r="P2045">
        <f>-641.321077870964 -308.030140250672 -266.783689380535</f>
        <v>-1216.134907502171</v>
      </c>
      <c r="Q2045">
        <f>-528.778071263582 -120.563912378391 -367.983466701275</f>
        <v>-1017.325450343248</v>
      </c>
      <c r="R2045" t="s">
        <v>25512</v>
      </c>
      <c r="S2045" t="s">
        <v>25513</v>
      </c>
      <c r="T2045" t="s">
        <v>25514</v>
      </c>
      <c r="U2045" t="s">
        <v>25515</v>
      </c>
      <c r="V2045">
        <f>-707.65619617599 -138.648388154981 -87.4670678831534</f>
        <v>-933.7716522141244</v>
      </c>
      <c r="W2045" t="s">
        <v>25516</v>
      </c>
      <c r="X2045" t="s">
        <v>25517</v>
      </c>
      <c r="Y2045" t="s">
        <v>25518</v>
      </c>
    </row>
    <row r="2046" spans="1:25" x14ac:dyDescent="0.3">
      <c r="A2046">
        <v>102250</v>
      </c>
      <c r="B2046" t="s">
        <v>25519</v>
      </c>
      <c r="C2046">
        <f>-740.127214927286 -47.5951882503412 -91.1156267818723</f>
        <v>-878.83802995949941</v>
      </c>
      <c r="D2046">
        <f>-760.955800718344 -60.9067169016862 -204.275669773314</f>
        <v>-1026.1381873933442</v>
      </c>
      <c r="E2046">
        <f>-771.721065603827 -65.4345132083708 -302.205528213114</f>
        <v>-1139.3611070253119</v>
      </c>
      <c r="F2046">
        <f>-779.077884523584 -67.0418957437973 -390.983564175307</f>
        <v>-1237.1033444426882</v>
      </c>
      <c r="G2046">
        <f>-783.662301671903 -66.1198938165142 -479.957487839083</f>
        <v>-1329.7396833275002</v>
      </c>
      <c r="H2046">
        <f>-787.107836380183 -62.2340302021614 -604.431867797298</f>
        <v>-1453.7737343796425</v>
      </c>
      <c r="I2046">
        <f>-766.032438671283 -49.8647595126699 -683.853867625338</f>
        <v>-1499.751065809291</v>
      </c>
      <c r="J2046">
        <f>-792.039199135928 -37.0148436072054 -548.637788091491</f>
        <v>-1377.6918308346244</v>
      </c>
      <c r="K2046" t="s">
        <v>25520</v>
      </c>
      <c r="L2046" t="s">
        <v>25521</v>
      </c>
      <c r="M2046" t="s">
        <v>25522</v>
      </c>
      <c r="N2046">
        <f>-779.144078849918 -90.8730984415204 -550.675990153367</f>
        <v>-1420.6931674448053</v>
      </c>
      <c r="O2046">
        <f>-745.91774480144 -222.455229981699 -528.813970812628</f>
        <v>-1497.1869455957669</v>
      </c>
      <c r="P2046">
        <f>-641.436219550976 -308.490638900867 -267.523503818826</f>
        <v>-1217.4503622706691</v>
      </c>
      <c r="Q2046">
        <f>-529.299306760368 -120.233251328202 -367.700006353944</f>
        <v>-1017.232564442514</v>
      </c>
      <c r="R2046" t="s">
        <v>25523</v>
      </c>
      <c r="S2046" t="s">
        <v>25524</v>
      </c>
      <c r="T2046" t="s">
        <v>25525</v>
      </c>
      <c r="U2046" t="s">
        <v>25526</v>
      </c>
      <c r="V2046">
        <f>-707.524686403862 -138.14175908885 -87.5392569779478</f>
        <v>-933.20570247065984</v>
      </c>
      <c r="W2046" t="s">
        <v>25527</v>
      </c>
      <c r="X2046" t="s">
        <v>25528</v>
      </c>
      <c r="Y2046" t="s">
        <v>25529</v>
      </c>
    </row>
    <row r="2047" spans="1:25" x14ac:dyDescent="0.3">
      <c r="A2047">
        <v>102300</v>
      </c>
      <c r="B2047" t="s">
        <v>25530</v>
      </c>
      <c r="C2047">
        <f>-739.642603207609 -46.2705984937254 -91.3432198772352</f>
        <v>-877.25642157856964</v>
      </c>
      <c r="D2047">
        <f>-760.338153559778 -59.6083607261435 -204.524559671159</f>
        <v>-1024.4710739570805</v>
      </c>
      <c r="E2047">
        <f>-770.926022795048 -63.8337076655994 -302.487304834382</f>
        <v>-1137.2470352950293</v>
      </c>
      <c r="F2047">
        <f>-778.09254126419 -65.0366582303361 -391.287239413988</f>
        <v>-1234.416438908514</v>
      </c>
      <c r="G2047">
        <f>-782.454031239688 -63.5793504482956 -480.265281884277</f>
        <v>-1326.2986635722605</v>
      </c>
      <c r="H2047">
        <f>-785.551766171939 -58.8089303519139 -604.718060739625</f>
        <v>-1449.0787572634779</v>
      </c>
      <c r="I2047">
        <f>-765.241507227311 -46.3279717380826 -684.321682161286</f>
        <v>-1495.8911611266797</v>
      </c>
      <c r="J2047">
        <f>-790.633932458786 -33.9854656880045 -548.760112306233</f>
        <v>-1373.3795104530236</v>
      </c>
      <c r="K2047" t="s">
        <v>25531</v>
      </c>
      <c r="L2047" t="s">
        <v>25532</v>
      </c>
      <c r="M2047" t="s">
        <v>25533</v>
      </c>
      <c r="N2047">
        <f>-777.743223593149 -87.8307393328014 -551.144860707231</f>
        <v>-1416.7188236331813</v>
      </c>
      <c r="O2047">
        <f>-744.641149841897 -219.54961820633 -529.915390372318</f>
        <v>-1494.1061584205449</v>
      </c>
      <c r="P2047">
        <f>-640.60510397625 -308.372561491264 -269.380936283643</f>
        <v>-1218.358601751157</v>
      </c>
      <c r="Q2047">
        <f>-531.22082484418 -116.942544902933 -366.543312555999</f>
        <v>-1014.7066823031121</v>
      </c>
      <c r="R2047" t="s">
        <v>25534</v>
      </c>
      <c r="S2047" t="s">
        <v>25535</v>
      </c>
      <c r="T2047" t="s">
        <v>25536</v>
      </c>
      <c r="U2047" t="s">
        <v>25537</v>
      </c>
      <c r="V2047">
        <f>-707.140491795718 -136.962149297695 -87.7073862523936</f>
        <v>-931.81002734580659</v>
      </c>
      <c r="W2047" t="s">
        <v>25538</v>
      </c>
      <c r="X2047" t="s">
        <v>25539</v>
      </c>
      <c r="Y2047" t="s">
        <v>25540</v>
      </c>
    </row>
    <row r="2048" spans="1:25" x14ac:dyDescent="0.3">
      <c r="A2048">
        <v>102350</v>
      </c>
      <c r="B2048" t="s">
        <v>25541</v>
      </c>
      <c r="C2048">
        <f>-739.107574844494 -45.4779716908056 -91.4612324326413</f>
        <v>-876.0467789679409</v>
      </c>
      <c r="D2048">
        <f>-759.780979479472 -58.8415530137186 -204.643632110554</f>
        <v>-1023.2661646037445</v>
      </c>
      <c r="E2048">
        <f>-770.28722012583 -62.8984385364633 -302.622139137424</f>
        <v>-1135.8077977997173</v>
      </c>
      <c r="F2048">
        <f>-777.35291723557 -63.8722542846408 -391.433145250339</f>
        <v>-1232.6583167705498</v>
      </c>
      <c r="G2048">
        <f>-781.584925729494 -62.1086272948116 -480.411949385808</f>
        <v>-1324.1055024101136</v>
      </c>
      <c r="H2048">
        <f>-784.471464173741 -56.8292770572734 -604.849099541766</f>
        <v>-1446.1498407727804</v>
      </c>
      <c r="I2048">
        <f>-764.480366813684 -44.2509445106309 -684.518109742354</f>
        <v>-1493.2494210666689</v>
      </c>
      <c r="J2048">
        <f>-789.668495079342 -32.2397293772747 -548.798588198286</f>
        <v>-1370.7068126549027</v>
      </c>
      <c r="K2048" t="s">
        <v>25542</v>
      </c>
      <c r="L2048" t="s">
        <v>25543</v>
      </c>
      <c r="M2048" t="s">
        <v>25544</v>
      </c>
      <c r="N2048">
        <f>-776.734116957871 -86.0652413901639 -551.382178783459</f>
        <v>-1414.181537131494</v>
      </c>
      <c r="O2048">
        <f>-743.539650754279 -217.817962414097 -530.539981359022</f>
        <v>-1491.897594527398</v>
      </c>
      <c r="P2048">
        <f>-639.355755572914 -308.168942964815 -270.590772126729</f>
        <v>-1218.1154706644579</v>
      </c>
      <c r="Q2048">
        <f>-531.89151792033 -114.908457466174 -366.260415107595</f>
        <v>-1013.060390494099</v>
      </c>
      <c r="R2048" t="s">
        <v>25545</v>
      </c>
      <c r="S2048" t="s">
        <v>25546</v>
      </c>
      <c r="T2048" t="s">
        <v>25547</v>
      </c>
      <c r="U2048" t="s">
        <v>25548</v>
      </c>
      <c r="V2048">
        <f>-706.630674291999 -136.043916078969 -87.8219638743254</f>
        <v>-930.4965542452934</v>
      </c>
      <c r="W2048" t="s">
        <v>25549</v>
      </c>
      <c r="X2048" t="s">
        <v>25550</v>
      </c>
      <c r="Y2048" t="s">
        <v>25551</v>
      </c>
    </row>
    <row r="2049" spans="1:25" x14ac:dyDescent="0.3">
      <c r="A2049">
        <v>102400</v>
      </c>
      <c r="B2049" t="s">
        <v>25552</v>
      </c>
      <c r="C2049">
        <f>-737.892716803387 -43.8801783770812 -91.7381170090393</f>
        <v>-873.51101218950748</v>
      </c>
      <c r="D2049">
        <f>-758.532231978852 -57.2441444172157 -204.926639813836</f>
        <v>-1020.7030162099037</v>
      </c>
      <c r="E2049">
        <f>-768.918272933561 -60.9177077530403 -302.933122033147</f>
        <v>-1132.7691027197484</v>
      </c>
      <c r="F2049">
        <f>-775.835165250046 -61.3886123559498 -391.759772207898</f>
        <v>-1228.9835498138937</v>
      </c>
      <c r="G2049">
        <f>-779.877363753844 -58.9645422349633 -480.73176380876</f>
        <v>-1319.5736697975672</v>
      </c>
      <c r="H2049">
        <f>-782.454292786383 -52.5959980121531 -605.124949461986</f>
        <v>-1440.1752402605221</v>
      </c>
      <c r="I2049">
        <f>-763.02154621412 -39.7547501492822 -684.890097800747</f>
        <v>-1487.6663941641491</v>
      </c>
      <c r="J2049">
        <f>-787.86602308984 -28.5162339692724 -548.873907292805</f>
        <v>-1365.2561643519175</v>
      </c>
      <c r="K2049" t="s">
        <v>25553</v>
      </c>
      <c r="L2049" t="s">
        <v>25554</v>
      </c>
      <c r="M2049" t="s">
        <v>25555</v>
      </c>
      <c r="N2049">
        <f>-774.774525122279 -82.2808396193866 -551.897607102146</f>
        <v>-1408.9529718438116</v>
      </c>
      <c r="O2049">
        <f>-741.133604290055 -214.051290607433 -531.88173779609</f>
        <v>-1487.066632693578</v>
      </c>
      <c r="P2049">
        <f>-634.784613726839 -306.645148328419 -273.603851878874</f>
        <v>-1215.0336139341321</v>
      </c>
      <c r="Q2049">
        <f>-532.936896797072 -108.557190089791 -365.468074889162</f>
        <v>-1006.9621617760249</v>
      </c>
      <c r="R2049" t="s">
        <v>25556</v>
      </c>
      <c r="S2049" t="s">
        <v>25557</v>
      </c>
      <c r="T2049" t="s">
        <v>25558</v>
      </c>
      <c r="U2049" t="s">
        <v>25559</v>
      </c>
      <c r="V2049">
        <f>-705.514952270757 -134.446688067608 -88.053828998065</f>
        <v>-928.01546933642999</v>
      </c>
      <c r="W2049" t="s">
        <v>25560</v>
      </c>
      <c r="X2049" t="s">
        <v>25561</v>
      </c>
      <c r="Y2049" t="s">
        <v>25562</v>
      </c>
    </row>
    <row r="2050" spans="1:25" x14ac:dyDescent="0.3">
      <c r="A2050">
        <v>102450</v>
      </c>
      <c r="B2050" t="s">
        <v>25563</v>
      </c>
      <c r="C2050">
        <f>-737.381942394731 -42.903692995148 -91.8992349790967</f>
        <v>-872.18487036897579</v>
      </c>
      <c r="D2050">
        <f>-757.978563084957 -56.2544364511343 -205.097215738454</f>
        <v>-1019.3302152745454</v>
      </c>
      <c r="E2050">
        <f>-768.331786125277 -59.7230797060834 -303.114612313617</f>
        <v>-1131.1694781449773</v>
      </c>
      <c r="F2050">
        <f>-775.220036511836 -59.9297659964263 -391.944559301049</f>
        <v>-1227.0943618093115</v>
      </c>
      <c r="G2050">
        <f>-779.233925645056 -57.1602263714074 -480.90776878174</f>
        <v>-1317.3019207982034</v>
      </c>
      <c r="H2050">
        <f>-781.771926606364 -50.2234447140286 -605.271223941461</f>
        <v>-1437.2665952618536</v>
      </c>
      <c r="I2050">
        <f>-762.614369869337 -37.2095787794572 -685.075077851463</f>
        <v>-1484.8990265002572</v>
      </c>
      <c r="J2050">
        <f>-787.272686100333 -26.4184145976474 -548.911885996133</f>
        <v>-1362.6029866941135</v>
      </c>
      <c r="K2050" t="s">
        <v>25564</v>
      </c>
      <c r="L2050" t="s">
        <v>25565</v>
      </c>
      <c r="M2050" t="s">
        <v>25566</v>
      </c>
      <c r="N2050">
        <f>-774.037483039546 -80.1336588619893 -552.17811059949</f>
        <v>-1406.3492525010251</v>
      </c>
      <c r="O2050">
        <f>-740.023908130192 -211.872878218107 -532.586309515663</f>
        <v>-1484.4830958639618</v>
      </c>
      <c r="P2050">
        <f>-631.901112570291 -305.322571133035 -275.355307217988</f>
        <v>-1212.578990921314</v>
      </c>
      <c r="Q2050">
        <f>-533.419079351951 -104.522737403237 -364.974487231376</f>
        <v>-1002.916303986564</v>
      </c>
      <c r="R2050" t="s">
        <v>25567</v>
      </c>
      <c r="S2050" t="s">
        <v>25568</v>
      </c>
      <c r="T2050" t="s">
        <v>25569</v>
      </c>
      <c r="U2050" t="s">
        <v>25570</v>
      </c>
      <c r="V2050">
        <f>-705.014906333023 -133.447388909625 -88.1969240306792</f>
        <v>-926.65921927332715</v>
      </c>
      <c r="W2050" t="s">
        <v>25571</v>
      </c>
      <c r="X2050" t="s">
        <v>25572</v>
      </c>
      <c r="Y2050" t="s">
        <v>25573</v>
      </c>
    </row>
    <row r="2051" spans="1:25" x14ac:dyDescent="0.3">
      <c r="A2051">
        <v>102500</v>
      </c>
      <c r="B2051" t="s">
        <v>25574</v>
      </c>
      <c r="C2051">
        <f>-736.467358882774 -40.4966213035668 -92.2945523554064</f>
        <v>-869.25853254174717</v>
      </c>
      <c r="D2051">
        <f>-756.865494712912 -53.8305624902723 -205.530424138119</f>
        <v>-1016.2264813413033</v>
      </c>
      <c r="E2051">
        <f>-767.048010762631 -56.8936837271726 -303.579202333274</f>
        <v>-1127.5208968230777</v>
      </c>
      <c r="F2051">
        <f>-773.778519627751 -56.5759132285759 -392.420988746648</f>
        <v>-1222.775421602975</v>
      </c>
      <c r="G2051">
        <f>-777.631432487839 -53.1211520052366 -481.367330756672</f>
        <v>-1312.1199152497475</v>
      </c>
      <c r="H2051">
        <f>-779.939798525054 -45.0560317922339 -605.667144062901</f>
        <v>-1430.6629743801889</v>
      </c>
      <c r="I2051">
        <f>-761.20986042998 -31.5759588809042 -685.495050000245</f>
        <v>-1478.2808693111292</v>
      </c>
      <c r="J2051">
        <f>-785.734623844875 -21.8108955156706 -549.104011818423</f>
        <v>-1356.6495311789686</v>
      </c>
      <c r="K2051" t="s">
        <v>25575</v>
      </c>
      <c r="L2051" t="s">
        <v>25576</v>
      </c>
      <c r="M2051" t="s">
        <v>25577</v>
      </c>
      <c r="N2051">
        <f>-772.113326530152 -75.3993006256958 -552.833884796544</f>
        <v>-1400.3465119523917</v>
      </c>
      <c r="O2051">
        <f>-736.997742656806 -206.969733718199 -534.128494167133</f>
        <v>-1478.095970542138</v>
      </c>
      <c r="P2051">
        <f>-624.81450508015 -301.893630683481 -279.186273793127</f>
        <v>-1205.8944095567579</v>
      </c>
      <c r="Q2051">
        <f>-535.88989662984 -94.6600155802896 -364.024526056557</f>
        <v>-994.57443826668668</v>
      </c>
      <c r="R2051" t="s">
        <v>25578</v>
      </c>
      <c r="S2051" t="s">
        <v>25579</v>
      </c>
      <c r="T2051" t="s">
        <v>25580</v>
      </c>
      <c r="U2051" t="s">
        <v>25581</v>
      </c>
      <c r="V2051">
        <f>-703.827975981473 -131.010737461572 -88.588062611213</f>
        <v>-923.42677605425797</v>
      </c>
      <c r="W2051" t="s">
        <v>25582</v>
      </c>
      <c r="X2051" t="s">
        <v>25583</v>
      </c>
      <c r="Y2051" t="s">
        <v>25584</v>
      </c>
    </row>
    <row r="2052" spans="1:25" x14ac:dyDescent="0.3">
      <c r="A2052">
        <v>102550</v>
      </c>
      <c r="B2052" t="s">
        <v>25585</v>
      </c>
      <c r="C2052">
        <f>-736.055569842324 -39.0481378618335 -92.5052145488845</f>
        <v>-867.60892225304201</v>
      </c>
      <c r="D2052">
        <f>-756.321657242476 -52.3544908812028 -205.767999984326</f>
        <v>-1014.4441481080048</v>
      </c>
      <c r="E2052">
        <f>-766.371734733755 -55.1846848430591 -303.837599759525</f>
        <v>-1125.3940193363392</v>
      </c>
      <c r="F2052">
        <f>-772.973032281586 -54.5730439835356 -392.687409725901</f>
        <v>-1220.2334859910227</v>
      </c>
      <c r="G2052">
        <f>-776.686469169348 -50.7396564919836 -481.624287511237</f>
        <v>-1309.0504131725686</v>
      </c>
      <c r="H2052">
        <f>-778.789174802459 -42.0566639796398 -605.88601323563</f>
        <v>-1426.7318520177287</v>
      </c>
      <c r="I2052">
        <f>-760.200195002407 -28.2901338406225 -685.698026163305</f>
        <v>-1474.1883550063344</v>
      </c>
      <c r="J2052">
        <f>-784.796973356695 -19.123601456665 -549.217651074027</f>
        <v>-1353.1382258873871</v>
      </c>
      <c r="K2052" t="s">
        <v>25586</v>
      </c>
      <c r="L2052" t="s">
        <v>25587</v>
      </c>
      <c r="M2052" t="s">
        <v>25588</v>
      </c>
      <c r="N2052">
        <f>-770.93088883164 -72.6314744569797 -553.191287323146</f>
        <v>-1396.7536506117658</v>
      </c>
      <c r="O2052">
        <f>-735.128598960129 -204.094767125449 -534.990968856577</f>
        <v>-1474.2143349421549</v>
      </c>
      <c r="P2052">
        <f>-620.591804903868 -299.343762314078 -281.219016212289</f>
        <v>-1201.1545834302351</v>
      </c>
      <c r="Q2052">
        <f>-537.261206938383 -88.6985704468054 -363.289354325186</f>
        <v>-989.24913171037451</v>
      </c>
      <c r="R2052" t="s">
        <v>25589</v>
      </c>
      <c r="S2052" t="s">
        <v>25590</v>
      </c>
      <c r="T2052" t="s">
        <v>25591</v>
      </c>
      <c r="U2052" t="s">
        <v>25592</v>
      </c>
      <c r="V2052">
        <f>-703.157820625365 -129.575607045748 -88.826425957762</f>
        <v>-921.55985362887509</v>
      </c>
      <c r="W2052" t="s">
        <v>25593</v>
      </c>
      <c r="X2052" t="s">
        <v>25594</v>
      </c>
      <c r="Y2052" t="s">
        <v>25595</v>
      </c>
    </row>
    <row r="2053" spans="1:25" x14ac:dyDescent="0.3">
      <c r="A2053">
        <v>102600</v>
      </c>
      <c r="B2053" t="s">
        <v>25596</v>
      </c>
      <c r="C2053">
        <f>-735.148897104463 -36.2081293389642 -92.9268301783299</f>
        <v>-864.28385662175708</v>
      </c>
      <c r="D2053">
        <f>-755.084840643959 -49.3410842799553 -206.268430166578</f>
        <v>-1010.6943550904923</v>
      </c>
      <c r="E2053">
        <f>-764.826674801762 -51.6764662969122 -304.382139701219</f>
        <v>-1120.8852807998933</v>
      </c>
      <c r="F2053">
        <f>-771.135911060706 -50.4809342478782 -393.247245498626</f>
        <v>-1214.8640908072102</v>
      </c>
      <c r="G2053">
        <f>-774.544542148346 -45.9232433263264 -482.162117161875</f>
        <v>-1302.6299026365473</v>
      </c>
      <c r="H2053">
        <f>-776.207946190684 -36.0808534609453 -606.343971469122</f>
        <v>-1418.6327711207514</v>
      </c>
      <c r="I2053">
        <f>-757.746839009657 -21.7099745261062 -686.079276712933</f>
        <v>-1465.5360902486964</v>
      </c>
      <c r="J2053">
        <f>-782.683604754884 -13.7482331428196 -549.487844572635</f>
        <v>-1345.9196824703386</v>
      </c>
      <c r="K2053" t="s">
        <v>25597</v>
      </c>
      <c r="L2053" t="s">
        <v>25598</v>
      </c>
      <c r="M2053" t="s">
        <v>25599</v>
      </c>
      <c r="N2053">
        <f>-768.268301077185 -67.0758184541314 -553.907453387507</f>
        <v>-1389.2515729188235</v>
      </c>
      <c r="O2053">
        <f>-730.830118025425 -198.210034545669 -536.68563473331</f>
        <v>-1465.7257873044041</v>
      </c>
      <c r="P2053">
        <f>-611.563968609174 -293.405096403671 -285.081337144426</f>
        <v>-1190.050402157271</v>
      </c>
      <c r="Q2053">
        <f>-538.884981074549 -76.737175434982 -361.394391170965</f>
        <v>-977.01654768049593</v>
      </c>
      <c r="R2053" t="s">
        <v>25600</v>
      </c>
      <c r="S2053" t="s">
        <v>25601</v>
      </c>
      <c r="T2053" t="s">
        <v>25602</v>
      </c>
      <c r="U2053" t="s">
        <v>25603</v>
      </c>
      <c r="V2053">
        <f>-701.793925525503 -126.792499754257 -89.3330664237224</f>
        <v>-917.91949170348244</v>
      </c>
      <c r="W2053" t="s">
        <v>25604</v>
      </c>
      <c r="X2053" t="s">
        <v>25605</v>
      </c>
      <c r="Y2053" t="s">
        <v>25606</v>
      </c>
    </row>
    <row r="2054" spans="1:25" x14ac:dyDescent="0.3">
      <c r="A2054">
        <v>102650</v>
      </c>
      <c r="B2054" t="s">
        <v>25607</v>
      </c>
      <c r="C2054">
        <f>-734.765465368693 -34.6481676491935 -93.1414832787356</f>
        <v>-862.55511629662203</v>
      </c>
      <c r="D2054">
        <f>-754.5060743251 -47.675256331825 -206.529330790038</f>
        <v>-1008.7106614469631</v>
      </c>
      <c r="E2054">
        <f>-764.079896624627 -49.7581298754978 -304.665338581962</f>
        <v>-1118.5033650820869</v>
      </c>
      <c r="F2054">
        <f>-770.236214543154 -48.2703266585511 -393.53681365153</f>
        <v>-1212.0433548532351</v>
      </c>
      <c r="G2054">
        <f>-773.491987490749 -43.3546354458208 -482.438275373514</f>
        <v>-1299.2848983100839</v>
      </c>
      <c r="H2054">
        <f>-774.941010077989 -32.942102215439 -606.576538781423</f>
        <v>-1414.4596510748511</v>
      </c>
      <c r="I2054">
        <f>-756.502634680437 -18.2335282830227 -686.255270673123</f>
        <v>-1460.9914336365828</v>
      </c>
      <c r="J2054">
        <f>-781.664756934247 -10.9116048885239 -549.63130324295</f>
        <v>-1342.2076650657209</v>
      </c>
      <c r="K2054" t="s">
        <v>25608</v>
      </c>
      <c r="L2054" t="s">
        <v>25609</v>
      </c>
      <c r="M2054" t="s">
        <v>25610</v>
      </c>
      <c r="N2054">
        <f>-766.941763148861 -64.1366035849535 -554.267477327216</f>
        <v>-1385.3458440610307</v>
      </c>
      <c r="O2054">
        <f>-728.607986745086 -195.076102048055 -537.504331041106</f>
        <v>-1461.1884198342468</v>
      </c>
      <c r="P2054">
        <f>-607.105829644347 -290.086494702119 -286.902086508664</f>
        <v>-1184.09441085513</v>
      </c>
      <c r="Q2054">
        <f>-539.346088328257 -70.8943085269443 -360.483720356106</f>
        <v>-970.72411721130732</v>
      </c>
      <c r="R2054" t="s">
        <v>25611</v>
      </c>
      <c r="S2054" t="s">
        <v>25612</v>
      </c>
      <c r="T2054" t="s">
        <v>25613</v>
      </c>
      <c r="U2054" t="s">
        <v>25614</v>
      </c>
      <c r="V2054">
        <f>-701.224236596201 -125.129765340044 -89.6143451377159</f>
        <v>-915.96834707396079</v>
      </c>
      <c r="W2054" t="s">
        <v>25615</v>
      </c>
      <c r="X2054" t="s">
        <v>25616</v>
      </c>
      <c r="Y2054" t="s">
        <v>25617</v>
      </c>
    </row>
    <row r="2055" spans="1:25" x14ac:dyDescent="0.3">
      <c r="A2055">
        <v>102700</v>
      </c>
      <c r="B2055" t="s">
        <v>25618</v>
      </c>
      <c r="C2055">
        <f>-733.947777496381 -31.0144842428142 -93.594393194132</f>
        <v>-858.5566549333272</v>
      </c>
      <c r="D2055">
        <f>-753.320512869418 -43.8222828334583 -207.070702641998</f>
        <v>-1004.2134983448743</v>
      </c>
      <c r="E2055">
        <f>-762.561563830716 -45.3689294728165 -305.24853413381</f>
        <v>-1113.1790274373425</v>
      </c>
      <c r="F2055">
        <f>-768.408153064804 -43.2596591220654 -394.128164826445</f>
        <v>-1205.7959770133143</v>
      </c>
      <c r="G2055">
        <f>-771.346364045867 -37.5813282347192 -482.995317740948</f>
        <v>-1291.9230100215341</v>
      </c>
      <c r="H2055">
        <f>-772.344413765785 -25.9550545834284 -607.030274870512</f>
        <v>-1405.3297432197255</v>
      </c>
      <c r="I2055">
        <f>-753.871994458497 -10.5462870246813 -686.568698467993</f>
        <v>-1450.9869799511714</v>
      </c>
      <c r="J2055">
        <f>-779.583653463022 -4.56933253502211 -549.902591876269</f>
        <v>-1334.055577874313</v>
      </c>
      <c r="K2055" t="s">
        <v>25619</v>
      </c>
      <c r="L2055" t="s">
        <v>25620</v>
      </c>
      <c r="M2055" t="s">
        <v>25621</v>
      </c>
      <c r="N2055">
        <f>-764.226708235485 -57.5731207423967 -554.994440812896</f>
        <v>-1376.7942697907777</v>
      </c>
      <c r="O2055">
        <f>-724.091745884451 -188.102853956324 -539.180152432179</f>
        <v>-1451.3747522729541</v>
      </c>
      <c r="P2055">
        <f>-599.193693679576 -282.166392786472 -289.893722442194</f>
        <v>-1171.253808908242</v>
      </c>
      <c r="Q2055">
        <f>-539.443050414449 -59.0985971219418 -358.606906902633</f>
        <v>-957.14855443902377</v>
      </c>
      <c r="R2055" t="s">
        <v>25622</v>
      </c>
      <c r="S2055" t="s">
        <v>25623</v>
      </c>
      <c r="T2055" t="s">
        <v>25624</v>
      </c>
      <c r="U2055" t="s">
        <v>25625</v>
      </c>
      <c r="V2055">
        <f>-699.749703035513 -121.383882243427 -90.2260622847874</f>
        <v>-911.35964756372744</v>
      </c>
      <c r="W2055" t="s">
        <v>25626</v>
      </c>
      <c r="X2055" t="s">
        <v>25627</v>
      </c>
      <c r="Y2055" t="s">
        <v>25628</v>
      </c>
    </row>
    <row r="2056" spans="1:25" x14ac:dyDescent="0.3">
      <c r="A2056">
        <v>102750</v>
      </c>
      <c r="B2056" t="s">
        <v>25629</v>
      </c>
      <c r="C2056">
        <f>-733.513128967368 -29.1395195686027 -93.7936008977995</f>
        <v>-856.44624943377016</v>
      </c>
      <c r="D2056">
        <f>-752.717731439795 -41.800148619227 -207.314993867145</f>
        <v>-1001.8328739261669</v>
      </c>
      <c r="E2056">
        <f>-761.806551238255 -43.0599397815497 -305.511012164042</f>
        <v>-1110.3775031838468</v>
      </c>
      <c r="F2056">
        <f>-767.512102085764 -40.6283373531844 -394.391710533624</f>
        <v>-1202.5321499725724</v>
      </c>
      <c r="G2056">
        <f>-770.306595648454 -34.562280822907 -483.237917993479</f>
        <v>-1288.10679446484</v>
      </c>
      <c r="H2056">
        <f>-771.101783484823 -22.3252914797761 -607.215454784582</f>
        <v>-1400.642529749181</v>
      </c>
      <c r="I2056">
        <f>-752.56063434092 -6.56032018272617 -686.667963852023</f>
        <v>-1445.7889183756693</v>
      </c>
      <c r="J2056">
        <f>-778.591662014097 -1.26684257454735 -549.99869314241</f>
        <v>-1329.8571977310544</v>
      </c>
      <c r="K2056" t="s">
        <v>25630</v>
      </c>
      <c r="L2056" t="s">
        <v>25631</v>
      </c>
      <c r="M2056" t="s">
        <v>25632</v>
      </c>
      <c r="N2056">
        <f>-762.912084225758 -54.1535637464538 -555.319345821594</f>
        <v>-1372.3849937938057</v>
      </c>
      <c r="O2056">
        <f>-721.887116724629 -184.45631862416 -539.975684946178</f>
        <v>-1446.319120294967</v>
      </c>
      <c r="P2056">
        <f>-596.089680487143 -277.941626072109 -290.92417836463</f>
        <v>-1164.9554849238821</v>
      </c>
      <c r="Q2056">
        <f>-539.419082577665 -53.5341645995941 -357.861314325958</f>
        <v>-950.81456150321708</v>
      </c>
      <c r="R2056" t="s">
        <v>25633</v>
      </c>
      <c r="S2056" t="s">
        <v>25634</v>
      </c>
      <c r="T2056" t="s">
        <v>25635</v>
      </c>
      <c r="U2056" t="s">
        <v>25636</v>
      </c>
      <c r="V2056">
        <f>-698.968213962436 -119.646196753379 -90.5246354985975</f>
        <v>-909.13904621441247</v>
      </c>
      <c r="W2056" t="s">
        <v>25637</v>
      </c>
      <c r="X2056" t="s">
        <v>25638</v>
      </c>
      <c r="Y2056" t="s">
        <v>25639</v>
      </c>
    </row>
    <row r="2057" spans="1:25" x14ac:dyDescent="0.3">
      <c r="A2057">
        <v>102800</v>
      </c>
      <c r="B2057" t="s">
        <v>25640</v>
      </c>
      <c r="C2057">
        <f>-732.703944269023 -25.1673627517432 -94.1284467085925</f>
        <v>-851.99975372935876</v>
      </c>
      <c r="D2057">
        <f>-751.548347783061 -37.6056222742016 -207.734748638037</f>
        <v>-996.88871869529953</v>
      </c>
      <c r="E2057">
        <f>-760.369291820207 -38.4175546881149 -305.959979623128</f>
        <v>-1104.7468261314498</v>
      </c>
      <c r="F2057">
        <f>-765.846666596454 -35.4815952643335 -394.839826157078</f>
        <v>-1196.1680880178656</v>
      </c>
      <c r="G2057">
        <f>-768.428129885584 -28.8082492970809 -483.648800473698</f>
        <v>-1280.8851796563629</v>
      </c>
      <c r="H2057">
        <f>-768.94155938633 -15.6150136126632 -607.529770292118</f>
        <v>-1392.0863432911112</v>
      </c>
      <c r="I2057" t="s">
        <v>25641</v>
      </c>
      <c r="J2057" t="s">
        <v>25642</v>
      </c>
      <c r="K2057" t="s">
        <v>25643</v>
      </c>
      <c r="L2057" t="s">
        <v>25644</v>
      </c>
      <c r="M2057" t="s">
        <v>25645</v>
      </c>
      <c r="N2057">
        <f>-760.596924179526 -47.761056308356 -555.854787037645</f>
        <v>-1364.2127675255269</v>
      </c>
      <c r="O2057">
        <f>-718.081853500094 -177.685491970866 -541.358298883131</f>
        <v>-1437.125644354091</v>
      </c>
      <c r="P2057">
        <f>-592.635876636189 -269.948066173353 -291.674235109512</f>
        <v>-1154.2581779190541</v>
      </c>
      <c r="Q2057">
        <f>-540.259355377152 -43.706272208975 -355.878599666302</f>
        <v>-939.84422725242894</v>
      </c>
      <c r="R2057" t="s">
        <v>25646</v>
      </c>
      <c r="S2057" t="s">
        <v>25647</v>
      </c>
      <c r="T2057" t="s">
        <v>25648</v>
      </c>
      <c r="U2057" t="s">
        <v>25649</v>
      </c>
      <c r="V2057">
        <f>-697.475937560779 -115.83359701039 -91.1006640752289</f>
        <v>-904.41019864639793</v>
      </c>
      <c r="W2057" t="s">
        <v>25650</v>
      </c>
      <c r="X2057" t="s">
        <v>25651</v>
      </c>
      <c r="Y2057" t="s">
        <v>25652</v>
      </c>
    </row>
    <row r="2058" spans="1:25" x14ac:dyDescent="0.3">
      <c r="A2058">
        <v>102850</v>
      </c>
      <c r="B2058" t="s">
        <v>25653</v>
      </c>
      <c r="C2058">
        <f>-732.261877019152 -22.8283814318279 -94.3153548944142</f>
        <v>-849.40561334539416</v>
      </c>
      <c r="D2058">
        <f>-750.932216807455 -35.1794020771292 -207.959925300616</f>
        <v>-994.0715441852002</v>
      </c>
      <c r="E2058">
        <f>-759.609479552528 -35.8167862274811 -306.19920303978</f>
        <v>-1101.6254688197891</v>
      </c>
      <c r="F2058">
        <f>-764.957108360529 -32.6856165965787 -395.080162593823</f>
        <v>-1192.7228875509306</v>
      </c>
      <c r="G2058">
        <f>-767.409256650432 -25.7789170021858 -483.875160304637</f>
        <v>-1277.0633339572548</v>
      </c>
      <c r="H2058">
        <f>-767.741554048488 -12.2197434428347 -607.717144244278</f>
        <v>-1387.6784417356007</v>
      </c>
      <c r="I2058" t="s">
        <v>25654</v>
      </c>
      <c r="J2058" t="s">
        <v>25655</v>
      </c>
      <c r="K2058" t="s">
        <v>25656</v>
      </c>
      <c r="L2058" t="s">
        <v>25657</v>
      </c>
      <c r="M2058" t="s">
        <v>25658</v>
      </c>
      <c r="N2058">
        <f>-759.364991445303 -44.4854825703947 -556.121849391188</f>
        <v>-1359.9723234068856</v>
      </c>
      <c r="O2058">
        <f>-716.301194295904 -174.263414498074 -541.894062252487</f>
        <v>-1432.458671046465</v>
      </c>
      <c r="P2058">
        <f>-591.578756956067 -265.801964230876 -291.581710961408</f>
        <v>-1148.9624321483511</v>
      </c>
      <c r="Q2058">
        <f>-540.248993115152 -39.1066229435301 -355.027606537048</f>
        <v>-934.38322259572999</v>
      </c>
      <c r="R2058" t="s">
        <v>25659</v>
      </c>
      <c r="S2058" t="s">
        <v>25660</v>
      </c>
      <c r="T2058" t="s">
        <v>25661</v>
      </c>
      <c r="U2058" t="s">
        <v>25662</v>
      </c>
      <c r="V2058">
        <f>-696.655666682766 -113.305015121598 -91.399984418849</f>
        <v>-901.360666223213</v>
      </c>
      <c r="W2058" t="s">
        <v>25663</v>
      </c>
      <c r="X2058" t="s">
        <v>25664</v>
      </c>
      <c r="Y2058" t="s">
        <v>25665</v>
      </c>
    </row>
    <row r="2059" spans="1:25" x14ac:dyDescent="0.3">
      <c r="A2059">
        <v>102900</v>
      </c>
      <c r="B2059" t="s">
        <v>25666</v>
      </c>
      <c r="C2059">
        <f>-730.937296078014 -18.2913106608801 -94.726169212967</f>
        <v>-843.95477595186105</v>
      </c>
      <c r="D2059">
        <f>-749.370678499357 -30.488734444453 -208.425899084532</f>
        <v>-988.2853120283421</v>
      </c>
      <c r="E2059">
        <f>-757.822902508521 -30.88912121412 -306.686156733667</f>
        <v>-1095.398180456308</v>
      </c>
      <c r="F2059">
        <f>-762.95591043131 -27.5057965824496 -395.570630297371</f>
        <v>-1186.0323373111307</v>
      </c>
      <c r="G2059">
        <f>-765.181803380629 -20.3078854329151 -484.348265040313</f>
        <v>-1269.837953853857</v>
      </c>
      <c r="H2059">
        <f>-765.185988359887 -6.30213718559571 -608.141017755822</f>
        <v>-1379.6291433013048</v>
      </c>
      <c r="I2059" t="s">
        <v>25667</v>
      </c>
      <c r="J2059" t="s">
        <v>25668</v>
      </c>
      <c r="K2059" t="s">
        <v>25669</v>
      </c>
      <c r="L2059" t="s">
        <v>25670</v>
      </c>
      <c r="M2059" t="s">
        <v>25671</v>
      </c>
      <c r="N2059">
        <f>-756.793937987411 -38.7061945249588 -556.635012024872</f>
        <v>-1352.135144537242</v>
      </c>
      <c r="O2059">
        <f>-713.133843494924 -168.309496839671 -542.671066072614</f>
        <v>-1424.1144064072091</v>
      </c>
      <c r="P2059">
        <f>-590.893508241154 -259.378535783962 -290.966821605926</f>
        <v>-1141.238865631042</v>
      </c>
      <c r="Q2059">
        <f>-539.72794548558 -32.6959642446245 -354.590550494996</f>
        <v>-927.01446022520054</v>
      </c>
      <c r="R2059" t="s">
        <v>25672</v>
      </c>
      <c r="S2059" t="s">
        <v>25673</v>
      </c>
      <c r="T2059" t="s">
        <v>25674</v>
      </c>
      <c r="U2059" t="s">
        <v>25675</v>
      </c>
      <c r="V2059">
        <f>-694.887514540795 -108.7366431673 -91.9640274251152</f>
        <v>-895.58818513321023</v>
      </c>
      <c r="W2059" t="s">
        <v>25676</v>
      </c>
      <c r="X2059" t="s">
        <v>25677</v>
      </c>
      <c r="Y2059" t="s">
        <v>25678</v>
      </c>
    </row>
    <row r="2060" spans="1:25" x14ac:dyDescent="0.3">
      <c r="A2060">
        <v>102950</v>
      </c>
      <c r="B2060" t="s">
        <v>25679</v>
      </c>
      <c r="C2060">
        <f>-730.143850614441 -15.9224989415848 -94.9671976106673</f>
        <v>-841.0335471666931</v>
      </c>
      <c r="D2060">
        <f>-748.494402558382 -28.054320207078 -208.687490109116</f>
        <v>-985.23621287457604</v>
      </c>
      <c r="E2060">
        <f>-756.844197466732 -28.3993374185291 -306.956588375186</f>
        <v>-1092.2001232604471</v>
      </c>
      <c r="F2060">
        <f>-761.871461918741 -24.9682085791578 -395.845190797189</f>
        <v>-1182.6848612950878</v>
      </c>
      <c r="G2060">
        <f>-763.978521126026 -17.7245287624801 -484.621986141934</f>
        <v>-1266.3250360304401</v>
      </c>
      <c r="H2060">
        <f>-763.802701488453 -3.6576334681065 -608.407859660345</f>
        <v>-1375.8681946169045</v>
      </c>
      <c r="I2060" t="s">
        <v>25680</v>
      </c>
      <c r="J2060" t="s">
        <v>25681</v>
      </c>
      <c r="K2060" t="s">
        <v>25682</v>
      </c>
      <c r="L2060" t="s">
        <v>25683</v>
      </c>
      <c r="M2060" t="s">
        <v>25684</v>
      </c>
      <c r="N2060">
        <f>-755.444645049348 -36.074172067965 -556.904149017893</f>
        <v>-1348.422966135206</v>
      </c>
      <c r="O2060">
        <f>-711.713979800938 -165.658041549298 -542.974910482495</f>
        <v>-1420.3469318327311</v>
      </c>
      <c r="P2060">
        <f>-591.033579238808 -256.802971571557 -290.546707508713</f>
        <v>-1138.3832583190779</v>
      </c>
      <c r="Q2060">
        <f>-538.771494123908 -30.5255950134965 -354.719229460161</f>
        <v>-924.01631859756549</v>
      </c>
      <c r="R2060" t="s">
        <v>25685</v>
      </c>
      <c r="S2060" t="s">
        <v>25686</v>
      </c>
      <c r="T2060" t="s">
        <v>25687</v>
      </c>
      <c r="U2060" t="s">
        <v>25688</v>
      </c>
      <c r="V2060">
        <f>-693.896752843379 -106.361942610202 -92.2599893150983</f>
        <v>-892.51868476867924</v>
      </c>
      <c r="W2060" t="s">
        <v>25689</v>
      </c>
      <c r="X2060" t="s">
        <v>25690</v>
      </c>
      <c r="Y2060" t="s">
        <v>25691</v>
      </c>
    </row>
    <row r="2061" spans="1:25" x14ac:dyDescent="0.3">
      <c r="A2061">
        <v>103000</v>
      </c>
      <c r="B2061" t="s">
        <v>25692</v>
      </c>
      <c r="C2061">
        <f>-728.707454427349 -11.1195294031666 -95.4526164058318</f>
        <v>-835.27960023634739</v>
      </c>
      <c r="D2061">
        <f>-746.888978514921 -23.2324495770833 -209.202063360178</f>
        <v>-979.32349145218222</v>
      </c>
      <c r="E2061">
        <f>-755.042113462754 -23.5855334900839 -307.487610979613</f>
        <v>-1086.1152579324507</v>
      </c>
      <c r="F2061">
        <f>-759.868989342905 -20.1743782145697 -396.388103847402</f>
        <v>-1176.4314714048769</v>
      </c>
      <c r="G2061">
        <f>-761.752141422526 -12.9645815963518 -485.172751166831</f>
        <v>-1259.8894741857089</v>
      </c>
      <c r="H2061" t="s">
        <v>25693</v>
      </c>
      <c r="I2061" t="s">
        <v>25694</v>
      </c>
      <c r="J2061" t="s">
        <v>25695</v>
      </c>
      <c r="K2061" t="s">
        <v>25696</v>
      </c>
      <c r="L2061" t="s">
        <v>25697</v>
      </c>
      <c r="M2061" t="s">
        <v>25698</v>
      </c>
      <c r="N2061">
        <f>-752.995273615155 -31.3426758570986 -557.42095850676</f>
        <v>-1341.7589079790137</v>
      </c>
      <c r="O2061">
        <f>-709.411970263571 -160.96119783966 -543.32456788864</f>
        <v>-1413.697735991871</v>
      </c>
      <c r="P2061">
        <f>-591.567721266993 -252.647581239426 -289.754912773475</f>
        <v>-1133.9702152798941</v>
      </c>
      <c r="Q2061">
        <f>-536.841072283329 -27.3380158186656 -355.264031417352</f>
        <v>-919.44311951934651</v>
      </c>
      <c r="R2061" t="s">
        <v>25699</v>
      </c>
      <c r="S2061" t="s">
        <v>25700</v>
      </c>
      <c r="T2061" t="s">
        <v>25701</v>
      </c>
      <c r="U2061" t="s">
        <v>25702</v>
      </c>
      <c r="V2061">
        <f>-692.201268822196 -101.696974563472 -92.7776056721513</f>
        <v>-886.67584905781916</v>
      </c>
      <c r="W2061" t="s">
        <v>25703</v>
      </c>
      <c r="X2061" t="s">
        <v>25704</v>
      </c>
      <c r="Y2061" t="s">
        <v>25705</v>
      </c>
    </row>
    <row r="2062" spans="1:25" x14ac:dyDescent="0.3">
      <c r="A2062">
        <v>103050</v>
      </c>
      <c r="B2062" t="s">
        <v>25706</v>
      </c>
      <c r="C2062">
        <f>-728.09900954483 -8.70504701049595 -95.6774823138735</f>
        <v>-832.48153886919943</v>
      </c>
      <c r="D2062">
        <f>-746.236366994139 -20.8234428456258 -209.433348314615</f>
        <v>-976.49315815437967</v>
      </c>
      <c r="E2062">
        <f>-754.305455613612 -21.2098355882947 -307.725906825479</f>
        <v>-1083.2411980273857</v>
      </c>
      <c r="F2062">
        <f>-759.037007913991 -17.8419494199111 -396.633072762837</f>
        <v>-1173.5120300967392</v>
      </c>
      <c r="G2062">
        <f>-760.805845380187 -10.6889987159641 -485.424725305817</f>
        <v>-1256.9195694019681</v>
      </c>
      <c r="H2062" t="s">
        <v>25707</v>
      </c>
      <c r="I2062" t="s">
        <v>25708</v>
      </c>
      <c r="J2062" t="s">
        <v>25709</v>
      </c>
      <c r="K2062" t="s">
        <v>25710</v>
      </c>
      <c r="L2062" t="s">
        <v>25711</v>
      </c>
      <c r="M2062" t="s">
        <v>25712</v>
      </c>
      <c r="N2062">
        <f>-751.942687596694 -29.1219391354202 -557.645984287151</f>
        <v>-1338.7106110192653</v>
      </c>
      <c r="O2062">
        <f>-708.416369894947 -158.741962772311 -543.443589624173</f>
        <v>-1410.601922291431</v>
      </c>
      <c r="P2062">
        <f>-591.631544913174 -251.127679355287 -289.637793414127</f>
        <v>-1132.3970176825881</v>
      </c>
      <c r="Q2062">
        <f>-536.219762081838 -26.0650256016254 -355.419205847705</f>
        <v>-917.70399353116841</v>
      </c>
      <c r="R2062" t="s">
        <v>25713</v>
      </c>
      <c r="S2062" t="s">
        <v>25714</v>
      </c>
      <c r="T2062" t="s">
        <v>25715</v>
      </c>
      <c r="U2062" t="s">
        <v>25716</v>
      </c>
      <c r="V2062">
        <f>-691.526724092351 -99.2780424308576 -93.0184520093652</f>
        <v>-883.82321853257372</v>
      </c>
      <c r="W2062" t="s">
        <v>25717</v>
      </c>
      <c r="X2062" t="s">
        <v>25718</v>
      </c>
      <c r="Y2062" t="s">
        <v>25719</v>
      </c>
    </row>
    <row r="2063" spans="1:25" x14ac:dyDescent="0.3">
      <c r="A2063">
        <v>103100</v>
      </c>
      <c r="B2063" t="s">
        <v>25720</v>
      </c>
      <c r="C2063">
        <f>-727.262446606772 -4.61044877848485 -96.0429093460202</f>
        <v>-827.91580473127703</v>
      </c>
      <c r="D2063">
        <f>-745.346348677456 -16.69160762871 -209.811265649337</f>
        <v>-971.84922195550303</v>
      </c>
      <c r="E2063">
        <f>-753.274180035094 -17.089315395024 -308.115081597062</f>
        <v>-1078.4785770271799</v>
      </c>
      <c r="F2063">
        <f>-757.839902867378 -13.7499053258855 -397.032234109145</f>
        <v>-1168.6220423024085</v>
      </c>
      <c r="G2063">
        <f>-759.405016342951 -6.6447565493454 -485.831426678025</f>
        <v>-1251.8811995703213</v>
      </c>
      <c r="H2063" t="s">
        <v>25721</v>
      </c>
      <c r="I2063" t="s">
        <v>25722</v>
      </c>
      <c r="J2063" t="s">
        <v>25723</v>
      </c>
      <c r="K2063" t="s">
        <v>25724</v>
      </c>
      <c r="L2063" t="s">
        <v>25725</v>
      </c>
      <c r="M2063" t="s">
        <v>25726</v>
      </c>
      <c r="N2063">
        <f>-750.387812602038 -25.1399393228212 -558.017695325313</f>
        <v>-1333.5454472501722</v>
      </c>
      <c r="O2063">
        <f>-707.148319285699 -154.838886047778 -543.665164729637</f>
        <v>-1405.6523700631142</v>
      </c>
      <c r="P2063">
        <f>-591.010539796527 -248.42254879031 -290.001416135832</f>
        <v>-1129.4345047226691</v>
      </c>
      <c r="Q2063">
        <f>-535.380482528499 -23.2168795183754 -355.106189200118</f>
        <v>-913.70355124699245</v>
      </c>
      <c r="R2063" t="s">
        <v>25727</v>
      </c>
      <c r="S2063" t="s">
        <v>25728</v>
      </c>
      <c r="T2063" t="s">
        <v>25729</v>
      </c>
      <c r="U2063" t="s">
        <v>25730</v>
      </c>
      <c r="V2063">
        <f>-690.728897907306 -95.4080527652629 -93.3917040316578</f>
        <v>-879.52865470422671</v>
      </c>
      <c r="W2063" t="s">
        <v>25731</v>
      </c>
      <c r="X2063" t="s">
        <v>25732</v>
      </c>
      <c r="Y2063" t="s">
        <v>25733</v>
      </c>
    </row>
    <row r="2064" spans="1:25" x14ac:dyDescent="0.3">
      <c r="A2064">
        <v>103150</v>
      </c>
      <c r="B2064" t="s">
        <v>25734</v>
      </c>
      <c r="C2064">
        <f>-727.186890262716 -2.96750754261257 -96.1912829048308</f>
        <v>-826.3456807101594</v>
      </c>
      <c r="D2064">
        <f>-745.210013431191 -15.0315298394225 -209.971161629956</f>
        <v>-970.21270490056952</v>
      </c>
      <c r="E2064">
        <f>-753.073182267294 -15.4157533298276 -308.280254212939</f>
        <v>-1076.7691898100607</v>
      </c>
      <c r="F2064">
        <f>-757.575537701611 -12.0643731775933 -397.200035336325</f>
        <v>-1166.8399462155294</v>
      </c>
      <c r="G2064">
        <f>-759.07236756137 -4.94792980444527 -485.999568188055</f>
        <v>-1250.0198655538702</v>
      </c>
      <c r="H2064" t="s">
        <v>25735</v>
      </c>
      <c r="I2064" t="s">
        <v>25736</v>
      </c>
      <c r="J2064" t="s">
        <v>25737</v>
      </c>
      <c r="K2064" t="s">
        <v>25738</v>
      </c>
      <c r="L2064" t="s">
        <v>25739</v>
      </c>
      <c r="M2064" t="s">
        <v>25740</v>
      </c>
      <c r="N2064">
        <f>-750.02678701547 -23.4441391988871 -558.182038263987</f>
        <v>-1331.6529644783441</v>
      </c>
      <c r="O2064">
        <f>-706.957254375453 -153.184975172459 -543.761089088926</f>
        <v>-1403.9033186368379</v>
      </c>
      <c r="P2064">
        <f>-590.934401758801 -247.018887314582 -290.137187619198</f>
        <v>-1128.090476692581</v>
      </c>
      <c r="Q2064">
        <f>-535.102336033834 -21.7578717616111 -354.87576305137</f>
        <v>-911.73597084681512</v>
      </c>
      <c r="R2064" t="s">
        <v>25741</v>
      </c>
      <c r="S2064" t="s">
        <v>25742</v>
      </c>
      <c r="T2064" t="s">
        <v>25743</v>
      </c>
      <c r="U2064" t="s">
        <v>25744</v>
      </c>
      <c r="V2064">
        <f>-690.728350192943 -93.9063978705228 -93.5338242198751</f>
        <v>-878.16857228334095</v>
      </c>
      <c r="W2064" t="s">
        <v>25745</v>
      </c>
      <c r="X2064" t="s">
        <v>25746</v>
      </c>
      <c r="Y2064" t="s">
        <v>25747</v>
      </c>
    </row>
    <row r="2065" spans="1:25" x14ac:dyDescent="0.3">
      <c r="A2065">
        <v>103200</v>
      </c>
      <c r="B2065" t="s">
        <v>25748</v>
      </c>
      <c r="C2065" t="s">
        <v>25749</v>
      </c>
      <c r="D2065">
        <f>-745.236322021663 -11.8908576295432 -210.1860774215</f>
        <v>-967.31325707270616</v>
      </c>
      <c r="E2065">
        <f>-752.942218615701 -12.2078994427775 -308.507803691709</f>
        <v>-1073.6579217501876</v>
      </c>
      <c r="F2065">
        <f>-757.291209934955 -8.81662582869512 -397.433795443812</f>
        <v>-1163.5416312074622</v>
      </c>
      <c r="G2065">
        <f>-758.623485791455 -1.68226329727054 -486.234628420261</f>
        <v>-1246.5403775089865</v>
      </c>
      <c r="H2065" t="s">
        <v>25750</v>
      </c>
      <c r="I2065" t="s">
        <v>25751</v>
      </c>
      <c r="J2065" t="s">
        <v>25752</v>
      </c>
      <c r="K2065" t="s">
        <v>25753</v>
      </c>
      <c r="L2065" t="s">
        <v>25754</v>
      </c>
      <c r="M2065" t="s">
        <v>25755</v>
      </c>
      <c r="N2065">
        <f>-749.495090920937 -20.1958277107478 -558.402218835151</f>
        <v>-1328.0931374668357</v>
      </c>
      <c r="O2065">
        <f>-706.783700373077 -150.044385715894 -543.862027207472</f>
        <v>-1400.6901132964431</v>
      </c>
      <c r="P2065">
        <f>-591.690261203201 -243.911769856861 -289.827292820966</f>
        <v>-1125.429323881028</v>
      </c>
      <c r="Q2065">
        <f>-534.880014770959 -18.8213669353925 -354.308268833461</f>
        <v>-908.00965053981236</v>
      </c>
      <c r="R2065" t="s">
        <v>25756</v>
      </c>
      <c r="S2065" t="s">
        <v>25757</v>
      </c>
      <c r="T2065" t="s">
        <v>25758</v>
      </c>
      <c r="U2065" t="s">
        <v>25759</v>
      </c>
      <c r="V2065">
        <f>-691.042735030195 -90.5181592582724 -93.7869311456581</f>
        <v>-875.34782543412541</v>
      </c>
      <c r="W2065" t="s">
        <v>25760</v>
      </c>
      <c r="X2065" t="s">
        <v>25761</v>
      </c>
      <c r="Y2065" t="s">
        <v>25762</v>
      </c>
    </row>
    <row r="2066" spans="1:25" x14ac:dyDescent="0.3">
      <c r="A2066">
        <v>103250</v>
      </c>
      <c r="B2066" t="s">
        <v>25763</v>
      </c>
      <c r="C2066" t="s">
        <v>25764</v>
      </c>
      <c r="D2066">
        <f>-745.281136374744 -10.5459027388081 -210.253021711975</f>
        <v>-966.0800608255272</v>
      </c>
      <c r="E2066">
        <f>-752.873288124171 -10.8193959485245 -308.583817604835</f>
        <v>-1072.2765016775306</v>
      </c>
      <c r="F2066">
        <f>-757.107994912874 -7.39774834188393 -397.514055513348</f>
        <v>-1162.0197987681058</v>
      </c>
      <c r="G2066">
        <f>-758.314965428274 -0.243085707400269 -486.314997474217</f>
        <v>-1244.8730486098914</v>
      </c>
      <c r="H2066" t="s">
        <v>25765</v>
      </c>
      <c r="I2066" t="s">
        <v>25766</v>
      </c>
      <c r="J2066" t="s">
        <v>25767</v>
      </c>
      <c r="K2066" t="s">
        <v>25768</v>
      </c>
      <c r="L2066" t="s">
        <v>25769</v>
      </c>
      <c r="M2066" t="s">
        <v>25770</v>
      </c>
      <c r="N2066">
        <f>-749.105389668185 -18.7545906322805 -558.472767986806</f>
        <v>-1326.3327482872714</v>
      </c>
      <c r="O2066">
        <f>-706.544765620267 -148.649859138511 -543.866665672988</f>
        <v>-1399.0612904317659</v>
      </c>
      <c r="P2066">
        <f>-592.221114531018 -242.617426815475 -289.52169279668</f>
        <v>-1124.3602341431729</v>
      </c>
      <c r="Q2066">
        <f>-535.108057360831 -17.5848180062671 -353.93681965377</f>
        <v>-906.62969502086821</v>
      </c>
      <c r="R2066" t="s">
        <v>25771</v>
      </c>
      <c r="S2066" t="s">
        <v>25772</v>
      </c>
      <c r="T2066" t="s">
        <v>25773</v>
      </c>
      <c r="U2066" t="s">
        <v>25774</v>
      </c>
      <c r="V2066">
        <f>-691.259327990985 -89.2574678020342 -93.8414785781439</f>
        <v>-874.35827437116302</v>
      </c>
      <c r="W2066" t="s">
        <v>25775</v>
      </c>
      <c r="X2066" t="s">
        <v>25776</v>
      </c>
      <c r="Y2066" t="s">
        <v>25777</v>
      </c>
    </row>
    <row r="2067" spans="1:25" x14ac:dyDescent="0.3">
      <c r="A2067">
        <v>103300</v>
      </c>
      <c r="B2067" t="s">
        <v>25778</v>
      </c>
      <c r="C2067" t="s">
        <v>25779</v>
      </c>
      <c r="D2067">
        <f>-745.590759267604 -8.81780936807672 -210.333261756385</f>
        <v>-964.74183039206571</v>
      </c>
      <c r="E2067">
        <f>-752.982237252682 -8.98867011998891 -308.679439868532</f>
        <v>-1070.6503472412028</v>
      </c>
      <c r="F2067">
        <f>-757.02461139704 -5.4831646730654 -397.615390982472</f>
        <v>-1160.1231670525774</v>
      </c>
      <c r="G2067" t="s">
        <v>25780</v>
      </c>
      <c r="H2067" t="s">
        <v>25781</v>
      </c>
      <c r="I2067" t="s">
        <v>25782</v>
      </c>
      <c r="J2067" t="s">
        <v>25783</v>
      </c>
      <c r="K2067" t="s">
        <v>25784</v>
      </c>
      <c r="L2067" t="s">
        <v>25785</v>
      </c>
      <c r="M2067" t="s">
        <v>25786</v>
      </c>
      <c r="N2067">
        <f>-748.702145906032 -16.7308648406924 -558.564852327033</f>
        <v>-1323.9978630737573</v>
      </c>
      <c r="O2067">
        <f>-706.479622450098 -146.737306549786 -543.952530275829</f>
        <v>-1397.1694592757131</v>
      </c>
      <c r="P2067">
        <f>-594.042634350599 -241.071767068343 -288.903320903147</f>
        <v>-1124.017722322089</v>
      </c>
      <c r="Q2067">
        <f>-536.044328560545 -16.2273113480885 -353.183874723557</f>
        <v>-905.45551463219044</v>
      </c>
      <c r="R2067" t="s">
        <v>25787</v>
      </c>
      <c r="S2067" t="s">
        <v>25788</v>
      </c>
      <c r="T2067" t="s">
        <v>25789</v>
      </c>
      <c r="U2067" t="s">
        <v>25790</v>
      </c>
      <c r="V2067">
        <f>-691.923426040263 -87.8573806924562 -93.8940552461009</f>
        <v>-873.67486197882022</v>
      </c>
      <c r="W2067" t="s">
        <v>25791</v>
      </c>
      <c r="X2067" t="s">
        <v>25792</v>
      </c>
      <c r="Y2067" t="s">
        <v>25793</v>
      </c>
    </row>
    <row r="2068" spans="1:25" x14ac:dyDescent="0.3">
      <c r="A2068">
        <v>103350</v>
      </c>
      <c r="B2068" t="s">
        <v>25794</v>
      </c>
      <c r="C2068" t="s">
        <v>25795</v>
      </c>
      <c r="D2068">
        <f>-745.746127383376 -7.99143747270432 -210.359857943054</f>
        <v>-964.09742279913439</v>
      </c>
      <c r="E2068">
        <f>-753.039534425619 -8.11885050379374 -308.71357808082</f>
        <v>-1069.8719630102328</v>
      </c>
      <c r="F2068">
        <f>-756.990405974222 -4.57929198316288 -397.652336021415</f>
        <v>-1159.2220339787998</v>
      </c>
      <c r="G2068" t="s">
        <v>25796</v>
      </c>
      <c r="H2068" t="s">
        <v>25797</v>
      </c>
      <c r="I2068" t="s">
        <v>25798</v>
      </c>
      <c r="J2068" t="s">
        <v>25799</v>
      </c>
      <c r="K2068" t="s">
        <v>25800</v>
      </c>
      <c r="L2068" t="s">
        <v>25801</v>
      </c>
      <c r="M2068" t="s">
        <v>25802</v>
      </c>
      <c r="N2068">
        <f>-748.525483374831 -15.7893656232479 -558.596575231663</f>
        <v>-1322.9114242297419</v>
      </c>
      <c r="O2068">
        <f>-706.481294787633 -145.854569091031 -544.022771691855</f>
        <v>-1396.358635570519</v>
      </c>
      <c r="P2068">
        <f>-595.082752606058 -240.55342546537 -288.653106585977</f>
        <v>-1124.289284657405</v>
      </c>
      <c r="Q2068">
        <f>-536.541696382207 -15.8413705643272 -352.90504149543</f>
        <v>-905.28810844196414</v>
      </c>
      <c r="R2068" t="s">
        <v>25803</v>
      </c>
      <c r="S2068" t="s">
        <v>25804</v>
      </c>
      <c r="T2068" t="s">
        <v>25805</v>
      </c>
      <c r="U2068" t="s">
        <v>25806</v>
      </c>
      <c r="V2068">
        <f>-692.151350577058 -87.048859767237 -93.9331362665525</f>
        <v>-873.13334661084752</v>
      </c>
      <c r="W2068" t="s">
        <v>25807</v>
      </c>
      <c r="X2068" t="s">
        <v>25808</v>
      </c>
      <c r="Y2068" t="s">
        <v>25809</v>
      </c>
    </row>
    <row r="2069" spans="1:25" x14ac:dyDescent="0.3">
      <c r="A2069">
        <v>103400</v>
      </c>
      <c r="B2069" t="s">
        <v>25810</v>
      </c>
      <c r="C2069" t="s">
        <v>25811</v>
      </c>
      <c r="D2069">
        <f>-746.211854703702 -6.28170371604642 -210.415379214542</f>
        <v>-962.9089376342904</v>
      </c>
      <c r="E2069">
        <f>-753.403294475521 -6.39747909227253 -308.776611877164</f>
        <v>-1068.5773854449576</v>
      </c>
      <c r="F2069">
        <f>-757.282052938185 -2.87791829995649 -397.719356337653</f>
        <v>-1157.8793275757944</v>
      </c>
      <c r="G2069" t="s">
        <v>25812</v>
      </c>
      <c r="H2069" t="s">
        <v>25813</v>
      </c>
      <c r="I2069" t="s">
        <v>25814</v>
      </c>
      <c r="J2069" t="s">
        <v>25815</v>
      </c>
      <c r="K2069" t="s">
        <v>25816</v>
      </c>
      <c r="L2069" t="s">
        <v>25817</v>
      </c>
      <c r="M2069" t="s">
        <v>25818</v>
      </c>
      <c r="N2069">
        <f>-748.794720787698 -14.2207411302099 -558.651607762125</f>
        <v>-1321.6670696800329</v>
      </c>
      <c r="O2069">
        <f>-707.04545037221 -144.378399152242 -544.032619661035</f>
        <v>-1395.4564691854871</v>
      </c>
      <c r="P2069">
        <f>-597.436044128951 -239.44068803051 -288.024522761316</f>
        <v>-1124.9012549207769</v>
      </c>
      <c r="Q2069">
        <f>-537.424023018292 -15.2073738618535 -352.591077321089</f>
        <v>-905.22247420123449</v>
      </c>
      <c r="R2069" t="s">
        <v>25819</v>
      </c>
      <c r="S2069" t="s">
        <v>25820</v>
      </c>
      <c r="T2069" t="s">
        <v>25821</v>
      </c>
      <c r="U2069" t="s">
        <v>25822</v>
      </c>
      <c r="V2069">
        <f>-692.959527032179 -85.3210945200221 -93.9904494509733</f>
        <v>-872.27107100317448</v>
      </c>
      <c r="W2069" t="s">
        <v>25823</v>
      </c>
      <c r="X2069" t="s">
        <v>25824</v>
      </c>
      <c r="Y2069" t="s">
        <v>25825</v>
      </c>
    </row>
    <row r="2070" spans="1:25" x14ac:dyDescent="0.3">
      <c r="A2070">
        <v>103450</v>
      </c>
      <c r="B2070" t="s">
        <v>25826</v>
      </c>
      <c r="C2070" t="s">
        <v>25827</v>
      </c>
      <c r="D2070">
        <f>-746.764584837043 -5.06665942987365 -210.426338271153</f>
        <v>-962.25758253806964</v>
      </c>
      <c r="E2070">
        <f>-754.003325197798 -5.25539555032674 -308.784014819996</f>
        <v>-1068.0427355681206</v>
      </c>
      <c r="F2070">
        <f>-757.951159441016 -1.84048689102519 -397.727777688735</f>
        <v>-1157.5194240207761</v>
      </c>
      <c r="G2070" t="s">
        <v>25828</v>
      </c>
      <c r="H2070" t="s">
        <v>25829</v>
      </c>
      <c r="I2070" t="s">
        <v>25830</v>
      </c>
      <c r="J2070" t="s">
        <v>25831</v>
      </c>
      <c r="K2070" t="s">
        <v>25832</v>
      </c>
      <c r="L2070" t="s">
        <v>25833</v>
      </c>
      <c r="M2070" t="s">
        <v>25834</v>
      </c>
      <c r="N2070">
        <f>-749.723155648567 -13.489940068918 -558.649713253084</f>
        <v>-1321.8628089705689</v>
      </c>
      <c r="O2070">
        <f>-708.276159212611 -143.727115979657 -543.931106576213</f>
        <v>-1395.934381768481</v>
      </c>
      <c r="P2070">
        <f>-600.495497541546 -238.540340712957 -287.055616653013</f>
        <v>-1126.091454907516</v>
      </c>
      <c r="Q2070">
        <f>-538.571770839364 -15.052272477003 -352.396778294945</f>
        <v>-906.02082161131216</v>
      </c>
      <c r="R2070" t="s">
        <v>25835</v>
      </c>
      <c r="S2070" t="s">
        <v>25836</v>
      </c>
      <c r="T2070" t="s">
        <v>25837</v>
      </c>
      <c r="U2070" t="s">
        <v>25838</v>
      </c>
      <c r="V2070">
        <f>-693.541193975838 -84.4118675714744 -93.9945200627184</f>
        <v>-871.94758161003085</v>
      </c>
      <c r="W2070" t="s">
        <v>25839</v>
      </c>
      <c r="X2070" t="s">
        <v>25840</v>
      </c>
      <c r="Y2070" t="s">
        <v>25841</v>
      </c>
    </row>
    <row r="2071" spans="1:25" x14ac:dyDescent="0.3">
      <c r="A2071">
        <v>103500</v>
      </c>
      <c r="B2071" t="s">
        <v>25842</v>
      </c>
      <c r="C2071" t="s">
        <v>25843</v>
      </c>
      <c r="D2071">
        <f>-747.002835853832 -4.62820705814602 -210.433359663817</f>
        <v>-962.06440257579504</v>
      </c>
      <c r="E2071">
        <f>-754.299287927276 -4.88392210910752 -308.78652925072</f>
        <v>-1067.9697392871035</v>
      </c>
      <c r="F2071">
        <f>-758.314982062333 -1.54983145915935 -397.73046868352</f>
        <v>-1157.5952822050124</v>
      </c>
      <c r="G2071" t="s">
        <v>25844</v>
      </c>
      <c r="H2071" t="s">
        <v>25845</v>
      </c>
      <c r="I2071" t="s">
        <v>25846</v>
      </c>
      <c r="J2071" t="s">
        <v>25847</v>
      </c>
      <c r="K2071" t="s">
        <v>25848</v>
      </c>
      <c r="L2071" t="s">
        <v>25849</v>
      </c>
      <c r="M2071" t="s">
        <v>25850</v>
      </c>
      <c r="N2071">
        <f>-750.287190004062 -13.408259591153 -558.64617150933</f>
        <v>-1322.3416211045451</v>
      </c>
      <c r="O2071">
        <f>-709.022671797858 -143.699212768522 -543.833249327225</f>
        <v>-1396.555133893605</v>
      </c>
      <c r="P2071">
        <f>-602.087287552465 -238.244804556962 -286.506389682415</f>
        <v>-1126.838481791842</v>
      </c>
      <c r="Q2071">
        <f>-539.043491990635 -15.2117410842077 -352.328507193404</f>
        <v>-906.58374026824663</v>
      </c>
      <c r="R2071" t="s">
        <v>25851</v>
      </c>
      <c r="S2071" t="s">
        <v>25852</v>
      </c>
      <c r="T2071" t="s">
        <v>25853</v>
      </c>
      <c r="U2071" t="s">
        <v>25854</v>
      </c>
      <c r="V2071">
        <f>-693.760295926288 -83.9892207287696 -93.9976094734159</f>
        <v>-871.7471261284735</v>
      </c>
      <c r="W2071" t="s">
        <v>25855</v>
      </c>
      <c r="X2071" t="s">
        <v>25856</v>
      </c>
      <c r="Y2071" t="s">
        <v>25857</v>
      </c>
    </row>
    <row r="2072" spans="1:25" x14ac:dyDescent="0.3">
      <c r="A2072">
        <v>103550</v>
      </c>
      <c r="B2072" t="s">
        <v>25858</v>
      </c>
      <c r="C2072" t="s">
        <v>25859</v>
      </c>
      <c r="D2072">
        <f>-747.229483898792 -4.21316773050239 -210.437160400042</f>
        <v>-961.87981202933634</v>
      </c>
      <c r="E2072">
        <f>-754.585563452606 -4.5475678239477 -308.785592492469</f>
        <v>-1067.9187237690228</v>
      </c>
      <c r="F2072">
        <f>-758.664687133889 -1.30260063136802 -397.729904904595</f>
        <v>-1157.697192669852</v>
      </c>
      <c r="G2072" t="s">
        <v>25860</v>
      </c>
      <c r="H2072" t="s">
        <v>25861</v>
      </c>
      <c r="I2072" t="s">
        <v>25862</v>
      </c>
      <c r="J2072" t="s">
        <v>25863</v>
      </c>
      <c r="K2072" t="s">
        <v>25864</v>
      </c>
      <c r="L2072" t="s">
        <v>25865</v>
      </c>
      <c r="M2072" t="s">
        <v>25866</v>
      </c>
      <c r="N2072">
        <f>-750.808995148733 -13.3780387493496 -558.636984420014</f>
        <v>-1322.8240183180965</v>
      </c>
      <c r="O2072">
        <f>-709.70242672318 -143.705567013525 -543.719905275209</f>
        <v>-1397.127899011914</v>
      </c>
      <c r="P2072">
        <f>-603.706731241707 -238.026264333811 -285.921938775988</f>
        <v>-1127.654934351506</v>
      </c>
      <c r="Q2072">
        <f>-539.548582073417 -15.4566206782069 -352.234870238234</f>
        <v>-907.24007298985794</v>
      </c>
      <c r="R2072" t="s">
        <v>25867</v>
      </c>
      <c r="S2072" t="s">
        <v>25868</v>
      </c>
      <c r="T2072" t="s">
        <v>25869</v>
      </c>
      <c r="U2072" t="s">
        <v>25870</v>
      </c>
      <c r="V2072">
        <f>-693.892474044988 -83.4821333903299 -93.9955954703768</f>
        <v>-871.37020290569467</v>
      </c>
      <c r="W2072" t="s">
        <v>25871</v>
      </c>
      <c r="X2072" t="s">
        <v>25872</v>
      </c>
      <c r="Y2072" t="s">
        <v>25873</v>
      </c>
    </row>
    <row r="2073" spans="1:25" x14ac:dyDescent="0.3">
      <c r="A2073">
        <v>103600</v>
      </c>
      <c r="B2073" t="s">
        <v>25874</v>
      </c>
      <c r="C2073" t="s">
        <v>25875</v>
      </c>
      <c r="D2073">
        <f>-747.355974438944 -3.83154311100293 -210.393795248215</f>
        <v>-961.581312798162</v>
      </c>
      <c r="E2073">
        <f>-754.826382442606 -4.3497120126226 -308.733013132062</f>
        <v>-1067.9091075872907</v>
      </c>
      <c r="F2073">
        <f>-759.029891379235 -1.30927469766857 -397.678615950153</f>
        <v>-1158.0177820270565</v>
      </c>
      <c r="G2073" t="s">
        <v>25876</v>
      </c>
      <c r="H2073" t="s">
        <v>25877</v>
      </c>
      <c r="I2073" t="s">
        <v>25878</v>
      </c>
      <c r="J2073" t="s">
        <v>25879</v>
      </c>
      <c r="K2073" t="s">
        <v>25880</v>
      </c>
      <c r="L2073" t="s">
        <v>25881</v>
      </c>
      <c r="M2073" t="s">
        <v>25882</v>
      </c>
      <c r="N2073">
        <f>-751.494277472071 -13.8639210295776 -558.561590802383</f>
        <v>-1323.9197893040314</v>
      </c>
      <c r="O2073">
        <f>-710.601129516356 -144.231683161226 -543.449012665361</f>
        <v>-1398.281825342943</v>
      </c>
      <c r="P2073">
        <f>-606.427030111409 -238.248495101841 -284.798925525933</f>
        <v>-1129.4744507391829</v>
      </c>
      <c r="Q2073">
        <f>-540.442124043856 -16.4738104771243 -351.976972544159</f>
        <v>-908.8929070651393</v>
      </c>
      <c r="R2073" t="s">
        <v>25883</v>
      </c>
      <c r="S2073" t="s">
        <v>25884</v>
      </c>
      <c r="T2073" t="s">
        <v>25885</v>
      </c>
      <c r="U2073" t="s">
        <v>25886</v>
      </c>
      <c r="V2073">
        <f>-693.859802584079 -82.9138134012476 -93.9546520664279</f>
        <v>-870.72826805175453</v>
      </c>
      <c r="W2073" t="s">
        <v>25887</v>
      </c>
      <c r="X2073" t="s">
        <v>25888</v>
      </c>
      <c r="Y2073" t="s">
        <v>25889</v>
      </c>
    </row>
    <row r="2074" spans="1:25" x14ac:dyDescent="0.3">
      <c r="A2074">
        <v>103650</v>
      </c>
      <c r="B2074" t="s">
        <v>25890</v>
      </c>
      <c r="C2074" t="s">
        <v>25891</v>
      </c>
      <c r="D2074">
        <f>-747.324596506646 -3.92744554923297 -210.352963785336</f>
        <v>-961.60500584121496</v>
      </c>
      <c r="E2074">
        <f>-754.864949870085 -4.55746907253501 -308.686151718636</f>
        <v>-1068.108570661256</v>
      </c>
      <c r="F2074">
        <f>-759.140392072687 -1.6390624291796 -397.632493211196</f>
        <v>-1158.4119477130625</v>
      </c>
      <c r="G2074" t="s">
        <v>25892</v>
      </c>
      <c r="H2074" t="s">
        <v>25893</v>
      </c>
      <c r="I2074" t="s">
        <v>25894</v>
      </c>
      <c r="J2074" t="s">
        <v>25895</v>
      </c>
      <c r="K2074" t="s">
        <v>25896</v>
      </c>
      <c r="L2074" t="s">
        <v>25897</v>
      </c>
      <c r="M2074" t="s">
        <v>25898</v>
      </c>
      <c r="N2074">
        <f>-751.77184317955 -14.4711599129957 -558.499558311465</f>
        <v>-1324.7425614040108</v>
      </c>
      <c r="O2074">
        <f>-710.935596556777 -144.841685486389 -543.255534591752</f>
        <v>-1399.0328166349182</v>
      </c>
      <c r="P2074">
        <f>-607.396054181916 -238.654988377839 -284.277047149448</f>
        <v>-1130.3280897092031</v>
      </c>
      <c r="Q2074">
        <f>-540.766414669646 -17.1715841507228 -351.778286294966</f>
        <v>-909.71628511533481</v>
      </c>
      <c r="R2074" t="s">
        <v>25899</v>
      </c>
      <c r="S2074" t="s">
        <v>25900</v>
      </c>
      <c r="T2074" t="s">
        <v>25901</v>
      </c>
      <c r="U2074" t="s">
        <v>25902</v>
      </c>
      <c r="V2074">
        <f>-693.818716513066 -82.9410610856573 -93.9123536809918</f>
        <v>-870.67213127971513</v>
      </c>
      <c r="W2074" t="s">
        <v>25903</v>
      </c>
      <c r="X2074" t="s">
        <v>25904</v>
      </c>
      <c r="Y2074" t="s">
        <v>25905</v>
      </c>
    </row>
    <row r="2075" spans="1:25" x14ac:dyDescent="0.3">
      <c r="A2075">
        <v>103700</v>
      </c>
      <c r="B2075" t="s">
        <v>25906</v>
      </c>
      <c r="C2075" t="s">
        <v>25907</v>
      </c>
      <c r="D2075">
        <f>-747.279631062592 -4.23558453061628 -210.255621130073</f>
        <v>-961.77083672328126</v>
      </c>
      <c r="E2075">
        <f>-754.980709308229 -5.05318046574121 -308.575070627394</f>
        <v>-1068.6089604013641</v>
      </c>
      <c r="F2075">
        <f>-759.425326624725 -2.33176165843474 -397.519244495381</f>
        <v>-1159.2763327785408</v>
      </c>
      <c r="G2075" t="s">
        <v>25908</v>
      </c>
      <c r="H2075" t="s">
        <v>25909</v>
      </c>
      <c r="I2075" t="s">
        <v>25910</v>
      </c>
      <c r="J2075" t="s">
        <v>25911</v>
      </c>
      <c r="K2075" t="s">
        <v>25912</v>
      </c>
      <c r="L2075" t="s">
        <v>25913</v>
      </c>
      <c r="M2075" t="s">
        <v>25914</v>
      </c>
      <c r="N2075">
        <f>-752.452645548027 -15.5970601246804 -558.367399752863</f>
        <v>-1326.4171054255703</v>
      </c>
      <c r="O2075">
        <f>-711.747807815536 -145.986274891524 -542.911719696472</f>
        <v>-1400.6458024035319</v>
      </c>
      <c r="P2075">
        <f>-608.600687381529 -239.200399214066 -283.560639526683</f>
        <v>-1131.361726122278</v>
      </c>
      <c r="Q2075">
        <f>-541.438409926547 -18.0099863510261 -351.493640983635</f>
        <v>-910.94203726120804</v>
      </c>
      <c r="R2075" t="s">
        <v>25915</v>
      </c>
      <c r="S2075" t="s">
        <v>25916</v>
      </c>
      <c r="T2075" t="s">
        <v>25917</v>
      </c>
      <c r="U2075" t="s">
        <v>25918</v>
      </c>
      <c r="V2075">
        <f>-693.670362307595 -82.9602837119821 -93.8164520936558</f>
        <v>-870.44709811323298</v>
      </c>
      <c r="W2075" t="s">
        <v>25919</v>
      </c>
      <c r="X2075" t="s">
        <v>25920</v>
      </c>
      <c r="Y2075" t="s">
        <v>25921</v>
      </c>
    </row>
    <row r="2076" spans="1:25" x14ac:dyDescent="0.3">
      <c r="A2076">
        <v>103750</v>
      </c>
      <c r="B2076" t="s">
        <v>25922</v>
      </c>
      <c r="C2076" t="s">
        <v>25923</v>
      </c>
      <c r="D2076">
        <f>-747.208767945945 -4.48139073692573 -210.228271265183</f>
        <v>-961.91842994805381</v>
      </c>
      <c r="E2076">
        <f>-754.983402096825 -5.36063563858716 -308.541201926308</f>
        <v>-1068.8852396617201</v>
      </c>
      <c r="F2076">
        <f>-759.50648415519 -2.69460377439214 -397.483236822706</f>
        <v>-1159.6843247522881</v>
      </c>
      <c r="G2076" t="s">
        <v>25924</v>
      </c>
      <c r="H2076" t="s">
        <v>25925</v>
      </c>
      <c r="I2076" t="s">
        <v>25926</v>
      </c>
      <c r="J2076" t="s">
        <v>25927</v>
      </c>
      <c r="K2076" t="s">
        <v>25928</v>
      </c>
      <c r="L2076" t="s">
        <v>25929</v>
      </c>
      <c r="M2076" t="s">
        <v>25930</v>
      </c>
      <c r="N2076">
        <f>-752.716759818575 -16.0632714843857 -558.33139487132</f>
        <v>-1327.1114261742807</v>
      </c>
      <c r="O2076">
        <f>-712.049562563968 -146.457548053687 -542.832001312541</f>
        <v>-1401.3391119301959</v>
      </c>
      <c r="P2076">
        <f>-608.751248900103 -239.370224210698 -283.432961369146</f>
        <v>-1131.5544344799468</v>
      </c>
      <c r="Q2076">
        <f>-541.509363274673 -18.2144049113163 -351.399789310222</f>
        <v>-911.12355749621122</v>
      </c>
      <c r="R2076" t="s">
        <v>25931</v>
      </c>
      <c r="S2076" t="s">
        <v>25932</v>
      </c>
      <c r="T2076" t="s">
        <v>25933</v>
      </c>
      <c r="U2076" t="s">
        <v>25934</v>
      </c>
      <c r="V2076">
        <f>-693.491872426672 -83.1422287107409 -93.7740177142172</f>
        <v>-870.40811885163009</v>
      </c>
      <c r="W2076" t="s">
        <v>25935</v>
      </c>
      <c r="X2076" t="s">
        <v>25936</v>
      </c>
      <c r="Y2076" t="s">
        <v>25937</v>
      </c>
    </row>
    <row r="2077" spans="1:25" x14ac:dyDescent="0.3">
      <c r="A2077">
        <v>103800</v>
      </c>
      <c r="B2077" t="s">
        <v>25938</v>
      </c>
      <c r="C2077" t="s">
        <v>25939</v>
      </c>
      <c r="D2077">
        <f>-747.020018608592 -5.14571380126517 -210.189936470774</f>
        <v>-962.35566888063113</v>
      </c>
      <c r="E2077">
        <f>-754.917475564582 -6.0906347424243 -308.492573579784</f>
        <v>-1069.5006838867903</v>
      </c>
      <c r="F2077">
        <f>-759.577460827267 -3.47868883632214 -397.429115286986</f>
        <v>-1160.4852649505751</v>
      </c>
      <c r="G2077" t="s">
        <v>25940</v>
      </c>
      <c r="H2077" t="s">
        <v>25941</v>
      </c>
      <c r="I2077" t="s">
        <v>25942</v>
      </c>
      <c r="J2077" t="s">
        <v>25943</v>
      </c>
      <c r="K2077" t="s">
        <v>25944</v>
      </c>
      <c r="L2077" t="s">
        <v>25945</v>
      </c>
      <c r="M2077" t="s">
        <v>25946</v>
      </c>
      <c r="N2077">
        <f>-753.098087154815 -16.9310216533122 -558.284912898711</f>
        <v>-1328.314021706838</v>
      </c>
      <c r="O2077">
        <f>-712.349989520123 -147.307325416173 -542.852930064113</f>
        <v>-1402.510245000409</v>
      </c>
      <c r="P2077">
        <f>-608.369057831105 -239.854144972403 -283.595781628919</f>
        <v>-1131.818984432427</v>
      </c>
      <c r="Q2077">
        <f>-541.599505097498 -18.4650682295633 -351.268583490086</f>
        <v>-911.33315681714726</v>
      </c>
      <c r="R2077" t="s">
        <v>25947</v>
      </c>
      <c r="S2077" t="s">
        <v>25948</v>
      </c>
      <c r="T2077" t="s">
        <v>25949</v>
      </c>
      <c r="U2077" t="s">
        <v>25950</v>
      </c>
      <c r="V2077">
        <f>-693.189907479167 -83.606793245835 -93.7081055150654</f>
        <v>-870.50480624006741</v>
      </c>
      <c r="W2077" t="s">
        <v>25951</v>
      </c>
      <c r="X2077" t="s">
        <v>25952</v>
      </c>
      <c r="Y2077" t="s">
        <v>25953</v>
      </c>
    </row>
    <row r="2078" spans="1:25" x14ac:dyDescent="0.3">
      <c r="A2078">
        <v>103850</v>
      </c>
      <c r="B2078" t="s">
        <v>25954</v>
      </c>
      <c r="C2078" t="s">
        <v>25955</v>
      </c>
      <c r="D2078">
        <f>-746.872623269252 -6.031756848344 -210.162093715679</f>
        <v>-963.06647383327504</v>
      </c>
      <c r="E2078">
        <f>-754.848120649188 -6.994181977984 -308.458155510461</f>
        <v>-1070.3004581376331</v>
      </c>
      <c r="F2078">
        <f>-759.601639797411 -4.37772823007185 -397.38958405961</f>
        <v>-1161.368952087093</v>
      </c>
      <c r="G2078" t="s">
        <v>25956</v>
      </c>
      <c r="H2078" t="s">
        <v>25957</v>
      </c>
      <c r="I2078" t="s">
        <v>25958</v>
      </c>
      <c r="J2078" t="s">
        <v>25959</v>
      </c>
      <c r="K2078" t="s">
        <v>25960</v>
      </c>
      <c r="L2078" t="s">
        <v>25961</v>
      </c>
      <c r="M2078" t="s">
        <v>25962</v>
      </c>
      <c r="N2078">
        <f>-753.334798476953 -17.7680661084512 -558.26231657396</f>
        <v>-1329.3651811593641</v>
      </c>
      <c r="O2078">
        <f>-712.477301740573 -148.13397958566 -543.009617846953</f>
        <v>-1403.620899173186</v>
      </c>
      <c r="P2078">
        <f>-607.423300628227 -240.324631459072 -284.058417101038</f>
        <v>-1131.806349188337</v>
      </c>
      <c r="Q2078">
        <f>-541.256925100822 -18.5036562858343 -350.903660638916</f>
        <v>-910.66424202557221</v>
      </c>
      <c r="R2078" t="s">
        <v>25963</v>
      </c>
      <c r="S2078" t="s">
        <v>25964</v>
      </c>
      <c r="T2078" t="s">
        <v>25965</v>
      </c>
      <c r="U2078" t="s">
        <v>25966</v>
      </c>
      <c r="V2078">
        <f>-692.90521846898 -84.4290214861783 -93.6436102335455</f>
        <v>-870.97785018870377</v>
      </c>
      <c r="W2078" t="s">
        <v>25967</v>
      </c>
      <c r="X2078" t="s">
        <v>25968</v>
      </c>
      <c r="Y2078" t="s">
        <v>25969</v>
      </c>
    </row>
    <row r="2079" spans="1:25" x14ac:dyDescent="0.3">
      <c r="A2079">
        <v>103900</v>
      </c>
      <c r="B2079" t="s">
        <v>25970</v>
      </c>
      <c r="C2079" t="s">
        <v>25971</v>
      </c>
      <c r="D2079">
        <f>-746.776371331395 -6.45682934399065 -210.142861923559</f>
        <v>-963.3760625989446</v>
      </c>
      <c r="E2079">
        <f>-754.767870759788 -7.418841724515 -308.437763737413</f>
        <v>-1070.6244762217161</v>
      </c>
      <c r="F2079">
        <f>-759.551869752336 -4.79485549633864 -397.36733368042</f>
        <v>-1161.7140589290946</v>
      </c>
      <c r="G2079" t="s">
        <v>25972</v>
      </c>
      <c r="H2079" t="s">
        <v>25973</v>
      </c>
      <c r="I2079" t="s">
        <v>25974</v>
      </c>
      <c r="J2079" t="s">
        <v>25975</v>
      </c>
      <c r="K2079" t="s">
        <v>25976</v>
      </c>
      <c r="L2079" t="s">
        <v>25977</v>
      </c>
      <c r="M2079" t="s">
        <v>25978</v>
      </c>
      <c r="N2079">
        <f>-753.380015988198 -18.1558553825705 -558.247604335351</f>
        <v>-1329.7834757061196</v>
      </c>
      <c r="O2079">
        <f>-712.474488134312 -148.511461517978 -543.0639130159</f>
        <v>-1404.0498626681899</v>
      </c>
      <c r="P2079">
        <f>-606.722884423723 -240.444723017846 -284.305139555878</f>
        <v>-1131.4727469974471</v>
      </c>
      <c r="Q2079">
        <f>-540.901226519832 -18.3546691910612 -350.595580118343</f>
        <v>-909.85147582923628</v>
      </c>
      <c r="R2079" t="s">
        <v>25979</v>
      </c>
      <c r="S2079" t="s">
        <v>25980</v>
      </c>
      <c r="T2079" t="s">
        <v>25981</v>
      </c>
      <c r="U2079" t="s">
        <v>25982</v>
      </c>
      <c r="V2079">
        <f>-692.759509938847 -84.7582883211012 -93.6063917057807</f>
        <v>-871.12418996572887</v>
      </c>
      <c r="W2079" t="s">
        <v>25983</v>
      </c>
      <c r="X2079" t="s">
        <v>25984</v>
      </c>
      <c r="Y2079" t="s">
        <v>25985</v>
      </c>
    </row>
    <row r="2080" spans="1:25" x14ac:dyDescent="0.3">
      <c r="A2080">
        <v>103950</v>
      </c>
      <c r="B2080" t="s">
        <v>25986</v>
      </c>
      <c r="C2080" t="s">
        <v>25987</v>
      </c>
      <c r="D2080">
        <f>-746.713868347713 -6.97033745390763 -210.115649066773</f>
        <v>-963.7998548683936</v>
      </c>
      <c r="E2080">
        <f>-754.719895560983 -7.9295075077157 -308.409379544315</f>
        <v>-1071.0587826130136</v>
      </c>
      <c r="F2080">
        <f>-759.531869364189 -5.29026035903576 -397.337000538071</f>
        <v>-1162.1591302612958</v>
      </c>
      <c r="G2080" t="s">
        <v>25988</v>
      </c>
      <c r="H2080" t="s">
        <v>25989</v>
      </c>
      <c r="I2080" t="s">
        <v>25990</v>
      </c>
      <c r="J2080" t="s">
        <v>25991</v>
      </c>
      <c r="K2080" t="s">
        <v>25992</v>
      </c>
      <c r="L2080" t="s">
        <v>25993</v>
      </c>
      <c r="M2080" t="s">
        <v>25994</v>
      </c>
      <c r="N2080">
        <f>-753.442633212366 -18.5910832276188 -558.227460592667</f>
        <v>-1330.2611770326516</v>
      </c>
      <c r="O2080">
        <f>-712.479677247893 -148.940649463979 -543.108724516753</f>
        <v>-1404.5290512286251</v>
      </c>
      <c r="P2080">
        <f>-605.921257084464 -240.593486175671 -284.581578496685</f>
        <v>-1131.0963217568201</v>
      </c>
      <c r="Q2080">
        <f>-540.478322219423 -18.2165763170583 -350.282006748419</f>
        <v>-908.97690528490034</v>
      </c>
      <c r="R2080" t="s">
        <v>25995</v>
      </c>
      <c r="S2080" t="s">
        <v>25996</v>
      </c>
      <c r="T2080" t="s">
        <v>25997</v>
      </c>
      <c r="U2080" t="s">
        <v>25998</v>
      </c>
      <c r="V2080">
        <f>-692.750405167514 -85.1750828473371 -93.5559097396279</f>
        <v>-871.48139775447896</v>
      </c>
      <c r="W2080" t="s">
        <v>25999</v>
      </c>
      <c r="X2080" t="s">
        <v>26000</v>
      </c>
      <c r="Y2080" t="s">
        <v>26001</v>
      </c>
    </row>
    <row r="2081" spans="1:25" x14ac:dyDescent="0.3">
      <c r="A2081">
        <v>104000</v>
      </c>
      <c r="B2081" t="s">
        <v>26002</v>
      </c>
      <c r="C2081" t="s">
        <v>26003</v>
      </c>
      <c r="D2081">
        <f>-746.550512298268 -7.7820173192822 -210.070386040071</f>
        <v>-964.40291565762118</v>
      </c>
      <c r="E2081">
        <f>-754.552141215343 -8.72555946373882 -308.364407354422</f>
        <v>-1071.6421080335037</v>
      </c>
      <c r="F2081">
        <f>-759.381845169004 -6.04396590958345 -397.289754596462</f>
        <v>-1162.7155656750494</v>
      </c>
      <c r="G2081" t="s">
        <v>26004</v>
      </c>
      <c r="H2081" t="s">
        <v>26005</v>
      </c>
      <c r="I2081" t="s">
        <v>26006</v>
      </c>
      <c r="J2081" t="s">
        <v>26007</v>
      </c>
      <c r="K2081" t="s">
        <v>26008</v>
      </c>
      <c r="L2081" t="s">
        <v>26009</v>
      </c>
      <c r="M2081" t="s">
        <v>26010</v>
      </c>
      <c r="N2081">
        <f>-753.342093219942 -19.1875385742014 -558.198941012404</f>
        <v>-1330.7285728065474</v>
      </c>
      <c r="O2081">
        <f>-712.162222084849 -149.480103299347 -543.163706530013</f>
        <v>-1404.8060319142089</v>
      </c>
      <c r="P2081">
        <f>-603.699615389617 -240.460609672813 -285.191374211723</f>
        <v>-1129.3515992741529</v>
      </c>
      <c r="Q2081">
        <f>-538.788910465559 -17.4909857742475 -349.394498543816</f>
        <v>-905.67439478362246</v>
      </c>
      <c r="R2081" t="s">
        <v>26011</v>
      </c>
      <c r="S2081" t="s">
        <v>26012</v>
      </c>
      <c r="T2081" t="s">
        <v>26013</v>
      </c>
      <c r="U2081" t="s">
        <v>26014</v>
      </c>
      <c r="V2081">
        <f>-692.567079741239 -85.7576465068548 -93.4748463153652</f>
        <v>-871.79957256345904</v>
      </c>
      <c r="W2081" t="s">
        <v>26015</v>
      </c>
      <c r="X2081" t="s">
        <v>26016</v>
      </c>
      <c r="Y2081" t="s">
        <v>26017</v>
      </c>
    </row>
    <row r="2082" spans="1:25" x14ac:dyDescent="0.3">
      <c r="A2082">
        <v>104050</v>
      </c>
      <c r="B2082" t="s">
        <v>26018</v>
      </c>
      <c r="C2082" t="s">
        <v>26019</v>
      </c>
      <c r="D2082">
        <f>-746.456491945172 -8.09130153676006 -210.061722512388</f>
        <v>-964.60951599432008</v>
      </c>
      <c r="E2082">
        <f>-754.436092628032 -9.00692908371866 -308.358050272896</f>
        <v>-1071.8010719846466</v>
      </c>
      <c r="F2082">
        <f>-759.248272141335 -6.28339119920588 -397.28295673629</f>
        <v>-1162.8146200768308</v>
      </c>
      <c r="G2082" t="s">
        <v>26020</v>
      </c>
      <c r="H2082" t="s">
        <v>26021</v>
      </c>
      <c r="I2082" t="s">
        <v>26022</v>
      </c>
      <c r="J2082" t="s">
        <v>26023</v>
      </c>
      <c r="K2082" t="s">
        <v>26024</v>
      </c>
      <c r="L2082" t="s">
        <v>26025</v>
      </c>
      <c r="M2082" t="s">
        <v>26026</v>
      </c>
      <c r="N2082">
        <f>-753.153724014004 -19.29982673119 -558.202048810875</f>
        <v>-1330.6555995560689</v>
      </c>
      <c r="O2082">
        <f>-711.794850653362 -149.534604314269 -543.165194053647</f>
        <v>-1404.4946490212781</v>
      </c>
      <c r="P2082">
        <f>-602.243083433278 -240.222260673503 -285.55036386196</f>
        <v>-1128.015707968741</v>
      </c>
      <c r="Q2082">
        <f>-537.926220586676 -16.8679350683731 -349.009042343329</f>
        <v>-903.80319799837798</v>
      </c>
      <c r="R2082" t="s">
        <v>26027</v>
      </c>
      <c r="S2082" t="s">
        <v>26028</v>
      </c>
      <c r="T2082" t="s">
        <v>26029</v>
      </c>
      <c r="U2082" t="s">
        <v>26030</v>
      </c>
      <c r="V2082">
        <f>-692.463155755622 -85.9323682091181 -93.4376190777006</f>
        <v>-871.83314304244061</v>
      </c>
      <c r="W2082" t="s">
        <v>26031</v>
      </c>
      <c r="X2082" t="s">
        <v>26032</v>
      </c>
      <c r="Y2082" t="s">
        <v>26033</v>
      </c>
    </row>
    <row r="2083" spans="1:25" x14ac:dyDescent="0.3">
      <c r="A2083">
        <v>104100</v>
      </c>
      <c r="B2083" t="s">
        <v>26034</v>
      </c>
      <c r="C2083" t="s">
        <v>26035</v>
      </c>
      <c r="D2083">
        <f>-746.110698048881 -8.70179919849079 -210.058046545346</f>
        <v>-964.87054379271774</v>
      </c>
      <c r="E2083">
        <f>-753.994190761587 -9.56532750726706 -308.362425486445</f>
        <v>-1071.921943755299</v>
      </c>
      <c r="F2083">
        <f>-758.718986161381 -6.76853141097649 -397.289852320014</f>
        <v>-1162.7773698923716</v>
      </c>
      <c r="G2083">
        <f>-760.63656722489 -0.33123343142347 -486.133245056525</f>
        <v>-1247.1010457128384</v>
      </c>
      <c r="H2083" t="s">
        <v>26036</v>
      </c>
      <c r="I2083" t="s">
        <v>26037</v>
      </c>
      <c r="J2083" t="s">
        <v>26038</v>
      </c>
      <c r="K2083" t="s">
        <v>26039</v>
      </c>
      <c r="L2083" t="s">
        <v>26040</v>
      </c>
      <c r="M2083" t="s">
        <v>26041</v>
      </c>
      <c r="N2083">
        <f>-752.376056327895 -19.5560320506399 -558.219302476075</f>
        <v>-1330.1513908546099</v>
      </c>
      <c r="O2083">
        <f>-710.492465741749 -149.621525819322 -543.271137419331</f>
        <v>-1403.385128980402</v>
      </c>
      <c r="P2083">
        <f>-599.355377384702 -240.102607973954 -286.263505897376</f>
        <v>-1125.7214912560321</v>
      </c>
      <c r="Q2083">
        <f>-536.940350914852 -15.9243105757591 -348.70792532868</f>
        <v>-901.57258681929125</v>
      </c>
      <c r="R2083" t="s">
        <v>26042</v>
      </c>
      <c r="S2083" t="s">
        <v>26043</v>
      </c>
      <c r="T2083" t="s">
        <v>26044</v>
      </c>
      <c r="U2083" t="s">
        <v>26045</v>
      </c>
      <c r="V2083">
        <f>-692.137444134293 -86.3983306472073 -93.4110506759617</f>
        <v>-871.94682545746207</v>
      </c>
      <c r="W2083" t="s">
        <v>26046</v>
      </c>
      <c r="X2083" t="s">
        <v>26047</v>
      </c>
      <c r="Y2083" t="s">
        <v>26048</v>
      </c>
    </row>
    <row r="2084" spans="1:25" x14ac:dyDescent="0.3">
      <c r="A2084">
        <v>104150</v>
      </c>
      <c r="B2084" t="s">
        <v>26034</v>
      </c>
      <c r="C2084" t="s">
        <v>26035</v>
      </c>
      <c r="D2084">
        <f>-746.110698048881 -8.70179919849079 -210.058046545346</f>
        <v>-964.87054379271774</v>
      </c>
      <c r="E2084">
        <f>-753.994190761587 -9.56532750726706 -308.362425486445</f>
        <v>-1071.921943755299</v>
      </c>
      <c r="F2084">
        <f>-758.718986161381 -6.76853141097649 -397.289852320014</f>
        <v>-1162.7773698923716</v>
      </c>
      <c r="G2084">
        <f>-760.63656722489 -0.33123343142347 -486.133245056525</f>
        <v>-1247.1010457128384</v>
      </c>
      <c r="H2084" t="s">
        <v>26036</v>
      </c>
      <c r="I2084" t="s">
        <v>26037</v>
      </c>
      <c r="J2084" t="s">
        <v>26038</v>
      </c>
      <c r="K2084" t="s">
        <v>26039</v>
      </c>
      <c r="L2084" t="s">
        <v>26040</v>
      </c>
      <c r="M2084" t="s">
        <v>26041</v>
      </c>
      <c r="N2084">
        <f>-752.376056327895 -19.5560320506399 -558.219302476075</f>
        <v>-1330.1513908546099</v>
      </c>
      <c r="O2084">
        <f>-710.492465741749 -149.621525819322 -543.271137419331</f>
        <v>-1403.385128980402</v>
      </c>
      <c r="P2084">
        <f>-599.355377384702 -240.102607973954 -286.263505897376</f>
        <v>-1125.7214912560321</v>
      </c>
      <c r="Q2084">
        <f>-536.940350914852 -15.9243105757591 -348.70792532868</f>
        <v>-901.57258681929125</v>
      </c>
      <c r="R2084" t="s">
        <v>26042</v>
      </c>
      <c r="S2084" t="s">
        <v>26043</v>
      </c>
      <c r="T2084" t="s">
        <v>26044</v>
      </c>
      <c r="U2084" t="s">
        <v>26045</v>
      </c>
      <c r="V2084">
        <f>-692.137444134293 -86.3983306472073 -93.4110506759617</f>
        <v>-871.94682545746207</v>
      </c>
      <c r="W2084" t="s">
        <v>26046</v>
      </c>
      <c r="X2084" t="s">
        <v>26047</v>
      </c>
      <c r="Y2084" t="s">
        <v>26048</v>
      </c>
    </row>
    <row r="2085" spans="1:25" x14ac:dyDescent="0.3">
      <c r="A2085">
        <v>104200</v>
      </c>
      <c r="B2085" t="s">
        <v>26049</v>
      </c>
      <c r="C2085" t="s">
        <v>26050</v>
      </c>
      <c r="D2085">
        <f>-745.915521362547 -9.03440371532975 -210.063466856259</f>
        <v>-965.01339193413571</v>
      </c>
      <c r="E2085">
        <f>-753.743312978009 -9.90647798657756 -308.37239367266</f>
        <v>-1072.0221846372465</v>
      </c>
      <c r="F2085">
        <f>-758.415482888106 -7.11639996285976 -397.302717179937</f>
        <v>-1162.8346000309027</v>
      </c>
      <c r="G2085">
        <f>-760.278492772469 -0.684014008904114 -486.147652493053</f>
        <v>-1247.1101592744262</v>
      </c>
      <c r="H2085" t="s">
        <v>26051</v>
      </c>
      <c r="I2085" t="s">
        <v>26052</v>
      </c>
      <c r="J2085" t="s">
        <v>26053</v>
      </c>
      <c r="K2085" t="s">
        <v>26054</v>
      </c>
      <c r="L2085" t="s">
        <v>26055</v>
      </c>
      <c r="M2085" t="s">
        <v>26056</v>
      </c>
      <c r="N2085">
        <f>-751.932087074957 -19.8994394563795 -558.226310348884</f>
        <v>-1330.0578368802205</v>
      </c>
      <c r="O2085">
        <f>-709.848637395544 -149.903921843907 -543.27940959847</f>
        <v>-1403.0319688379209</v>
      </c>
      <c r="P2085">
        <f>-598.298780576735 -240.299306217298 -286.420615497096</f>
        <v>-1125.0187022911289</v>
      </c>
      <c r="Q2085">
        <f>-536.610842440913 -15.9074165411168 -348.820528867402</f>
        <v>-901.33878784943181</v>
      </c>
      <c r="R2085" t="s">
        <v>26057</v>
      </c>
      <c r="S2085" t="s">
        <v>26058</v>
      </c>
      <c r="T2085" t="s">
        <v>26059</v>
      </c>
      <c r="U2085" t="s">
        <v>26060</v>
      </c>
      <c r="V2085">
        <f>-691.903400786769 -86.75246961681 -93.3885297179446</f>
        <v>-872.04440012152361</v>
      </c>
      <c r="W2085" t="s">
        <v>26061</v>
      </c>
      <c r="X2085" t="s">
        <v>26062</v>
      </c>
      <c r="Y2085" t="s">
        <v>26063</v>
      </c>
    </row>
    <row r="2086" spans="1:25" x14ac:dyDescent="0.3">
      <c r="A2086">
        <v>104250</v>
      </c>
      <c r="B2086" t="s">
        <v>26064</v>
      </c>
      <c r="C2086" t="s">
        <v>26065</v>
      </c>
      <c r="D2086">
        <f>-744.968959766915 -10.2088906876263 -210.057607029406</f>
        <v>-965.23545748394724</v>
      </c>
      <c r="E2086">
        <f>-752.738155190774 -11.2844000448774 -308.36911319483</f>
        <v>-1072.3916684304813</v>
      </c>
      <c r="F2086">
        <f>-757.353012088144 -8.72017067157663 -397.309365824444</f>
        <v>-1163.3825485841646</v>
      </c>
      <c r="G2086">
        <f>-759.157293843064 -2.55222054863111 -486.174089651347</f>
        <v>-1247.8836040430422</v>
      </c>
      <c r="H2086" t="s">
        <v>26066</v>
      </c>
      <c r="I2086" t="s">
        <v>26067</v>
      </c>
      <c r="J2086" t="s">
        <v>26068</v>
      </c>
      <c r="K2086" t="s">
        <v>26069</v>
      </c>
      <c r="L2086" t="s">
        <v>26070</v>
      </c>
      <c r="M2086" t="s">
        <v>26071</v>
      </c>
      <c r="N2086">
        <f>-750.616983247432 -21.9603142067929 -558.178456344594</f>
        <v>-1330.7557537988189</v>
      </c>
      <c r="O2086">
        <f>-707.958267504019 -151.728791967789 -542.788364741333</f>
        <v>-1402.475424213141</v>
      </c>
      <c r="P2086">
        <f>-597.154072786135 -241.073679564647 -285.24005856521</f>
        <v>-1123.467810915992</v>
      </c>
      <c r="Q2086">
        <f>-535.150920857028 -17.1137152576971 -348.867263052622</f>
        <v>-901.13189916734711</v>
      </c>
      <c r="R2086" t="s">
        <v>26072</v>
      </c>
      <c r="S2086" t="s">
        <v>26073</v>
      </c>
      <c r="T2086" t="s">
        <v>26074</v>
      </c>
      <c r="U2086" t="s">
        <v>26075</v>
      </c>
      <c r="V2086">
        <f>-690.619891032692 -87.7062087925169 -93.3543812448947</f>
        <v>-871.68048107010361</v>
      </c>
      <c r="W2086" t="s">
        <v>26076</v>
      </c>
      <c r="X2086" t="s">
        <v>26077</v>
      </c>
      <c r="Y2086" t="s">
        <v>26078</v>
      </c>
    </row>
    <row r="2087" spans="1:25" x14ac:dyDescent="0.3">
      <c r="A2087">
        <v>104300</v>
      </c>
      <c r="B2087" t="s">
        <v>26079</v>
      </c>
      <c r="C2087" t="s">
        <v>26080</v>
      </c>
      <c r="D2087">
        <f>-744.223694512934 -10.8016881775106 -210.101310595248</f>
        <v>-965.12669328569268</v>
      </c>
      <c r="E2087">
        <f>-751.979941784282 -12.1717527275612 -308.410110437245</f>
        <v>-1072.5618049490881</v>
      </c>
      <c r="F2087">
        <f>-756.570475564434 -9.9431063529546 -397.360736923431</f>
        <v>-1163.8743188408196</v>
      </c>
      <c r="G2087">
        <f>-758.339441617217 -4.17958662997899 -486.253231715412</f>
        <v>-1248.7722599626079</v>
      </c>
      <c r="H2087" t="s">
        <v>26081</v>
      </c>
      <c r="I2087" t="s">
        <v>26082</v>
      </c>
      <c r="J2087" t="s">
        <v>26083</v>
      </c>
      <c r="K2087" t="s">
        <v>26084</v>
      </c>
      <c r="L2087" t="s">
        <v>26085</v>
      </c>
      <c r="M2087" t="s">
        <v>26086</v>
      </c>
      <c r="N2087">
        <f>-749.712003785119 -23.9405501781534 -558.15122906154</f>
        <v>-1331.8037830248124</v>
      </c>
      <c r="O2087">
        <f>-706.894398517411 -153.581085012471 -542.108324026857</f>
        <v>-1402.583807556739</v>
      </c>
      <c r="P2087">
        <f>-597.060825580741 -241.551936031555 -283.672732151118</f>
        <v>-1122.285493763414</v>
      </c>
      <c r="Q2087">
        <f>-533.66877760592 -18.5946587462697 -349.417564465872</f>
        <v>-901.68100081806165</v>
      </c>
      <c r="R2087" t="s">
        <v>26087</v>
      </c>
      <c r="S2087" t="s">
        <v>26088</v>
      </c>
      <c r="T2087" t="s">
        <v>26089</v>
      </c>
      <c r="U2087" t="s">
        <v>26090</v>
      </c>
      <c r="V2087">
        <f>-689.700440889938 -88.0616167234389 -93.3418504694877</f>
        <v>-871.10390808286456</v>
      </c>
      <c r="W2087" t="s">
        <v>26091</v>
      </c>
      <c r="X2087" t="s">
        <v>26092</v>
      </c>
      <c r="Y2087" t="s">
        <v>26093</v>
      </c>
    </row>
    <row r="2088" spans="1:25" x14ac:dyDescent="0.3">
      <c r="A2088">
        <v>104350</v>
      </c>
      <c r="B2088" t="s">
        <v>26094</v>
      </c>
      <c r="C2088" t="s">
        <v>26095</v>
      </c>
      <c r="D2088">
        <f>-743.545998817604 -11.3539042927555 -210.152318656361</f>
        <v>-965.05222176672044</v>
      </c>
      <c r="E2088">
        <f>-751.26182057377 -13.0609420545725 -308.458947690464</f>
        <v>-1072.7817103188065</v>
      </c>
      <c r="F2088">
        <f>-755.812076769349 -11.2150259373939 -397.42033200252</f>
        <v>-1164.4474347092628</v>
      </c>
      <c r="G2088">
        <f>-757.538790864122 -5.91044166607912 -486.342441888789</f>
        <v>-1249.7916744189902</v>
      </c>
      <c r="H2088" t="s">
        <v>26096</v>
      </c>
      <c r="I2088" t="s">
        <v>26097</v>
      </c>
      <c r="J2088" t="s">
        <v>26098</v>
      </c>
      <c r="K2088" t="s">
        <v>26099</v>
      </c>
      <c r="L2088" t="s">
        <v>26100</v>
      </c>
      <c r="M2088" t="s">
        <v>26101</v>
      </c>
      <c r="N2088">
        <f>-748.848128309926 -26.0795136301645 -558.119301521002</f>
        <v>-1333.0469434610923</v>
      </c>
      <c r="O2088">
        <f>-706.010548216135 -155.615186466529 -541.281933582283</f>
        <v>-1402.907668264947</v>
      </c>
      <c r="P2088">
        <f>-596.773332158591 -242.142923097902 -282.1076084614</f>
        <v>-1121.0238637178929</v>
      </c>
      <c r="Q2088">
        <f>-532.970724435241 -19.77506931986 -349.432322189606</f>
        <v>-902.17811594470697</v>
      </c>
      <c r="R2088" t="s">
        <v>26102</v>
      </c>
      <c r="S2088" t="s">
        <v>26103</v>
      </c>
      <c r="T2088" t="s">
        <v>26104</v>
      </c>
      <c r="U2088" t="s">
        <v>26105</v>
      </c>
      <c r="V2088">
        <f>-689.032603897391 -88.3759834909818 -93.3010642679802</f>
        <v>-870.709651656353</v>
      </c>
      <c r="W2088" t="s">
        <v>26106</v>
      </c>
      <c r="X2088" t="s">
        <v>26107</v>
      </c>
      <c r="Y2088" t="s">
        <v>26108</v>
      </c>
    </row>
    <row r="2089" spans="1:25" x14ac:dyDescent="0.3">
      <c r="A2089">
        <v>104400</v>
      </c>
      <c r="B2089" t="s">
        <v>26109</v>
      </c>
      <c r="C2089" t="s">
        <v>26110</v>
      </c>
      <c r="D2089">
        <f>-743.276971361475 -11.5641144358221 -210.189820724514</f>
        <v>-965.03090652181118</v>
      </c>
      <c r="E2089">
        <f>-750.966880492759 -13.4384382163889 -308.495592831147</f>
        <v>-1072.9009115402948</v>
      </c>
      <c r="F2089">
        <f>-755.492116940372 -11.783692119838 -397.461981556635</f>
        <v>-1164.7377906168449</v>
      </c>
      <c r="G2089">
        <f>-757.193119637367 -6.7102396268092 -486.398041143485</f>
        <v>-1250.3014004076613</v>
      </c>
      <c r="H2089" t="s">
        <v>26111</v>
      </c>
      <c r="I2089" t="s">
        <v>26112</v>
      </c>
      <c r="J2089" t="s">
        <v>26113</v>
      </c>
      <c r="K2089" t="s">
        <v>26114</v>
      </c>
      <c r="L2089" t="s">
        <v>26115</v>
      </c>
      <c r="M2089" t="s">
        <v>26116</v>
      </c>
      <c r="N2089">
        <f>-748.469084441556 -27.0860039918236 -558.112374124653</f>
        <v>-1333.6674625580326</v>
      </c>
      <c r="O2089">
        <f>-705.596750439762 -156.549477512873 -540.902642597977</f>
        <v>-1403.0488705506118</v>
      </c>
      <c r="P2089">
        <f>-596.433700920634 -242.609326925738 -281.54129167601</f>
        <v>-1120.584319522382</v>
      </c>
      <c r="Q2089">
        <f>-532.64454355483 -20.4149806127218 -349.449357633287</f>
        <v>-902.50888180083871</v>
      </c>
      <c r="R2089" t="s">
        <v>26117</v>
      </c>
      <c r="S2089" t="s">
        <v>26118</v>
      </c>
      <c r="T2089" t="s">
        <v>26119</v>
      </c>
      <c r="U2089" t="s">
        <v>26120</v>
      </c>
      <c r="V2089">
        <f>-688.729002189654 -88.4334738351999 -93.2874215215381</f>
        <v>-870.44989754639209</v>
      </c>
      <c r="W2089" t="s">
        <v>26121</v>
      </c>
      <c r="X2089" t="s">
        <v>26122</v>
      </c>
      <c r="Y2089" t="s">
        <v>26123</v>
      </c>
    </row>
    <row r="2090" spans="1:25" x14ac:dyDescent="0.3">
      <c r="A2090">
        <v>104450</v>
      </c>
      <c r="B2090" t="s">
        <v>26124</v>
      </c>
      <c r="C2090" t="s">
        <v>26125</v>
      </c>
      <c r="D2090">
        <f>-743.109236512654 -11.8123999827287 -210.214789916699</f>
        <v>-965.13642641208173</v>
      </c>
      <c r="E2090">
        <f>-750.797908826902 -13.8621344064738 -308.517056166876</f>
        <v>-1073.1770994002518</v>
      </c>
      <c r="F2090">
        <f>-755.324772609087 -12.411184676821 -397.487087772529</f>
        <v>-1165.223045058437</v>
      </c>
      <c r="G2090">
        <f>-757.031259411884 -7.58609190218749 -486.436686070114</f>
        <v>-1251.0540373841854</v>
      </c>
      <c r="H2090" t="s">
        <v>26126</v>
      </c>
      <c r="I2090" t="s">
        <v>26127</v>
      </c>
      <c r="J2090" t="s">
        <v>26128</v>
      </c>
      <c r="K2090" t="s">
        <v>26129</v>
      </c>
      <c r="L2090" t="s">
        <v>26130</v>
      </c>
      <c r="M2090" t="s">
        <v>26131</v>
      </c>
      <c r="N2090">
        <f>-748.304393277984 -28.1858053839781 -558.086759560557</f>
        <v>-1334.5769582225189</v>
      </c>
      <c r="O2090">
        <f>-705.370310540725 -157.588218235031 -540.538324706134</f>
        <v>-1403.49685348189</v>
      </c>
      <c r="P2090">
        <f>-596.011641272979 -243.204322622904 -281.112414098482</f>
        <v>-1120.3283779943649</v>
      </c>
      <c r="Q2090">
        <f>-532.445322878259 -21.0639812542602 -349.404798461526</f>
        <v>-902.91410259404529</v>
      </c>
      <c r="R2090" t="s">
        <v>26132</v>
      </c>
      <c r="S2090" t="s">
        <v>26133</v>
      </c>
      <c r="T2090" t="s">
        <v>26134</v>
      </c>
      <c r="U2090" t="s">
        <v>26135</v>
      </c>
      <c r="V2090">
        <f>-688.482351764984 -88.5966308053371 -93.2762957077711</f>
        <v>-870.3552782780921</v>
      </c>
      <c r="W2090" t="s">
        <v>26136</v>
      </c>
      <c r="X2090" t="s">
        <v>26137</v>
      </c>
      <c r="Y2090" t="s">
        <v>26138</v>
      </c>
    </row>
    <row r="2091" spans="1:25" x14ac:dyDescent="0.3">
      <c r="A2091">
        <v>104500</v>
      </c>
      <c r="B2091" t="s">
        <v>26139</v>
      </c>
      <c r="C2091" t="s">
        <v>26140</v>
      </c>
      <c r="D2091">
        <f>-743.083453451021 -12.4023687836986 -210.26689968289</f>
        <v>-965.75272191760962</v>
      </c>
      <c r="E2091">
        <f>-750.818838552174 -14.7112665661352 -308.559740749104</f>
        <v>-1074.0898458674133</v>
      </c>
      <c r="F2091">
        <f>-755.411529249064 -13.55098152234 -397.530517468966</f>
        <v>-1166.49302824037</v>
      </c>
      <c r="G2091">
        <f>-757.207973379369 -9.07274383350159 -486.49660660302</f>
        <v>-1252.7773238158907</v>
      </c>
      <c r="H2091" t="s">
        <v>26141</v>
      </c>
      <c r="I2091" t="s">
        <v>26142</v>
      </c>
      <c r="J2091" t="s">
        <v>26143</v>
      </c>
      <c r="K2091" t="s">
        <v>26144</v>
      </c>
      <c r="L2091" t="s">
        <v>26145</v>
      </c>
      <c r="M2091" t="s">
        <v>26146</v>
      </c>
      <c r="N2091">
        <f>-748.563515860273 -29.9843509078594 -558.066298898392</f>
        <v>-1336.6141656665245</v>
      </c>
      <c r="O2091">
        <f>-705.568000230379 -159.313428171106 -540.083537127948</f>
        <v>-1404.9649655294329</v>
      </c>
      <c r="P2091">
        <f>-595.681680586204 -244.254404130259 -280.658701126409</f>
        <v>-1120.5947858428722</v>
      </c>
      <c r="Q2091">
        <f>-532.552182428714 -22.2096109959134 -349.663521788733</f>
        <v>-904.42531521336036</v>
      </c>
      <c r="R2091" t="s">
        <v>26147</v>
      </c>
      <c r="S2091" t="s">
        <v>26148</v>
      </c>
      <c r="T2091" t="s">
        <v>26149</v>
      </c>
      <c r="U2091" t="s">
        <v>26150</v>
      </c>
      <c r="V2091">
        <f>-688.272460307715 -88.9141346703907 -93.2461888441318</f>
        <v>-870.43278382223752</v>
      </c>
      <c r="W2091" t="s">
        <v>26151</v>
      </c>
      <c r="X2091" t="s">
        <v>26152</v>
      </c>
      <c r="Y2091" t="s">
        <v>26153</v>
      </c>
    </row>
    <row r="2092" spans="1:25" x14ac:dyDescent="0.3">
      <c r="A2092">
        <v>104550</v>
      </c>
      <c r="B2092" t="s">
        <v>26154</v>
      </c>
      <c r="C2092" t="s">
        <v>26155</v>
      </c>
      <c r="D2092">
        <f>-743.094877212359 -12.7660603060313 -210.296109060825</f>
        <v>-966.15704657921526</v>
      </c>
      <c r="E2092">
        <f>-750.853184756469 -15.153309838149 -308.585258971673</f>
        <v>-1074.5917535662909</v>
      </c>
      <c r="F2092">
        <f>-755.482331105931 -14.0719398206597 -397.555278973896</f>
        <v>-1167.1095499004869</v>
      </c>
      <c r="G2092">
        <f>-757.32980575461 -9.68071314259441 -486.524547351554</f>
        <v>-1253.5350662487585</v>
      </c>
      <c r="H2092">
        <f>-756.936880915308 -0.124635083006069 -610.739498284262</f>
        <v>-1367.801014282576</v>
      </c>
      <c r="I2092" t="s">
        <v>26156</v>
      </c>
      <c r="J2092" t="s">
        <v>26157</v>
      </c>
      <c r="K2092" t="s">
        <v>26158</v>
      </c>
      <c r="L2092" t="s">
        <v>26159</v>
      </c>
      <c r="M2092" t="s">
        <v>26160</v>
      </c>
      <c r="N2092">
        <f>-748.740722552089 -30.6689150876455 -558.078461127621</f>
        <v>-1337.4880987673555</v>
      </c>
      <c r="O2092">
        <f>-705.747997170974 -159.976386582655 -539.96930526046</f>
        <v>-1405.6936890140892</v>
      </c>
      <c r="P2092">
        <f>-595.562994225519 -244.55386752049 -280.552416861828</f>
        <v>-1120.669278607837</v>
      </c>
      <c r="Q2092">
        <f>-532.637505631558 -22.5023648459437 -349.721326341368</f>
        <v>-904.86119681886976</v>
      </c>
      <c r="R2092" t="s">
        <v>26161</v>
      </c>
      <c r="S2092" t="s">
        <v>26162</v>
      </c>
      <c r="T2092" t="s">
        <v>26163</v>
      </c>
      <c r="U2092" t="s">
        <v>26164</v>
      </c>
      <c r="V2092">
        <f>-688.213959125858 -89.2053419742535 -93.2234077395624</f>
        <v>-870.6427088396739</v>
      </c>
      <c r="W2092" t="s">
        <v>26165</v>
      </c>
      <c r="X2092" t="s">
        <v>26166</v>
      </c>
      <c r="Y2092" t="s">
        <v>26167</v>
      </c>
    </row>
    <row r="2093" spans="1:25" x14ac:dyDescent="0.3">
      <c r="A2093">
        <v>104600</v>
      </c>
      <c r="B2093" t="s">
        <v>26168</v>
      </c>
      <c r="C2093">
        <f>-725.951170727993 -0.385764988421442 -96.5687302148207</f>
        <v>-822.90566593123515</v>
      </c>
      <c r="D2093">
        <f>-743.142150953944 -13.518607508428 -210.359046868213</f>
        <v>-967.01980533058497</v>
      </c>
      <c r="E2093">
        <f>-750.848875339262 -16.0141723870911 -308.64955426677</f>
        <v>-1075.5126019931231</v>
      </c>
      <c r="F2093">
        <f>-755.43976974291 -15.0533326282016 -397.622855723606</f>
        <v>-1168.1159580947176</v>
      </c>
      <c r="G2093">
        <f>-757.257582661262 -10.8054571026662 -486.599679892748</f>
        <v>-1254.662719656676</v>
      </c>
      <c r="H2093">
        <f>-756.831680944221 -1.47445403556071 -610.831670244925</f>
        <v>-1369.1378052247069</v>
      </c>
      <c r="I2093" t="s">
        <v>26169</v>
      </c>
      <c r="J2093" t="s">
        <v>26170</v>
      </c>
      <c r="K2093" t="s">
        <v>26171</v>
      </c>
      <c r="L2093" t="s">
        <v>26172</v>
      </c>
      <c r="M2093" t="s">
        <v>26173</v>
      </c>
      <c r="N2093">
        <f>-748.676037581323 -31.9315858533594 -558.113919728556</f>
        <v>-1338.7215431632385</v>
      </c>
      <c r="O2093">
        <f>-705.793367608043 -161.235039886089 -539.747001698239</f>
        <v>-1406.7754091923712</v>
      </c>
      <c r="P2093">
        <f>-595.142328995056 -245.491435309632 -280.424001589027</f>
        <v>-1121.057765893715</v>
      </c>
      <c r="Q2093">
        <f>-532.742824025701 -23.3884033668041 -349.90372407031</f>
        <v>-906.03495146281512</v>
      </c>
      <c r="R2093" t="s">
        <v>26174</v>
      </c>
      <c r="S2093" t="s">
        <v>26175</v>
      </c>
      <c r="T2093" t="s">
        <v>26176</v>
      </c>
      <c r="U2093" t="s">
        <v>26177</v>
      </c>
      <c r="V2093">
        <f>-688.340158681616 -89.75773848075 -93.1888350683309</f>
        <v>-871.286732230697</v>
      </c>
      <c r="W2093" t="s">
        <v>26178</v>
      </c>
      <c r="X2093" t="s">
        <v>26179</v>
      </c>
      <c r="Y2093" t="s">
        <v>26180</v>
      </c>
    </row>
    <row r="2094" spans="1:25" x14ac:dyDescent="0.3">
      <c r="A2094">
        <v>104650</v>
      </c>
      <c r="B2094" t="s">
        <v>26181</v>
      </c>
      <c r="C2094">
        <f>-726.082825551363 -0.80316417432482 -96.5716565017379</f>
        <v>-823.45764622742581</v>
      </c>
      <c r="D2094">
        <f>-743.234598430675 -13.9172198839369 -210.370033023638</f>
        <v>-967.52185133824992</v>
      </c>
      <c r="E2094">
        <f>-750.913389257991 -16.4468033230564 -308.661907833435</f>
        <v>-1076.0221004144823</v>
      </c>
      <c r="F2094">
        <f>-755.482659402026 -15.5361658371194 -397.636694245803</f>
        <v>-1168.6555194849484</v>
      </c>
      <c r="G2094">
        <f>-757.283212574668 -11.3577591412677 -486.617435053348</f>
        <v>-1255.2584067692837</v>
      </c>
      <c r="H2094">
        <f>-756.838339787594 -2.1432843208529 -610.857873350944</f>
        <v>-1369.8394974593909</v>
      </c>
      <c r="I2094" t="s">
        <v>26182</v>
      </c>
      <c r="J2094" t="s">
        <v>26183</v>
      </c>
      <c r="K2094" t="s">
        <v>26184</v>
      </c>
      <c r="L2094" t="s">
        <v>26185</v>
      </c>
      <c r="M2094" t="s">
        <v>26186</v>
      </c>
      <c r="N2094">
        <f>-748.703671643451 -32.5551475814616 -558.110804992172</f>
        <v>-1339.3696242170845</v>
      </c>
      <c r="O2094">
        <f>-705.906606149031 -161.876034793172 -539.603749429884</f>
        <v>-1407.3863903720871</v>
      </c>
      <c r="P2094">
        <f>-595.159469528213 -245.993467246416 -280.276747674094</f>
        <v>-1121.429684448723</v>
      </c>
      <c r="Q2094">
        <f>-532.780498563987 -23.9092191488282 -349.834956206844</f>
        <v>-906.52467391965922</v>
      </c>
      <c r="R2094" t="s">
        <v>26187</v>
      </c>
      <c r="S2094" t="s">
        <v>26188</v>
      </c>
      <c r="T2094" t="s">
        <v>26189</v>
      </c>
      <c r="U2094" t="s">
        <v>26190</v>
      </c>
      <c r="V2094">
        <f>-688.553466977095 -90.2053662483891 -93.1659943537435</f>
        <v>-871.92482757922755</v>
      </c>
      <c r="W2094" t="s">
        <v>26191</v>
      </c>
      <c r="X2094" t="s">
        <v>26192</v>
      </c>
      <c r="Y2094" t="s">
        <v>26193</v>
      </c>
    </row>
    <row r="2095" spans="1:25" x14ac:dyDescent="0.3">
      <c r="A2095">
        <v>104700</v>
      </c>
      <c r="B2095" t="s">
        <v>26194</v>
      </c>
      <c r="C2095">
        <f>-726.304240757984 -1.72779955176316 -96.4925970331309</f>
        <v>-824.52463734287801</v>
      </c>
      <c r="D2095">
        <f>-743.438377574487 -14.8124972644218 -210.296949380321</f>
        <v>-968.54782421922982</v>
      </c>
      <c r="E2095">
        <f>-751.114565472823 -17.3564491578534 -308.588564377235</f>
        <v>-1077.0595790079115</v>
      </c>
      <c r="F2095">
        <f>-755.689434150184 -16.4718895508963 -397.563618174828</f>
        <v>-1169.7249418759084</v>
      </c>
      <c r="G2095">
        <f>-757.504282561308 -12.3323408377476 -486.545721028849</f>
        <v>-1256.3823444279046</v>
      </c>
      <c r="H2095">
        <f>-757.090009498533 -3.18439788476121 -610.791163319527</f>
        <v>-1371.0655707028213</v>
      </c>
      <c r="I2095" t="s">
        <v>26195</v>
      </c>
      <c r="J2095" t="s">
        <v>26196</v>
      </c>
      <c r="K2095" t="s">
        <v>26197</v>
      </c>
      <c r="L2095" t="s">
        <v>26198</v>
      </c>
      <c r="M2095" t="s">
        <v>26199</v>
      </c>
      <c r="N2095">
        <f>-748.958558373713 -33.5730914459466 -558.030252978016</f>
        <v>-1340.5619027976757</v>
      </c>
      <c r="O2095">
        <f>-706.371777159293 -162.935420283418 -539.3596678082</f>
        <v>-1408.6668652509111</v>
      </c>
      <c r="P2095">
        <f>-595.691356374755 -247.046276318199 -280.002027170522</f>
        <v>-1122.7396598634759</v>
      </c>
      <c r="Q2095">
        <f>-532.917575696937 -25.0997630490226 -349.643977617865</f>
        <v>-907.66131636382465</v>
      </c>
      <c r="R2095" t="s">
        <v>26200</v>
      </c>
      <c r="S2095" t="s">
        <v>26201</v>
      </c>
      <c r="T2095" t="s">
        <v>26202</v>
      </c>
      <c r="U2095" t="s">
        <v>26203</v>
      </c>
      <c r="V2095">
        <f>-688.966978151192 -91.1461506777825 -93.0773847185636</f>
        <v>-873.19051354753822</v>
      </c>
      <c r="W2095" t="s">
        <v>26204</v>
      </c>
      <c r="X2095" t="s">
        <v>26205</v>
      </c>
      <c r="Y2095" t="s">
        <v>26206</v>
      </c>
    </row>
    <row r="2096" spans="1:25" x14ac:dyDescent="0.3">
      <c r="A2096">
        <v>104750</v>
      </c>
      <c r="B2096" t="s">
        <v>26207</v>
      </c>
      <c r="C2096">
        <f>-726.351072908222 -2.10488528304563 -96.4476054729749</f>
        <v>-824.9035636642426</v>
      </c>
      <c r="D2096">
        <f>-743.502554640454 -15.2008645447197 -210.248082899904</f>
        <v>-968.95150208507778</v>
      </c>
      <c r="E2096">
        <f>-751.188481275345 -17.7527723032151 -308.538796837517</f>
        <v>-1077.4800504160771</v>
      </c>
      <c r="F2096">
        <f>-755.770777518486 -16.8738340521134 -397.513331686685</f>
        <v>-1170.1579432572844</v>
      </c>
      <c r="G2096">
        <f>-757.592377638705 -12.7379038205361 -486.495476827607</f>
        <v>-1256.825758286848</v>
      </c>
      <c r="H2096">
        <f>-757.187260167112 -3.59297794072268 -610.741258632768</f>
        <v>-1371.5214967406027</v>
      </c>
      <c r="I2096" t="s">
        <v>26208</v>
      </c>
      <c r="J2096" t="s">
        <v>26209</v>
      </c>
      <c r="K2096" t="s">
        <v>26210</v>
      </c>
      <c r="L2096" t="s">
        <v>26211</v>
      </c>
      <c r="M2096" t="s">
        <v>26212</v>
      </c>
      <c r="N2096">
        <f>-749.055161264158 -33.9813658146068 -557.980256207573</f>
        <v>-1341.0167832863376</v>
      </c>
      <c r="O2096">
        <f>-706.523750483238 -163.354468285951 -539.28377010451</f>
        <v>-1409.1619888736991</v>
      </c>
      <c r="P2096">
        <f>-595.786387709372 -247.505595780861 -279.963546031286</f>
        <v>-1123.2555295215188</v>
      </c>
      <c r="Q2096">
        <f>-532.680484427749 -25.6009343392691 -349.439039471123</f>
        <v>-907.72045823814108</v>
      </c>
      <c r="R2096" t="s">
        <v>26213</v>
      </c>
      <c r="S2096" t="s">
        <v>26214</v>
      </c>
      <c r="T2096" t="s">
        <v>26215</v>
      </c>
      <c r="U2096" t="s">
        <v>26216</v>
      </c>
      <c r="V2096">
        <f>-689.05790077926 -91.4722165007411 -93.0297155037348</f>
        <v>-873.55983278373583</v>
      </c>
      <c r="W2096" t="s">
        <v>26217</v>
      </c>
      <c r="X2096" t="s">
        <v>26218</v>
      </c>
      <c r="Y2096" t="s">
        <v>26219</v>
      </c>
    </row>
    <row r="2097" spans="1:25" x14ac:dyDescent="0.3">
      <c r="A2097">
        <v>104800</v>
      </c>
      <c r="B2097" t="s">
        <v>26220</v>
      </c>
      <c r="C2097">
        <f>-726.408085712704 -2.54908409752102 -96.4121048260042</f>
        <v>-825.36927463622919</v>
      </c>
      <c r="D2097">
        <f>-743.578170066723 -15.6680768186209 -210.207032990734</f>
        <v>-969.45327987607789</v>
      </c>
      <c r="E2097">
        <f>-751.284504990533 -18.2366570775973 -308.495771531492</f>
        <v>-1078.0169335996225</v>
      </c>
      <c r="F2097">
        <f>-755.887404070966 -17.3710907773047 -397.469504389933</f>
        <v>-1170.7279992382037</v>
      </c>
      <c r="G2097">
        <f>-757.732023100574 -13.2467135946313 -486.451540606941</f>
        <v>-1257.4302773021464</v>
      </c>
      <c r="H2097">
        <f>-757.361472987279 -4.11541005624804 -610.698592158135</f>
        <v>-1372.175475201662</v>
      </c>
      <c r="I2097" t="s">
        <v>26221</v>
      </c>
      <c r="J2097" t="s">
        <v>26222</v>
      </c>
      <c r="K2097" t="s">
        <v>26223</v>
      </c>
      <c r="L2097" t="s">
        <v>26224</v>
      </c>
      <c r="M2097" t="s">
        <v>26225</v>
      </c>
      <c r="N2097">
        <f>-749.215262577691 -34.4981863588043 -557.936387097427</f>
        <v>-1341.6498360339224</v>
      </c>
      <c r="O2097">
        <f>-706.708490902138 -163.884210523977 -539.228705740837</f>
        <v>-1409.821407166952</v>
      </c>
      <c r="P2097">
        <f>-595.832161948522 -248.153031403054 -280.00601000158</f>
        <v>-1123.9912033531559</v>
      </c>
      <c r="Q2097">
        <f>-532.524060953122 -26.2057208570839 -349.160576028592</f>
        <v>-907.89035783879785</v>
      </c>
      <c r="R2097" t="s">
        <v>26226</v>
      </c>
      <c r="S2097" t="s">
        <v>26227</v>
      </c>
      <c r="T2097" t="s">
        <v>26228</v>
      </c>
      <c r="U2097" t="s">
        <v>26229</v>
      </c>
      <c r="V2097">
        <f>-689.153820820589 -91.9286366271688 -92.9785061589682</f>
        <v>-874.06096360672598</v>
      </c>
      <c r="W2097" t="s">
        <v>26230</v>
      </c>
      <c r="X2097" t="s">
        <v>26231</v>
      </c>
      <c r="Y2097" t="s">
        <v>26232</v>
      </c>
    </row>
    <row r="2098" spans="1:25" x14ac:dyDescent="0.3">
      <c r="A2098">
        <v>104850</v>
      </c>
      <c r="B2098" t="s">
        <v>26233</v>
      </c>
      <c r="C2098">
        <f>-726.440611570647 -3.36609377667878 -96.3526583988804</f>
        <v>-826.15936374620617</v>
      </c>
      <c r="D2098">
        <f>-743.657126343403 -16.5467936542482 -210.133461457498</f>
        <v>-970.33738145514917</v>
      </c>
      <c r="E2098">
        <f>-751.410364532349 -19.1691838004249 -308.417048202932</f>
        <v>-1078.996596535706</v>
      </c>
      <c r="F2098">
        <f>-756.058450270008 -18.352780696418 -397.388857213537</f>
        <v>-1171.800088179963</v>
      </c>
      <c r="G2098">
        <f>-757.950366225418 -14.2779388391746 -486.372307832649</f>
        <v>-1258.6006128972415</v>
      </c>
      <c r="H2098">
        <f>-757.64857735818 -5.21657917695779 -610.624534979139</f>
        <v>-1373.4896915142767</v>
      </c>
      <c r="I2098" t="s">
        <v>26234</v>
      </c>
      <c r="J2098" t="s">
        <v>26235</v>
      </c>
      <c r="K2098" t="s">
        <v>26236</v>
      </c>
      <c r="L2098" t="s">
        <v>26237</v>
      </c>
      <c r="M2098" t="s">
        <v>26238</v>
      </c>
      <c r="N2098">
        <f>-749.463022731529 -35.5665013902462 -557.849600642351</f>
        <v>-1342.8791247641261</v>
      </c>
      <c r="O2098">
        <f>-706.900673227244 -164.922437578938 -539.108308022593</f>
        <v>-1410.9314188287749</v>
      </c>
      <c r="P2098">
        <f>-595.660046302473 -249.404139207675 -280.111116056428</f>
        <v>-1125.1753015665761</v>
      </c>
      <c r="Q2098">
        <f>-532.294306476688 -27.3094186222661 -348.737118704525</f>
        <v>-908.34084380347917</v>
      </c>
      <c r="R2098" t="s">
        <v>26239</v>
      </c>
      <c r="S2098" t="s">
        <v>26240</v>
      </c>
      <c r="T2098" t="s">
        <v>26241</v>
      </c>
      <c r="U2098" t="s">
        <v>26242</v>
      </c>
      <c r="V2098">
        <f>-689.091201176264 -92.6956324410005 -92.8821858875364</f>
        <v>-874.66901950480087</v>
      </c>
      <c r="W2098" t="s">
        <v>26243</v>
      </c>
      <c r="X2098" t="s">
        <v>26244</v>
      </c>
      <c r="Y2098" t="s">
        <v>26245</v>
      </c>
    </row>
    <row r="2099" spans="1:25" x14ac:dyDescent="0.3">
      <c r="A2099">
        <v>104900</v>
      </c>
      <c r="B2099" t="s">
        <v>26246</v>
      </c>
      <c r="C2099">
        <f>-726.364903901338 -3.86824982126268 -96.3285055175352</f>
        <v>-826.5616592401359</v>
      </c>
      <c r="D2099">
        <f>-743.637433490448 -17.1376694917337 -210.090523694594</f>
        <v>-970.86562667677572</v>
      </c>
      <c r="E2099">
        <f>-751.478024891218 -19.8509277406461 -308.364807833072</f>
        <v>-1079.6937604649361</v>
      </c>
      <c r="F2099">
        <f>-756.219820646444 -19.1235423828064 -397.332268894131</f>
        <v>-1172.6756319233814</v>
      </c>
      <c r="G2099">
        <f>-758.220397088039 -15.1438819890693 -486.317785194531</f>
        <v>-1259.6820642716393</v>
      </c>
      <c r="H2099">
        <f>-758.085164706217 -6.22182439068001 -610.580340759114</f>
        <v>-1374.8873298560111</v>
      </c>
      <c r="I2099" t="s">
        <v>26247</v>
      </c>
      <c r="J2099" t="s">
        <v>26248</v>
      </c>
      <c r="K2099" t="s">
        <v>26249</v>
      </c>
      <c r="L2099" t="s">
        <v>26250</v>
      </c>
      <c r="M2099" t="s">
        <v>26251</v>
      </c>
      <c r="N2099">
        <f>-749.800856575916 -36.5036878328146 -557.781806007033</f>
        <v>-1344.0863504157637</v>
      </c>
      <c r="O2099">
        <f>-707.115864046121 -165.816877376116 -538.984751799144</f>
        <v>-1411.9174932213809</v>
      </c>
      <c r="P2099">
        <f>-595.488498771895 -250.157806215914 -280.108119627012</f>
        <v>-1125.7544246148209</v>
      </c>
      <c r="Q2099">
        <f>-532.289375824218 -28.0140577120014 -348.729374966781</f>
        <v>-909.03280850300052</v>
      </c>
      <c r="R2099" t="s">
        <v>26252</v>
      </c>
      <c r="S2099" t="s">
        <v>26253</v>
      </c>
      <c r="T2099" t="s">
        <v>26254</v>
      </c>
      <c r="U2099" t="s">
        <v>26255</v>
      </c>
      <c r="V2099">
        <f>-688.870622446359 -93.0791125680175 -92.8424724281756</f>
        <v>-874.79220744255213</v>
      </c>
      <c r="W2099" t="s">
        <v>26256</v>
      </c>
      <c r="X2099" t="s">
        <v>26257</v>
      </c>
      <c r="Y2099" t="s">
        <v>26258</v>
      </c>
    </row>
    <row r="2100" spans="1:25" x14ac:dyDescent="0.3">
      <c r="A2100">
        <v>104950</v>
      </c>
      <c r="B2100" t="s">
        <v>26259</v>
      </c>
      <c r="C2100">
        <f>-726.360802532389 -4.16847836052966 -96.3234577586855</f>
        <v>-826.85273865160423</v>
      </c>
      <c r="D2100">
        <f>-743.66477213602 -17.4886879676153 -210.074768039868</f>
        <v>-971.22822814350332</v>
      </c>
      <c r="E2100">
        <f>-751.55665867098 -20.2519891440022 -308.34347233655</f>
        <v>-1080.1521201515322</v>
      </c>
      <c r="F2100">
        <f>-756.354427849566 -19.5725474292356 -397.308540224244</f>
        <v>-1173.2355155030455</v>
      </c>
      <c r="G2100">
        <f>-758.420331985299 -15.6437765578569 -486.294563465744</f>
        <v>-1260.3586720088997</v>
      </c>
      <c r="H2100">
        <f>-758.386252045887 -6.79504315194527 -610.562546449835</f>
        <v>-1375.7438416476673</v>
      </c>
      <c r="I2100" t="s">
        <v>26260</v>
      </c>
      <c r="J2100" t="s">
        <v>26261</v>
      </c>
      <c r="K2100" t="s">
        <v>26262</v>
      </c>
      <c r="L2100" t="s">
        <v>26263</v>
      </c>
      <c r="M2100" t="s">
        <v>26264</v>
      </c>
      <c r="N2100">
        <f>-750.042399278251 -37.0405913402005 -557.752439312588</f>
        <v>-1344.8354299310395</v>
      </c>
      <c r="O2100">
        <f>-707.286235104924 -166.327682881716 -538.947024099264</f>
        <v>-1412.5609420859041</v>
      </c>
      <c r="P2100">
        <f>-595.433676928766 -250.513845943173 -280.117227073419</f>
        <v>-1126.064749945358</v>
      </c>
      <c r="Q2100">
        <f>-532.397732908847 -28.3466886144761 -348.812525388917</f>
        <v>-909.55694691224016</v>
      </c>
      <c r="R2100" t="s">
        <v>26265</v>
      </c>
      <c r="S2100" t="s">
        <v>26266</v>
      </c>
      <c r="T2100" t="s">
        <v>26267</v>
      </c>
      <c r="U2100" t="s">
        <v>26268</v>
      </c>
      <c r="V2100">
        <f>-688.794806170642 -93.4350875543048 -92.8176766940219</f>
        <v>-875.04757041896869</v>
      </c>
      <c r="W2100" t="s">
        <v>26269</v>
      </c>
      <c r="X2100" t="s">
        <v>26270</v>
      </c>
      <c r="Y2100" t="s">
        <v>26271</v>
      </c>
    </row>
    <row r="2101" spans="1:25" x14ac:dyDescent="0.3">
      <c r="A2101">
        <v>105000</v>
      </c>
      <c r="B2101" t="s">
        <v>26272</v>
      </c>
      <c r="C2101">
        <f>-726.436831087873 -4.50723486374841 -96.3294534292119</f>
        <v>-827.27351938083325</v>
      </c>
      <c r="D2101">
        <f>-743.803828789563 -17.9053978227332 -210.062057690545</f>
        <v>-971.7712843028412</v>
      </c>
      <c r="E2101">
        <f>-751.78986767948 -20.7310195750206 -308.321307803681</f>
        <v>-1080.8421950581817</v>
      </c>
      <c r="F2101">
        <f>-756.687850905599 -20.106906300507 -397.281278912444</f>
        <v>-1174.0760361185501</v>
      </c>
      <c r="G2101">
        <f>-758.868778878207 -16.2314959025898 -486.266989716498</f>
        <v>-1261.3672644972949</v>
      </c>
      <c r="H2101">
        <f>-759.010817993345 -7.45578808239338 -610.54010933246</f>
        <v>-1377.0067154081985</v>
      </c>
      <c r="I2101" t="s">
        <v>26273</v>
      </c>
      <c r="J2101" t="s">
        <v>26274</v>
      </c>
      <c r="K2101" t="s">
        <v>26275</v>
      </c>
      <c r="L2101" t="s">
        <v>26276</v>
      </c>
      <c r="M2101" t="s">
        <v>26277</v>
      </c>
      <c r="N2101">
        <f>-750.559174722326 -37.6598172844358 -557.723297203794</f>
        <v>-1345.9422892105558</v>
      </c>
      <c r="O2101">
        <f>-707.665033317174 -166.907046819737 -538.936627579441</f>
        <v>-1413.5087077163521</v>
      </c>
      <c r="P2101">
        <f>-595.051444551616 -250.740359512363 -280.322498277215</f>
        <v>-1126.1143023411942</v>
      </c>
      <c r="Q2101">
        <f>-532.281395758971 -28.4183983036385 -348.759980565275</f>
        <v>-909.45977462788449</v>
      </c>
      <c r="R2101" t="s">
        <v>26278</v>
      </c>
      <c r="S2101" t="s">
        <v>26279</v>
      </c>
      <c r="T2101" t="s">
        <v>26280</v>
      </c>
      <c r="U2101" t="s">
        <v>26281</v>
      </c>
      <c r="V2101">
        <f>-688.669354844412 -93.6666474948258 -92.8133528563293</f>
        <v>-875.14935519556718</v>
      </c>
      <c r="W2101" t="s">
        <v>26282</v>
      </c>
      <c r="X2101" t="s">
        <v>26283</v>
      </c>
      <c r="Y2101" t="s">
        <v>26284</v>
      </c>
    </row>
    <row r="2102" spans="1:25" x14ac:dyDescent="0.3">
      <c r="A2102">
        <v>105050</v>
      </c>
      <c r="B2102" t="s">
        <v>26285</v>
      </c>
      <c r="C2102">
        <f>-726.489779274468 -4.69512915006931 -96.3262541748616</f>
        <v>-827.51116259939886</v>
      </c>
      <c r="D2102">
        <f>-743.88858796627 -18.1291119967559 -210.049602659869</f>
        <v>-972.067302622895</v>
      </c>
      <c r="E2102">
        <f>-751.913734436383 -20.9772102169582 -308.305104839624</f>
        <v>-1081.1960494929651</v>
      </c>
      <c r="F2102">
        <f>-756.850866066391 -20.3705850016147 -397.263036721655</f>
        <v>-1174.4844877896608</v>
      </c>
      <c r="G2102">
        <f>-759.074776034681 -16.5099914447121 -486.248350090331</f>
        <v>-1261.833117569724</v>
      </c>
      <c r="H2102">
        <f>-759.280139517313 -7.75188635345626 -610.522614890353</f>
        <v>-1377.5546407611223</v>
      </c>
      <c r="I2102" t="s">
        <v>26286</v>
      </c>
      <c r="J2102" t="s">
        <v>26287</v>
      </c>
      <c r="K2102" t="s">
        <v>26288</v>
      </c>
      <c r="L2102" t="s">
        <v>26289</v>
      </c>
      <c r="M2102" t="s">
        <v>26290</v>
      </c>
      <c r="N2102">
        <f>-750.79069104846 -37.9451051013446 -557.705677139851</f>
        <v>-1346.4414732896555</v>
      </c>
      <c r="O2102">
        <f>-707.856808555617 -167.175080708509 -538.936090018966</f>
        <v>-1413.9679792830921</v>
      </c>
      <c r="P2102">
        <f>-594.925510484979 -250.8880787628 -280.421404043524</f>
        <v>-1126.234993291303</v>
      </c>
      <c r="Q2102">
        <f>-532.211341842039 -28.4562158727624 -348.552453249565</f>
        <v>-909.22001096436645</v>
      </c>
      <c r="R2102" t="s">
        <v>26291</v>
      </c>
      <c r="S2102" t="s">
        <v>26292</v>
      </c>
      <c r="T2102" t="s">
        <v>26293</v>
      </c>
      <c r="U2102" t="s">
        <v>26294</v>
      </c>
      <c r="V2102">
        <f>-688.623068044207 -93.8579034064155 -92.8020540248373</f>
        <v>-875.28302547545979</v>
      </c>
      <c r="W2102" t="s">
        <v>26295</v>
      </c>
      <c r="X2102" t="s">
        <v>26296</v>
      </c>
      <c r="Y2102" t="s">
        <v>26297</v>
      </c>
    </row>
    <row r="2103" spans="1:25" x14ac:dyDescent="0.3">
      <c r="A2103">
        <v>105100</v>
      </c>
      <c r="B2103" t="s">
        <v>26298</v>
      </c>
      <c r="C2103">
        <f>-726.574623222699 -5.03674637882273 -96.3301614408596</f>
        <v>-827.94153104238126</v>
      </c>
      <c r="D2103">
        <f>-744.025183564882 -18.519395317725 -210.03982269678</f>
        <v>-972.58440157938696</v>
      </c>
      <c r="E2103">
        <f>-752.089636944873 -21.4004975760531 -308.291312976861</f>
        <v>-1081.781447497787</v>
      </c>
      <c r="F2103">
        <f>-757.059120526328 -20.8217454576541 -397.247433957692</f>
        <v>-1175.128299941674</v>
      </c>
      <c r="G2103">
        <f>-759.311277836695 -16.9865554901426 -486.233217216225</f>
        <v>-1262.5310505430625</v>
      </c>
      <c r="H2103">
        <f>-759.55139131086 -8.26294539475066 -610.509702006979</f>
        <v>-1378.3240387125898</v>
      </c>
      <c r="I2103" t="s">
        <v>26299</v>
      </c>
      <c r="J2103" t="s">
        <v>26300</v>
      </c>
      <c r="K2103" t="s">
        <v>26301</v>
      </c>
      <c r="L2103" t="s">
        <v>26302</v>
      </c>
      <c r="M2103" t="s">
        <v>26303</v>
      </c>
      <c r="N2103">
        <f>-751.048008665458 -38.4416901736777 -557.686884528934</f>
        <v>-1347.1765833680697</v>
      </c>
      <c r="O2103">
        <f>-708.151395205212 -167.694975965274 -538.914815176809</f>
        <v>-1414.7611863472951</v>
      </c>
      <c r="P2103">
        <f>-595.079725471788 -251.440156339647 -280.471814674762</f>
        <v>-1126.991696486197</v>
      </c>
      <c r="Q2103">
        <f>-531.807474912866 -29.0412636591177 -348.193192627874</f>
        <v>-909.0419311998578</v>
      </c>
      <c r="R2103" t="s">
        <v>26304</v>
      </c>
      <c r="S2103" t="s">
        <v>26305</v>
      </c>
      <c r="T2103" t="s">
        <v>26306</v>
      </c>
      <c r="U2103" t="s">
        <v>26307</v>
      </c>
      <c r="V2103">
        <f>-688.592385944459 -94.2498914706252 -92.7920906659576</f>
        <v>-875.63436808104188</v>
      </c>
      <c r="W2103" t="s">
        <v>26308</v>
      </c>
      <c r="X2103" t="s">
        <v>26309</v>
      </c>
      <c r="Y2103" t="s">
        <v>26310</v>
      </c>
    </row>
    <row r="2104" spans="1:25" x14ac:dyDescent="0.3">
      <c r="A2104">
        <v>105150</v>
      </c>
      <c r="B2104" t="s">
        <v>26311</v>
      </c>
      <c r="C2104">
        <f>-726.597090566255 -5.13385009202716 -96.3370858058719</f>
        <v>-828.06802646415406</v>
      </c>
      <c r="D2104">
        <f>-744.074268156854 -18.6150697550663 -210.042980623678</f>
        <v>-972.73231853559832</v>
      </c>
      <c r="E2104">
        <f>-752.168497181506 -21.516041095736 -308.291234884538</f>
        <v>-1081.9757731617801</v>
      </c>
      <c r="F2104">
        <f>-757.167831827791 -20.9633408008792 -397.246043356127</f>
        <v>-1175.3772159847972</v>
      </c>
      <c r="G2104">
        <f>-759.452652524012 -17.1631775716703 -486.232395999336</f>
        <v>-1262.8482260950184</v>
      </c>
      <c r="H2104">
        <f>-759.740990399008 -8.49742729702211 -610.512869731273</f>
        <v>-1378.7512874273029</v>
      </c>
      <c r="I2104" t="s">
        <v>26312</v>
      </c>
      <c r="J2104" t="s">
        <v>26313</v>
      </c>
      <c r="K2104" t="s">
        <v>26314</v>
      </c>
      <c r="L2104" t="s">
        <v>26315</v>
      </c>
      <c r="M2104" t="s">
        <v>26316</v>
      </c>
      <c r="N2104">
        <f>-751.227368573922 -38.6548162516096 -557.679568530569</f>
        <v>-1347.5617533561008</v>
      </c>
      <c r="O2104">
        <f>-708.410107098572 -167.918321633964 -538.873320745048</f>
        <v>-1415.2017494775839</v>
      </c>
      <c r="P2104">
        <f>-595.577390802791 -251.757960083405 -280.35661920935</f>
        <v>-1127.6919700955459</v>
      </c>
      <c r="Q2104">
        <f>-531.799008024027 -29.5004540216182 -348.067794886029</f>
        <v>-909.36725693167421</v>
      </c>
      <c r="R2104" t="s">
        <v>26317</v>
      </c>
      <c r="S2104" t="s">
        <v>26318</v>
      </c>
      <c r="T2104" t="s">
        <v>26319</v>
      </c>
      <c r="U2104" t="s">
        <v>26320</v>
      </c>
      <c r="V2104">
        <f>-688.642888016125 -94.2873824247413 -92.808837565709</f>
        <v>-875.73910800657529</v>
      </c>
      <c r="W2104" t="s">
        <v>26321</v>
      </c>
      <c r="X2104" t="s">
        <v>26322</v>
      </c>
      <c r="Y2104" t="s">
        <v>26323</v>
      </c>
    </row>
    <row r="2105" spans="1:25" x14ac:dyDescent="0.3">
      <c r="A2105">
        <v>105200</v>
      </c>
      <c r="B2105" t="s">
        <v>26324</v>
      </c>
      <c r="C2105">
        <f>-726.743110736821 -4.96468117553241 -96.3642149521577</f>
        <v>-828.07200686451108</v>
      </c>
      <c r="D2105">
        <f>-744.280900456415 -18.4537585769542 -210.059736050667</f>
        <v>-972.79439508403618</v>
      </c>
      <c r="E2105">
        <f>-752.453697490517 -21.4277233783869 -308.299431040779</f>
        <v>-1082.1808519096828</v>
      </c>
      <c r="F2105">
        <f>-757.535045309312 -20.9673047902352 -397.249976236792</f>
        <v>-1175.7523263363391</v>
      </c>
      <c r="G2105">
        <f>-759.913579411814 -17.2854414615031 -486.238963383057</f>
        <v>-1263.437984256374</v>
      </c>
      <c r="H2105">
        <f>-760.345234202457 -8.81233011392942 -610.532207858567</f>
        <v>-1379.6897721749533</v>
      </c>
      <c r="I2105" t="s">
        <v>26325</v>
      </c>
      <c r="J2105" t="s">
        <v>26326</v>
      </c>
      <c r="K2105" t="s">
        <v>26327</v>
      </c>
      <c r="L2105" t="s">
        <v>26328</v>
      </c>
      <c r="M2105" t="s">
        <v>26329</v>
      </c>
      <c r="N2105">
        <f>-751.806847944773 -38.8992767184211 -557.66276021436</f>
        <v>-1348.3688848775541</v>
      </c>
      <c r="O2105">
        <f>-709.209586425691 -168.213841050956 -538.689964928203</f>
        <v>-1416.1133924048499</v>
      </c>
      <c r="P2105">
        <f>-597.198312039699 -252.341854755533 -279.909774618849</f>
        <v>-1129.449941414081</v>
      </c>
      <c r="Q2105">
        <f>-532.216770916186 -30.4910934659133 -347.810797970077</f>
        <v>-910.51866235217631</v>
      </c>
      <c r="R2105" t="s">
        <v>26330</v>
      </c>
      <c r="S2105" t="s">
        <v>26331</v>
      </c>
      <c r="T2105" t="s">
        <v>26332</v>
      </c>
      <c r="U2105" t="s">
        <v>26333</v>
      </c>
      <c r="V2105">
        <f>-688.882021087193 -94.0450960880878 -92.8468383710012</f>
        <v>-875.77395554628208</v>
      </c>
      <c r="W2105" t="s">
        <v>26334</v>
      </c>
      <c r="X2105" t="s">
        <v>26335</v>
      </c>
      <c r="Y2105" t="s">
        <v>26336</v>
      </c>
    </row>
    <row r="2106" spans="1:25" x14ac:dyDescent="0.3">
      <c r="A2106">
        <v>105250</v>
      </c>
      <c r="B2106" t="s">
        <v>26337</v>
      </c>
      <c r="C2106">
        <f>-726.829314932054 -4.81446921256065 -96.380325685917</f>
        <v>-828.02410983053164</v>
      </c>
      <c r="D2106">
        <f>-744.409456303378 -18.2943557604401 -210.070498212896</f>
        <v>-972.77431027671412</v>
      </c>
      <c r="E2106">
        <f>-752.634869133004 -21.3145399238672 -308.304294012224</f>
        <v>-1082.2537030690951</v>
      </c>
      <c r="F2106">
        <f>-757.771634524166 -20.9160998551706 -397.252000654224</f>
        <v>-1175.9397350335605</v>
      </c>
      <c r="G2106">
        <f>-760.213172411158 -17.3175466973507 -486.242617202566</f>
        <v>-1263.7733363110747</v>
      </c>
      <c r="H2106">
        <f>-760.741580615953 -8.98224176589906 -610.54475590353</f>
        <v>-1380.2685782853821</v>
      </c>
      <c r="I2106" t="s">
        <v>26338</v>
      </c>
      <c r="J2106" t="s">
        <v>26339</v>
      </c>
      <c r="K2106" t="s">
        <v>26340</v>
      </c>
      <c r="L2106" t="s">
        <v>26341</v>
      </c>
      <c r="M2106" t="s">
        <v>26342</v>
      </c>
      <c r="N2106">
        <f>-752.191836714994 -39.0200158012485 -557.649170411377</f>
        <v>-1348.8610229276196</v>
      </c>
      <c r="O2106">
        <f>-709.743951769867 -168.365557691068 -538.556282104368</f>
        <v>-1416.6657915653032</v>
      </c>
      <c r="P2106">
        <f>-598.2462898223 -252.476615388799 -279.54877378656</f>
        <v>-1130.2716789976589</v>
      </c>
      <c r="Q2106">
        <f>-532.545585511231 -30.9039397174067 -347.665582551996</f>
        <v>-911.11510778063371</v>
      </c>
      <c r="R2106" t="s">
        <v>26343</v>
      </c>
      <c r="S2106" t="s">
        <v>26344</v>
      </c>
      <c r="T2106" t="s">
        <v>26345</v>
      </c>
      <c r="U2106" t="s">
        <v>26346</v>
      </c>
      <c r="V2106">
        <f>-688.985200531255 -93.9049885088432 -92.8551449511137</f>
        <v>-875.74533399121196</v>
      </c>
      <c r="W2106" t="s">
        <v>26347</v>
      </c>
      <c r="X2106" t="s">
        <v>26348</v>
      </c>
      <c r="Y2106" t="s">
        <v>26349</v>
      </c>
    </row>
    <row r="2107" spans="1:25" x14ac:dyDescent="0.3">
      <c r="A2107">
        <v>105300</v>
      </c>
      <c r="B2107" t="s">
        <v>26350</v>
      </c>
      <c r="C2107">
        <f>-726.956201104508 -4.80676997363207 -96.4028986882398</f>
        <v>-828.16586976637984</v>
      </c>
      <c r="D2107">
        <f>-744.586931999547 -18.2566627119841 -210.088797906188</f>
        <v>-972.93239261771907</v>
      </c>
      <c r="E2107">
        <f>-752.924448836311 -21.3829251619875 -308.309733488233</f>
        <v>-1082.6171074865315</v>
      </c>
      <c r="F2107">
        <f>-758.19305653304 -21.1308388614375 -397.25036004518</f>
        <v>-1176.5742554396575</v>
      </c>
      <c r="G2107">
        <f>-760.797425491249 -17.7291979011636 -486.24404191955</f>
        <v>-1264.7706653119626</v>
      </c>
      <c r="H2107">
        <f>-761.586554091875 -9.72136935096205 -610.56658559815</f>
        <v>-1381.874509040987</v>
      </c>
      <c r="I2107" t="s">
        <v>26351</v>
      </c>
      <c r="J2107" t="s">
        <v>26352</v>
      </c>
      <c r="K2107" t="s">
        <v>26353</v>
      </c>
      <c r="L2107" t="s">
        <v>26354</v>
      </c>
      <c r="M2107" t="s">
        <v>26355</v>
      </c>
      <c r="N2107">
        <f>-753.019008276983 -39.6486824663912 -557.611273265794</f>
        <v>-1350.2789640091682</v>
      </c>
      <c r="O2107">
        <f>-711.029960178627 -169.100422789741 -538.22338574205</f>
        <v>-1418.3537687104181</v>
      </c>
      <c r="P2107">
        <f>-600.698859277796 -252.940189755891 -278.629112312295</f>
        <v>-1132.268161345982</v>
      </c>
      <c r="Q2107">
        <f>-533.279748910338 -32.0736909506606 -347.357480405413</f>
        <v>-912.71092026641168</v>
      </c>
      <c r="R2107" t="s">
        <v>26356</v>
      </c>
      <c r="S2107" t="s">
        <v>26357</v>
      </c>
      <c r="T2107" t="s">
        <v>26358</v>
      </c>
      <c r="U2107" t="s">
        <v>26359</v>
      </c>
      <c r="V2107">
        <f>-689.316708655183 -94.0294799511498 -92.8538398708109</f>
        <v>-876.20002847714375</v>
      </c>
      <c r="W2107" t="s">
        <v>26360</v>
      </c>
      <c r="X2107" t="s">
        <v>26361</v>
      </c>
      <c r="Y2107" t="s">
        <v>26362</v>
      </c>
    </row>
    <row r="2108" spans="1:25" x14ac:dyDescent="0.3">
      <c r="A2108">
        <v>105350</v>
      </c>
      <c r="B2108" t="s">
        <v>26363</v>
      </c>
      <c r="C2108">
        <f>-727.081420847517 -4.80202273474856 -96.406519775268</f>
        <v>-828.28996335753357</v>
      </c>
      <c r="D2108">
        <f>-744.699083070018 -18.1902791345533 -210.101650103027</f>
        <v>-972.99101230759834</v>
      </c>
      <c r="E2108">
        <f>-753.046295502518 -21.3620220574353 -308.320403531262</f>
        <v>-1082.7287210912152</v>
      </c>
      <c r="F2108">
        <f>-758.333958236466 -21.1892417499957 -397.26001657874</f>
        <v>-1176.7832165652017</v>
      </c>
      <c r="G2108">
        <f>-760.968736603055 -17.9047989909618 -486.257227856974</f>
        <v>-1265.1307634509908</v>
      </c>
      <c r="H2108">
        <f>-761.812813736581 -10.1008092860932 -610.592179964695</f>
        <v>-1382.5058029873692</v>
      </c>
      <c r="I2108" t="s">
        <v>26364</v>
      </c>
      <c r="J2108" t="s">
        <v>26365</v>
      </c>
      <c r="K2108" t="s">
        <v>26366</v>
      </c>
      <c r="L2108" t="s">
        <v>26367</v>
      </c>
      <c r="M2108" t="s">
        <v>26368</v>
      </c>
      <c r="N2108">
        <f>-753.278032172877 -39.958665244402 -557.592455704144</f>
        <v>-1350.8291531214231</v>
      </c>
      <c r="O2108">
        <f>-711.585214742382 -169.484855278952 -538.029165636286</f>
        <v>-1419.0992356576201</v>
      </c>
      <c r="P2108">
        <f>-602.185306697272 -253.182590486685 -277.995414815019</f>
        <v>-1133.3633119989759</v>
      </c>
      <c r="Q2108">
        <f>-533.736699984234 -32.7700087910762 -347.162013805507</f>
        <v>-913.66872258081708</v>
      </c>
      <c r="R2108" t="s">
        <v>26369</v>
      </c>
      <c r="S2108" t="s">
        <v>26370</v>
      </c>
      <c r="T2108" t="s">
        <v>26371</v>
      </c>
      <c r="U2108" t="s">
        <v>26372</v>
      </c>
      <c r="V2108">
        <f>-689.630129372028 -93.8263776554036 -92.8570099359729</f>
        <v>-876.31351696340448</v>
      </c>
      <c r="W2108" t="s">
        <v>26373</v>
      </c>
      <c r="X2108" t="s">
        <v>26374</v>
      </c>
      <c r="Y2108" t="s">
        <v>26375</v>
      </c>
    </row>
    <row r="2109" spans="1:25" x14ac:dyDescent="0.3">
      <c r="A2109">
        <v>105400</v>
      </c>
      <c r="B2109" t="s">
        <v>26376</v>
      </c>
      <c r="C2109">
        <f>-727.834206348087 -4.93221091597457 -96.3712337975354</f>
        <v>-829.13765106159701</v>
      </c>
      <c r="D2109">
        <f>-745.305507014679 -17.9918707477316 -210.127211870837</f>
        <v>-973.42458963324759</v>
      </c>
      <c r="E2109">
        <f>-753.485988253391 -21.1906719826377 -308.359072522617</f>
        <v>-1083.0357327586457</v>
      </c>
      <c r="F2109">
        <f>-758.61398794456 -21.1618398033252 -397.30820355194</f>
        <v>-1177.0840312998253</v>
      </c>
      <c r="G2109">
        <f>-761.082575772145 -18.143146347536 -486.319640514166</f>
        <v>-1265.5453626338469</v>
      </c>
      <c r="H2109">
        <f>-761.69049980845 -10.8367760752458 -610.686251125491</f>
        <v>-1383.2135270091867</v>
      </c>
      <c r="I2109" t="s">
        <v>26377</v>
      </c>
      <c r="J2109" t="s">
        <v>26378</v>
      </c>
      <c r="K2109" t="s">
        <v>26379</v>
      </c>
      <c r="L2109" t="s">
        <v>26380</v>
      </c>
      <c r="M2109" t="s">
        <v>26381</v>
      </c>
      <c r="N2109">
        <f>-753.420718925325 -40.5322319077968 -557.553430137265</f>
        <v>-1351.5063809703868</v>
      </c>
      <c r="O2109">
        <f>-712.564669993229 -170.231580471375 -537.461962608973</f>
        <v>-1420.2582130735768</v>
      </c>
      <c r="P2109">
        <f>-605.627310384742 -253.984499349513 -276.423603124141</f>
        <v>-1136.0354128583961</v>
      </c>
      <c r="Q2109">
        <f>-534.568536825713 -34.6677998638072 -346.435881243435</f>
        <v>-915.67221793295516</v>
      </c>
      <c r="R2109" t="s">
        <v>26382</v>
      </c>
      <c r="S2109" t="s">
        <v>26383</v>
      </c>
      <c r="T2109" t="s">
        <v>26384</v>
      </c>
      <c r="U2109" t="s">
        <v>26385</v>
      </c>
      <c r="V2109">
        <f>-690.729820650322 -94.0554495846618 -92.8641857503816</f>
        <v>-877.64945598536542</v>
      </c>
      <c r="W2109" t="s">
        <v>26386</v>
      </c>
      <c r="X2109" t="s">
        <v>26387</v>
      </c>
      <c r="Y2109" t="s">
        <v>26388</v>
      </c>
    </row>
    <row r="2110" spans="1:25" x14ac:dyDescent="0.3">
      <c r="A2110">
        <v>105450</v>
      </c>
      <c r="B2110" t="s">
        <v>26389</v>
      </c>
      <c r="C2110">
        <f>-728.166421887346 -5.04108001981581 -96.3799987762773</f>
        <v>-829.58750068343909</v>
      </c>
      <c r="D2110">
        <f>-745.51726635766 -17.930905283745 -210.17383867419</f>
        <v>-973.62201031559493</v>
      </c>
      <c r="E2110">
        <f>-753.5457006857 -21.126188062329 -308.418306803686</f>
        <v>-1083.0901955517149</v>
      </c>
      <c r="F2110">
        <f>-758.519940142474 -21.1496219679834 -397.376177550419</f>
        <v>-1177.0457396608763</v>
      </c>
      <c r="G2110">
        <f>-760.819023027654 -18.239989372941 -486.395762265708</f>
        <v>-1265.4547746663029</v>
      </c>
      <c r="H2110">
        <f>-761.17491070144 -11.1459902010972 -610.77576969799</f>
        <v>-1383.0966706005272</v>
      </c>
      <c r="I2110" t="s">
        <v>26390</v>
      </c>
      <c r="J2110" t="s">
        <v>26391</v>
      </c>
      <c r="K2110" t="s">
        <v>26392</v>
      </c>
      <c r="L2110" t="s">
        <v>26393</v>
      </c>
      <c r="M2110" t="s">
        <v>26394</v>
      </c>
      <c r="N2110">
        <f>-753.126948950497 -40.7849232393835 -557.577197602176</f>
        <v>-1351.4890697920564</v>
      </c>
      <c r="O2110">
        <f>-712.902229097511 -170.63819217318 -537.182072379175</f>
        <v>-1420.722493649866</v>
      </c>
      <c r="P2110">
        <f>-607.545617801201 -254.569677739284 -275.558739438546</f>
        <v>-1137.6740349790311</v>
      </c>
      <c r="Q2110">
        <f>-534.821922533118 -35.9098742800147 -345.915556137356</f>
        <v>-916.64735295048877</v>
      </c>
      <c r="R2110" t="s">
        <v>26395</v>
      </c>
      <c r="S2110" t="s">
        <v>26396</v>
      </c>
      <c r="T2110" t="s">
        <v>26397</v>
      </c>
      <c r="U2110" t="s">
        <v>26398</v>
      </c>
      <c r="V2110">
        <f>-691.401964711373 -94.4023026662821 -92.8787218522085</f>
        <v>-878.68298922986367</v>
      </c>
      <c r="W2110" t="s">
        <v>26399</v>
      </c>
      <c r="X2110" t="s">
        <v>26400</v>
      </c>
      <c r="Y2110" t="s">
        <v>26401</v>
      </c>
    </row>
    <row r="2111" spans="1:25" x14ac:dyDescent="0.3">
      <c r="A2111">
        <v>105500</v>
      </c>
      <c r="B2111" t="s">
        <v>26402</v>
      </c>
      <c r="C2111">
        <f>-728.923518103786 -4.43686521241648 -96.4754470503827</f>
        <v>-829.83583036658524</v>
      </c>
      <c r="D2111">
        <f>-745.971728863867 -17.0349004506738 -210.347586813734</f>
        <v>-973.35421612827486</v>
      </c>
      <c r="E2111">
        <f>-753.62013762222 -20.1571014178251 -308.624834335227</f>
        <v>-1082.402073375272</v>
      </c>
      <c r="F2111">
        <f>-758.204703931983 -20.1844291423515 -397.603557040728</f>
        <v>-1175.9926901150625</v>
      </c>
      <c r="G2111">
        <f>-760.068023796816 -17.3534186963718 -486.63583815047</f>
        <v>-1264.0572806436578</v>
      </c>
      <c r="H2111">
        <f>-759.766858882468 -10.4493231659471 -611.026593430544</f>
        <v>-1381.2427754789592</v>
      </c>
      <c r="I2111" t="s">
        <v>26403</v>
      </c>
      <c r="J2111" t="s">
        <v>26404</v>
      </c>
      <c r="K2111" t="s">
        <v>26405</v>
      </c>
      <c r="L2111" t="s">
        <v>26406</v>
      </c>
      <c r="M2111" t="s">
        <v>26407</v>
      </c>
      <c r="N2111">
        <f>-752.24531582132 -40.0784846388271 -557.745842578652</f>
        <v>-1350.0696430387991</v>
      </c>
      <c r="O2111">
        <f>-713.389142914822 -170.282316801107 -536.865483042201</f>
        <v>-1420.53694275813</v>
      </c>
      <c r="P2111">
        <f>-611.838291937068 -254.941396770417 -273.974791603256</f>
        <v>-1140.754480310741</v>
      </c>
      <c r="Q2111">
        <f>-535.541426809785 -37.6855099283991 -344.893810287536</f>
        <v>-918.12074702572011</v>
      </c>
      <c r="R2111" t="s">
        <v>26408</v>
      </c>
      <c r="S2111" t="s">
        <v>26409</v>
      </c>
      <c r="T2111" t="s">
        <v>26410</v>
      </c>
      <c r="U2111" t="s">
        <v>26411</v>
      </c>
      <c r="V2111">
        <f>-692.709049546714 -93.8989068257731 -92.9815089720846</f>
        <v>-879.58946534457175</v>
      </c>
      <c r="W2111" t="s">
        <v>26412</v>
      </c>
      <c r="X2111" t="s">
        <v>26413</v>
      </c>
      <c r="Y2111" t="s">
        <v>26414</v>
      </c>
    </row>
    <row r="2112" spans="1:25" x14ac:dyDescent="0.3">
      <c r="A2112">
        <v>105550</v>
      </c>
      <c r="B2112" t="s">
        <v>26415</v>
      </c>
      <c r="C2112">
        <f>-729.340693027009 -3.95882556474999 -96.5172582310109</f>
        <v>-829.81677682276995</v>
      </c>
      <c r="D2112">
        <f>-746.231329445425 -16.4227986142341 -210.427622445719</f>
        <v>-973.08175050537807</v>
      </c>
      <c r="E2112">
        <f>-753.67089856396 -19.4881763573708 -308.722718109246</f>
        <v>-1081.8817930305768</v>
      </c>
      <c r="F2112">
        <f>-758.037891733849 -19.4873493861846 -397.712418663467</f>
        <v>-1175.2376597835007</v>
      </c>
      <c r="G2112">
        <f>-759.654359932303 -16.653780850671 -486.74947803402</f>
        <v>-1263.0576188169939</v>
      </c>
      <c r="H2112">
        <f>-758.978156789742 -9.773861863599 -611.140163217543</f>
        <v>-1379.8921818708841</v>
      </c>
      <c r="I2112" t="s">
        <v>26416</v>
      </c>
      <c r="J2112" t="s">
        <v>26417</v>
      </c>
      <c r="K2112" t="s">
        <v>26418</v>
      </c>
      <c r="L2112" t="s">
        <v>26419</v>
      </c>
      <c r="M2112" t="s">
        <v>26420</v>
      </c>
      <c r="N2112">
        <f>-751.715093884987 -39.4206258727202 -557.833089711405</f>
        <v>-1348.9688094691123</v>
      </c>
      <c r="O2112">
        <f>-713.453181225706 -169.767094299192 -536.801659139527</f>
        <v>-1420.0219346644249</v>
      </c>
      <c r="P2112">
        <f>-613.937681508443 -254.979903092417 -273.312313602798</f>
        <v>-1142.229898203658</v>
      </c>
      <c r="Q2112">
        <f>-535.949764488875 -38.3547167022259 -344.321698246095</f>
        <v>-918.6261794371959</v>
      </c>
      <c r="R2112" t="s">
        <v>26421</v>
      </c>
      <c r="S2112" t="s">
        <v>26422</v>
      </c>
      <c r="T2112" t="s">
        <v>26423</v>
      </c>
      <c r="U2112" t="s">
        <v>26424</v>
      </c>
      <c r="V2112">
        <f>-693.281616657929 -93.4659636029176 -93.0217377980701</f>
        <v>-879.76931805891672</v>
      </c>
      <c r="W2112" t="s">
        <v>26425</v>
      </c>
      <c r="X2112" t="s">
        <v>26426</v>
      </c>
      <c r="Y2112" t="s">
        <v>26427</v>
      </c>
    </row>
    <row r="2113" spans="1:25" x14ac:dyDescent="0.3">
      <c r="A2113">
        <v>105600</v>
      </c>
      <c r="B2113" t="s">
        <v>26428</v>
      </c>
      <c r="C2113">
        <f>-729.847977973979 -3.33262661365779 -96.5264876360162</f>
        <v>-829.70709222365304</v>
      </c>
      <c r="D2113">
        <f>-746.476098307477 -15.6464267555739 -210.491904456096</f>
        <v>-972.61442951914682</v>
      </c>
      <c r="E2113">
        <f>-753.589607108863 -18.679476812179 -308.812011687415</f>
        <v>-1081.081095608457</v>
      </c>
      <c r="F2113">
        <f>-757.622116908122 -18.6885152445527 -397.817435424243</f>
        <v>-1174.1280675769178</v>
      </c>
      <c r="G2113">
        <f>-758.864048582104 -15.9070262122318 -486.862156494619</f>
        <v>-1261.6332312889549</v>
      </c>
      <c r="H2113">
        <f>-757.622124692784 -9.14586224109644 -611.255048552667</f>
        <v>-1378.0230354865475</v>
      </c>
      <c r="I2113" t="s">
        <v>26429</v>
      </c>
      <c r="J2113" t="s">
        <v>26430</v>
      </c>
      <c r="K2113" t="s">
        <v>26431</v>
      </c>
      <c r="L2113" t="s">
        <v>26432</v>
      </c>
      <c r="M2113" t="s">
        <v>26433</v>
      </c>
      <c r="N2113">
        <f>-750.744127315902 -38.7815537062897 -557.890804990234</f>
        <v>-1347.4164860124256</v>
      </c>
      <c r="O2113">
        <f>-713.280267879958 -169.324414655176 -536.623995542455</f>
        <v>-1419.2286780775889</v>
      </c>
      <c r="P2113">
        <f>-617.037694325769 -255.401814721671 -272.201580664058</f>
        <v>-1144.6410897114981</v>
      </c>
      <c r="Q2113">
        <f>-536.420010332175 -39.6325770799845 -342.878762463661</f>
        <v>-918.9313498758205</v>
      </c>
      <c r="R2113" t="s">
        <v>26434</v>
      </c>
      <c r="S2113" t="s">
        <v>26435</v>
      </c>
      <c r="T2113" t="s">
        <v>26436</v>
      </c>
      <c r="U2113" t="s">
        <v>26437</v>
      </c>
      <c r="V2113">
        <f>-694.242811233864 -92.7172310435224 -93.0185865155795</f>
        <v>-879.97862879296588</v>
      </c>
      <c r="W2113" t="s">
        <v>26438</v>
      </c>
      <c r="X2113" t="s">
        <v>26439</v>
      </c>
      <c r="Y2113" t="s">
        <v>26440</v>
      </c>
    </row>
    <row r="2114" spans="1:25" x14ac:dyDescent="0.3">
      <c r="A2114">
        <v>105650</v>
      </c>
      <c r="B2114" t="s">
        <v>26441</v>
      </c>
      <c r="C2114">
        <f>-730.170169608813 -3.16309890458456 -96.5021404634775</f>
        <v>-829.8354089768751</v>
      </c>
      <c r="D2114">
        <f>-746.712855319663 -15.4051606343096 -210.487566518914</f>
        <v>-972.60558247288668</v>
      </c>
      <c r="E2114">
        <f>-753.718245301529 -18.4225496334732 -308.81598817024</f>
        <v>-1080.9567831052423</v>
      </c>
      <c r="F2114">
        <f>-757.640217077865 -18.4354723120557 -397.826523549393</f>
        <v>-1173.9022129393138</v>
      </c>
      <c r="G2114">
        <f>-758.758824451723 -15.6767466991428 -486.87353199739</f>
        <v>-1261.3091031482556</v>
      </c>
      <c r="H2114">
        <f>-757.331756677364 -8.96721778543224 -611.26711221327</f>
        <v>-1377.5660866760663</v>
      </c>
      <c r="I2114" t="s">
        <v>26442</v>
      </c>
      <c r="J2114" t="s">
        <v>26443</v>
      </c>
      <c r="K2114" t="s">
        <v>26444</v>
      </c>
      <c r="L2114" t="s">
        <v>26445</v>
      </c>
      <c r="M2114" t="s">
        <v>26446</v>
      </c>
      <c r="N2114">
        <f>-750.573224214075 -38.5917828909544 -557.881493963807</f>
        <v>-1347.0465010688363</v>
      </c>
      <c r="O2114">
        <f>-713.334876617933 -169.177428264743 -536.492498176633</f>
        <v>-1419.0048030593091</v>
      </c>
      <c r="P2114">
        <f>-618.130044697369 -255.47716319713 -271.766926667676</f>
        <v>-1145.3741345621752</v>
      </c>
      <c r="Q2114">
        <f>-536.68336142508 -39.9353793008092 -342.187606074593</f>
        <v>-918.80634680048229</v>
      </c>
      <c r="R2114" t="s">
        <v>26447</v>
      </c>
      <c r="S2114" t="s">
        <v>26448</v>
      </c>
      <c r="T2114" t="s">
        <v>26449</v>
      </c>
      <c r="U2114" t="s">
        <v>26450</v>
      </c>
      <c r="V2114">
        <f>-694.730752576983 -92.4897812596203 -93.001896487075</f>
        <v>-880.22243032367828</v>
      </c>
      <c r="W2114" t="s">
        <v>26451</v>
      </c>
      <c r="X2114" t="s">
        <v>26452</v>
      </c>
      <c r="Y2114" t="s">
        <v>26453</v>
      </c>
    </row>
    <row r="2115" spans="1:25" x14ac:dyDescent="0.3">
      <c r="A2115">
        <v>105700</v>
      </c>
      <c r="B2115" t="s">
        <v>26454</v>
      </c>
      <c r="C2115">
        <f>-730.52665737721 -3.19940143035114 -96.4036984949823</f>
        <v>-830.12975730254345</v>
      </c>
      <c r="D2115">
        <f>-746.983123489739 -15.3152343202132 -210.415195420971</f>
        <v>-972.71355323092325</v>
      </c>
      <c r="E2115">
        <f>-753.881248018776 -18.3169915828653 -308.751656595448</f>
        <v>-1080.9498961970894</v>
      </c>
      <c r="F2115">
        <f>-757.695433745761 -18.3514262208889 -397.766777124768</f>
        <v>-1173.8136370914178</v>
      </c>
      <c r="G2115">
        <f>-758.696628709575 -15.6504873510053 -486.816966276219</f>
        <v>-1261.1640823367993</v>
      </c>
      <c r="H2115">
        <f>-757.096323104075 -9.05924537199371 -611.214811836799</f>
        <v>-1377.3703803128678</v>
      </c>
      <c r="I2115" t="s">
        <v>26455</v>
      </c>
      <c r="J2115" t="s">
        <v>26456</v>
      </c>
      <c r="K2115" t="s">
        <v>26457</v>
      </c>
      <c r="L2115" t="s">
        <v>26458</v>
      </c>
      <c r="M2115" t="s">
        <v>26459</v>
      </c>
      <c r="N2115">
        <f>-750.453912486973 -38.6444966932725 -557.7928624631</f>
        <v>-1346.8912716433456</v>
      </c>
      <c r="O2115">
        <f>-713.441659528953 -169.250707110986 -536.191299613976</f>
        <v>-1418.883666253915</v>
      </c>
      <c r="P2115">
        <f>-619.559601501087 -255.41566355547 -270.949956260601</f>
        <v>-1145.925221317158</v>
      </c>
      <c r="Q2115">
        <f>-537.16851890333 -40.156344282881 -341.135027694353</f>
        <v>-918.45989088056399</v>
      </c>
      <c r="R2115" t="s">
        <v>26460</v>
      </c>
      <c r="S2115" t="s">
        <v>26461</v>
      </c>
      <c r="T2115" t="s">
        <v>26462</v>
      </c>
      <c r="U2115" t="s">
        <v>26463</v>
      </c>
      <c r="V2115">
        <f>-695.267293130437 -92.6865130156332 -92.9761465126614</f>
        <v>-880.92995265873162</v>
      </c>
      <c r="W2115" t="s">
        <v>26464</v>
      </c>
      <c r="X2115" t="s">
        <v>26465</v>
      </c>
      <c r="Y2115" t="s">
        <v>26466</v>
      </c>
    </row>
    <row r="2116" spans="1:25" x14ac:dyDescent="0.3">
      <c r="A2116">
        <v>105750</v>
      </c>
      <c r="B2116" t="s">
        <v>26467</v>
      </c>
      <c r="C2116">
        <f>-730.573899588651 -3.24516830868652 -96.3622601276829</f>
        <v>-830.18132802502043</v>
      </c>
      <c r="D2116">
        <f>-747.021485486798 -15.3425928363822 -210.377021452879</f>
        <v>-972.74109977605929</v>
      </c>
      <c r="E2116">
        <f>-753.913539987956 -18.3595640298843 -308.713445504716</f>
        <v>-1080.9865495225563</v>
      </c>
      <c r="F2116">
        <f>-757.723511051899 -18.4201991705193 -397.728684598525</f>
        <v>-1173.8723948209431</v>
      </c>
      <c r="G2116">
        <f>-758.72176228405 -15.7576377328796 -486.780116813156</f>
        <v>-1261.2595168300857</v>
      </c>
      <c r="H2116">
        <f>-757.119369407848 -9.2331000066074 -611.181416337667</f>
        <v>-1377.5338857521224</v>
      </c>
      <c r="I2116" t="s">
        <v>26468</v>
      </c>
      <c r="J2116" t="s">
        <v>26469</v>
      </c>
      <c r="K2116" t="s">
        <v>26470</v>
      </c>
      <c r="L2116" t="s">
        <v>26471</v>
      </c>
      <c r="M2116" t="s">
        <v>26472</v>
      </c>
      <c r="N2116">
        <f>-750.482885487766 -38.7910502834879 -557.743676255076</f>
        <v>-1347.01761202633</v>
      </c>
      <c r="O2116">
        <f>-713.504941723354 -169.401743103205 -536.065663719584</f>
        <v>-1418.9723485461432</v>
      </c>
      <c r="P2116">
        <f>-620.092194414101 -255.279010402478 -270.565572867503</f>
        <v>-1145.936777684082</v>
      </c>
      <c r="Q2116">
        <f>-537.361439960791 -40.1917901287375 -340.878904765657</f>
        <v>-918.4321348551855</v>
      </c>
      <c r="R2116" t="s">
        <v>26473</v>
      </c>
      <c r="S2116" t="s">
        <v>26474</v>
      </c>
      <c r="T2116" t="s">
        <v>26475</v>
      </c>
      <c r="U2116" t="s">
        <v>26476</v>
      </c>
      <c r="V2116">
        <f>-695.348633221904 -92.771275530185 -92.9595056569078</f>
        <v>-881.07941440899685</v>
      </c>
      <c r="W2116" t="s">
        <v>26477</v>
      </c>
      <c r="X2116" t="s">
        <v>26478</v>
      </c>
      <c r="Y2116" t="s">
        <v>26479</v>
      </c>
    </row>
    <row r="2117" spans="1:25" x14ac:dyDescent="0.3">
      <c r="A2117">
        <v>105800</v>
      </c>
      <c r="B2117" t="s">
        <v>26480</v>
      </c>
      <c r="C2117">
        <f>-730.471610014519 -3.32607074265343 -96.2675195282668</f>
        <v>-830.06520028543923</v>
      </c>
      <c r="D2117">
        <f>-746.92175506343 -15.4246956897871 -210.281734491446</f>
        <v>-972.6281852446632</v>
      </c>
      <c r="E2117">
        <f>-753.84944646979 -18.4562913697375 -308.615212292722</f>
        <v>-1080.9209501322496</v>
      </c>
      <c r="F2117">
        <f>-757.70507368821 -18.535604810713 -397.628522249921</f>
        <v>-1173.8692007488439</v>
      </c>
      <c r="G2117">
        <f>-758.762814392146 -15.8967686588792 -486.679984553823</f>
        <v>-1261.3395676048481</v>
      </c>
      <c r="H2117">
        <f>-757.257654332637 -9.41004703849103 -611.084416398738</f>
        <v>-1377.7521177698659</v>
      </c>
      <c r="I2117" t="s">
        <v>26481</v>
      </c>
      <c r="J2117" t="s">
        <v>26482</v>
      </c>
      <c r="K2117" t="s">
        <v>26483</v>
      </c>
      <c r="L2117" t="s">
        <v>26484</v>
      </c>
      <c r="M2117" t="s">
        <v>26485</v>
      </c>
      <c r="N2117">
        <f>-750.550058879522 -38.943715988657 -557.642056477182</f>
        <v>-1347.1358313453611</v>
      </c>
      <c r="O2117">
        <f>-713.454002871763 -169.517107211803 -535.917399060378</f>
        <v>-1418.888509143944</v>
      </c>
      <c r="P2117">
        <f>-621.042893498451 -254.805909625 -269.877648658465</f>
        <v>-1145.726451781916</v>
      </c>
      <c r="Q2117">
        <f>-537.677174981187 -40.0406039398333 -340.42450212909</f>
        <v>-918.14228105011034</v>
      </c>
      <c r="R2117" t="s">
        <v>26486</v>
      </c>
      <c r="S2117" t="s">
        <v>26487</v>
      </c>
      <c r="T2117" t="s">
        <v>26488</v>
      </c>
      <c r="U2117" t="s">
        <v>26489</v>
      </c>
      <c r="V2117">
        <f>-695.047244229836 -92.8475135482988 -92.8912016671931</f>
        <v>-880.78595944532788</v>
      </c>
      <c r="W2117" t="s">
        <v>26490</v>
      </c>
      <c r="X2117" t="s">
        <v>26491</v>
      </c>
      <c r="Y2117" t="s">
        <v>26492</v>
      </c>
    </row>
    <row r="2118" spans="1:25" x14ac:dyDescent="0.3">
      <c r="A2118">
        <v>105850</v>
      </c>
      <c r="B2118" t="s">
        <v>26493</v>
      </c>
      <c r="C2118">
        <f>-730.310929783937 -3.37356413329098 -96.225484744483</f>
        <v>-829.90997866171097</v>
      </c>
      <c r="D2118">
        <f>-746.74428099351 -15.5117507365226 -210.237915655399</f>
        <v>-972.49394738543151</v>
      </c>
      <c r="E2118">
        <f>-753.678306216544 -18.5552076690005 -308.570638215749</f>
        <v>-1080.8041521012935</v>
      </c>
      <c r="F2118">
        <f>-757.54752602794 -18.6368192251407 -397.583294930827</f>
        <v>-1173.7676401839076</v>
      </c>
      <c r="G2118">
        <f>-758.627008648403 -15.9909991279837 -486.634290192932</f>
        <v>-1261.2522979693188</v>
      </c>
      <c r="H2118">
        <f>-757.160696700992 -9.48440524121293 -611.038216257836</f>
        <v>-1377.683318200041</v>
      </c>
      <c r="I2118" t="s">
        <v>26494</v>
      </c>
      <c r="J2118" t="s">
        <v>26495</v>
      </c>
      <c r="K2118" t="s">
        <v>26496</v>
      </c>
      <c r="L2118" t="s">
        <v>26497</v>
      </c>
      <c r="M2118" t="s">
        <v>26498</v>
      </c>
      <c r="N2118">
        <f>-750.40479118968 -39.0179396509507 -557.601824034489</f>
        <v>-1347.0245548751197</v>
      </c>
      <c r="O2118">
        <f>-713.164016407874 -169.551341300509 -535.889064379839</f>
        <v>-1418.604422088222</v>
      </c>
      <c r="P2118">
        <f>-621.298211707562 -254.572114781769 -269.574724272311</f>
        <v>-1145.4450507616421</v>
      </c>
      <c r="Q2118">
        <f>-537.60764456912 -39.9432731046415 -340.15220088606</f>
        <v>-917.70311855982152</v>
      </c>
      <c r="R2118" t="s">
        <v>26499</v>
      </c>
      <c r="S2118" t="s">
        <v>26500</v>
      </c>
      <c r="T2118" t="s">
        <v>26501</v>
      </c>
      <c r="U2118" t="s">
        <v>26502</v>
      </c>
      <c r="V2118">
        <f>-694.812921533636 -92.7026473236917 -92.8641334694374</f>
        <v>-880.37970232676514</v>
      </c>
      <c r="W2118" t="s">
        <v>26503</v>
      </c>
      <c r="X2118" t="s">
        <v>26504</v>
      </c>
      <c r="Y2118" t="s">
        <v>26505</v>
      </c>
    </row>
    <row r="2119" spans="1:25" x14ac:dyDescent="0.3">
      <c r="A2119">
        <v>105900</v>
      </c>
      <c r="B2119" t="s">
        <v>26506</v>
      </c>
      <c r="C2119">
        <f>-730.409988933732 -3.26080212009424 -96.2181172685761</f>
        <v>-829.88890832240236</v>
      </c>
      <c r="D2119">
        <f>-746.830419699974 -15.4319060508483 -210.228913165048</f>
        <v>-972.49123891587021</v>
      </c>
      <c r="E2119">
        <f>-753.785066232924 -18.4807302206261 -308.559928871482</f>
        <v>-1080.8257253250322</v>
      </c>
      <c r="F2119">
        <f>-757.685594142355 -18.5579346519874 -397.571354829309</f>
        <v>-1173.8148836236512</v>
      </c>
      <c r="G2119">
        <f>-758.809429827359 -15.8970739490239 -486.621289640902</f>
        <v>-1261.327793417285</v>
      </c>
      <c r="H2119">
        <f>-757.419235998289 -9.35813859230802 -611.024322925936</f>
        <v>-1377.8016975165328</v>
      </c>
      <c r="I2119" t="s">
        <v>26507</v>
      </c>
      <c r="J2119" t="s">
        <v>26508</v>
      </c>
      <c r="K2119" t="s">
        <v>26509</v>
      </c>
      <c r="L2119" t="s">
        <v>26510</v>
      </c>
      <c r="M2119" t="s">
        <v>26511</v>
      </c>
      <c r="N2119">
        <f>-750.557044388881 -38.885079346458 -557.597914626021</f>
        <v>-1347.0400383613601</v>
      </c>
      <c r="O2119">
        <f>-712.982362010883 -169.317951354814 -535.870075384082</f>
        <v>-1418.170388749779</v>
      </c>
      <c r="P2119">
        <f>-622.138920755436 -253.955013989408 -269.083172998868</f>
        <v>-1145.177107743712</v>
      </c>
      <c r="Q2119">
        <f>-537.705593601648 -39.6050880716134 -339.623469025791</f>
        <v>-916.93415069905245</v>
      </c>
      <c r="R2119" t="s">
        <v>26512</v>
      </c>
      <c r="S2119" t="s">
        <v>26513</v>
      </c>
      <c r="T2119" t="s">
        <v>26514</v>
      </c>
      <c r="U2119" t="s">
        <v>26515</v>
      </c>
      <c r="V2119">
        <f>-694.761619489726 -92.5276885824412 -92.8398352009963</f>
        <v>-880.12914327316344</v>
      </c>
      <c r="W2119" t="s">
        <v>26516</v>
      </c>
      <c r="X2119" t="s">
        <v>26517</v>
      </c>
      <c r="Y2119" t="s">
        <v>26518</v>
      </c>
    </row>
    <row r="2120" spans="1:25" x14ac:dyDescent="0.3">
      <c r="A2120">
        <v>105950</v>
      </c>
      <c r="B2120" t="s">
        <v>26519</v>
      </c>
      <c r="C2120">
        <f>-730.605147720159 -3.36725931118804 -96.2099819839111</f>
        <v>-830.1823890152582</v>
      </c>
      <c r="D2120">
        <f>-747.026707805023 -15.546198755146 -210.21975295949</f>
        <v>-972.79265951965886</v>
      </c>
      <c r="E2120">
        <f>-753.997433638164 -18.6125056264077 -308.549046937032</f>
        <v>-1081.1589862016037</v>
      </c>
      <c r="F2120">
        <f>-757.918980303744 -18.7096628680865 -397.559495717594</f>
        <v>-1174.1881388894244</v>
      </c>
      <c r="G2120">
        <f>-759.070863902449 -16.0722601848911 -486.609832702056</f>
        <v>-1261.7529567893962</v>
      </c>
      <c r="H2120">
        <f>-757.727124137107 -9.5693520623413 -611.015372690154</f>
        <v>-1378.3118488896023</v>
      </c>
      <c r="I2120" t="s">
        <v>26520</v>
      </c>
      <c r="J2120" t="s">
        <v>26521</v>
      </c>
      <c r="K2120" t="s">
        <v>26522</v>
      </c>
      <c r="L2120" t="s">
        <v>26523</v>
      </c>
      <c r="M2120" t="s">
        <v>26524</v>
      </c>
      <c r="N2120">
        <f>-750.816304637509 -39.0728835981324 -557.582193634207</f>
        <v>-1347.4713818698483</v>
      </c>
      <c r="O2120">
        <f>-713.127961377279 -169.461260583271 -535.81225027966</f>
        <v>-1418.4014722402101</v>
      </c>
      <c r="P2120">
        <f>-622.708350584521 -253.96264576854 -268.838398248884</f>
        <v>-1145.5093946019451</v>
      </c>
      <c r="Q2120">
        <f>-537.902694389264 -39.7502176742389 -339.350227228831</f>
        <v>-917.0031392923338</v>
      </c>
      <c r="R2120" t="s">
        <v>26525</v>
      </c>
      <c r="S2120" t="s">
        <v>26526</v>
      </c>
      <c r="T2120" t="s">
        <v>26527</v>
      </c>
      <c r="U2120" t="s">
        <v>26528</v>
      </c>
      <c r="V2120">
        <f>-694.834948332831 -92.6121186521216 -92.8308132633737</f>
        <v>-880.27788024832626</v>
      </c>
      <c r="W2120" t="s">
        <v>26529</v>
      </c>
      <c r="X2120" t="s">
        <v>26530</v>
      </c>
      <c r="Y2120" t="s">
        <v>26531</v>
      </c>
    </row>
    <row r="2121" spans="1:25" x14ac:dyDescent="0.3">
      <c r="A2121">
        <v>106000</v>
      </c>
      <c r="B2121" t="s">
        <v>26532</v>
      </c>
      <c r="C2121">
        <f>-730.961314269819 -3.88318434479811 -96.1845752295656</f>
        <v>-831.02907384418268</v>
      </c>
      <c r="D2121">
        <f>-747.418724887665 -16.0939961153965 -210.185717642225</f>
        <v>-973.6984386452865</v>
      </c>
      <c r="E2121">
        <f>-754.431229739982 -19.2521662097965 -308.509232093562</f>
        <v>-1082.1926280433404</v>
      </c>
      <c r="F2121">
        <f>-758.394952007669 -19.4596596736558 -397.517590683062</f>
        <v>-1175.3722023643868</v>
      </c>
      <c r="G2121">
        <f>-759.59344189437 -16.9600365090382 -486.571243944996</f>
        <v>-1263.1247223484042</v>
      </c>
      <c r="H2121">
        <f>-758.319769169148 -10.6782168892676 -610.988853887682</f>
        <v>-1379.9868399460975</v>
      </c>
      <c r="I2121" t="s">
        <v>26533</v>
      </c>
      <c r="J2121" t="s">
        <v>26534</v>
      </c>
      <c r="K2121" t="s">
        <v>26535</v>
      </c>
      <c r="L2121" t="s">
        <v>26536</v>
      </c>
      <c r="M2121" t="s">
        <v>26537</v>
      </c>
      <c r="N2121">
        <f>-751.353027433219 -40.0793425872687 -557.506613498182</f>
        <v>-1348.9389835186698</v>
      </c>
      <c r="O2121">
        <f>-713.565032715677 -170.412460098677 -535.566049074084</f>
        <v>-1419.5435418884381</v>
      </c>
      <c r="P2121">
        <f>-624.10663993807 -254.637413663313 -268.181342625815</f>
        <v>-1146.925396227198</v>
      </c>
      <c r="Q2121">
        <f>-538.538810372478 -40.7313198224722 -338.702184501833</f>
        <v>-917.9723146967832</v>
      </c>
      <c r="R2121" t="s">
        <v>26538</v>
      </c>
      <c r="S2121" t="s">
        <v>26539</v>
      </c>
      <c r="T2121" t="s">
        <v>26540</v>
      </c>
      <c r="U2121" t="s">
        <v>26541</v>
      </c>
      <c r="V2121">
        <f>-694.909542379496 -93.1418102652053 -92.8127711075713</f>
        <v>-880.86412375227258</v>
      </c>
      <c r="W2121" t="s">
        <v>26542</v>
      </c>
      <c r="X2121" t="s">
        <v>26543</v>
      </c>
      <c r="Y2121" t="s">
        <v>26544</v>
      </c>
    </row>
    <row r="2122" spans="1:25" x14ac:dyDescent="0.3">
      <c r="A2122">
        <v>106050</v>
      </c>
      <c r="B2122" t="s">
        <v>26545</v>
      </c>
      <c r="C2122">
        <f>-730.958149760393 -4.11827802431935 -96.1622078311182</f>
        <v>-831.2386356158305</v>
      </c>
      <c r="D2122">
        <f>-747.441091475123 -16.3390355435602 -210.158672072669</f>
        <v>-973.93879909135217</v>
      </c>
      <c r="E2122">
        <f>-754.458694580088 -19.5408252474008 -308.480332621705</f>
        <v>-1082.4798524491939</v>
      </c>
      <c r="F2122">
        <f>-758.419997544036 -19.8031766720085 -397.488658355393</f>
        <v>-1175.7118325714375</v>
      </c>
      <c r="G2122">
        <f>-759.609572809646 -17.3736038219549 -486.54433410599</f>
        <v>-1263.527510737591</v>
      </c>
      <c r="H2122">
        <f>-758.316092978411 -11.2058589967685 -610.96742657247</f>
        <v>-1380.4893785476495</v>
      </c>
      <c r="I2122">
        <f>-731.109777615639 -0.171352457166449 -688.704754123727</f>
        <v>-1419.9858841965324</v>
      </c>
      <c r="J2122" t="s">
        <v>26546</v>
      </c>
      <c r="K2122" t="s">
        <v>26547</v>
      </c>
      <c r="L2122" t="s">
        <v>26548</v>
      </c>
      <c r="M2122" t="s">
        <v>26549</v>
      </c>
      <c r="N2122">
        <f>-751.348222372515 -40.5552522736014 -557.456920690576</f>
        <v>-1349.3603953366924</v>
      </c>
      <c r="O2122">
        <f>-713.523566532036 -170.866474841553 -535.43105663457</f>
        <v>-1419.821098008159</v>
      </c>
      <c r="P2122">
        <f>-624.775336822032 -254.898376884991 -267.749141273023</f>
        <v>-1147.4228549800459</v>
      </c>
      <c r="Q2122">
        <f>-538.754919877802 -41.1298711252991 -338.13618799831</f>
        <v>-918.02097900141109</v>
      </c>
      <c r="R2122" t="s">
        <v>26550</v>
      </c>
      <c r="S2122" t="s">
        <v>26551</v>
      </c>
      <c r="T2122" t="s">
        <v>26552</v>
      </c>
      <c r="U2122" t="s">
        <v>26553</v>
      </c>
      <c r="V2122">
        <f>-694.831207647881 -93.2606391246366 -92.8042991238469</f>
        <v>-880.89614589636449</v>
      </c>
      <c r="W2122" t="s">
        <v>26554</v>
      </c>
      <c r="X2122" t="s">
        <v>26555</v>
      </c>
      <c r="Y2122" t="s">
        <v>26556</v>
      </c>
    </row>
    <row r="2123" spans="1:25" x14ac:dyDescent="0.3">
      <c r="A2123">
        <v>106100</v>
      </c>
      <c r="B2123" t="s">
        <v>26557</v>
      </c>
      <c r="C2123">
        <f>-730.837323285346 -4.93287346756028 -96.0754953915509</f>
        <v>-831.84569214445719</v>
      </c>
      <c r="D2123">
        <f>-747.341372762138 -17.1771297914045 -210.066433167902</f>
        <v>-974.58493572144448</v>
      </c>
      <c r="E2123">
        <f>-754.346318042135 -20.4531717473917 -308.386478989088</f>
        <v>-1083.1859687786146</v>
      </c>
      <c r="F2123">
        <f>-758.284915379384 -20.8049633703583 -397.395491760772</f>
        <v>-1176.4853705105143</v>
      </c>
      <c r="G2123">
        <f>-759.440503716886 -18.4870324852091 -486.454761280868</f>
        <v>-1264.3822974829632</v>
      </c>
      <c r="H2123">
        <f>-758.088542327468 -12.4990570844875 -610.886016249332</f>
        <v>-1381.4736156612876</v>
      </c>
      <c r="I2123">
        <f>-730.582571698469 -1.60813395220316 -688.538062535771</f>
        <v>-1420.7287681864432</v>
      </c>
      <c r="J2123" t="s">
        <v>26558</v>
      </c>
      <c r="K2123" t="s">
        <v>26559</v>
      </c>
      <c r="L2123" t="s">
        <v>26560</v>
      </c>
      <c r="M2123" t="s">
        <v>26561</v>
      </c>
      <c r="N2123">
        <f>-751.11308680826 -41.761878899727 -557.329016339946</f>
        <v>-1350.2039820479331</v>
      </c>
      <c r="O2123">
        <f>-713.309601527622 -172.055184395703 -535.111269870125</f>
        <v>-1420.4760557934501</v>
      </c>
      <c r="P2123">
        <f>-625.979347180991 -255.265762042718 -266.70733446551</f>
        <v>-1147.9524436892191</v>
      </c>
      <c r="Q2123">
        <f>-537.697911661498 -42.6726642464303 -337.851143944919</f>
        <v>-918.22171985284717</v>
      </c>
      <c r="R2123" t="s">
        <v>26562</v>
      </c>
      <c r="S2123" t="s">
        <v>26563</v>
      </c>
      <c r="T2123" t="s">
        <v>26564</v>
      </c>
      <c r="U2123" t="s">
        <v>26565</v>
      </c>
      <c r="V2123">
        <f>-694.699982763193 -94.0086673226069 -92.7488374714075</f>
        <v>-881.4574875572074</v>
      </c>
      <c r="W2123" t="s">
        <v>26566</v>
      </c>
      <c r="X2123" t="s">
        <v>26567</v>
      </c>
      <c r="Y2123" t="s">
        <v>26568</v>
      </c>
    </row>
    <row r="2124" spans="1:25" x14ac:dyDescent="0.3">
      <c r="A2124">
        <v>106150</v>
      </c>
      <c r="B2124" t="s">
        <v>26569</v>
      </c>
      <c r="C2124">
        <f>-730.773084798596 -5.13344209792194 -96.0342344744852</f>
        <v>-831.94076137100308</v>
      </c>
      <c r="D2124">
        <f>-747.27757333366 -17.3960068771837 -210.023121604189</f>
        <v>-974.69670181503272</v>
      </c>
      <c r="E2124">
        <f>-754.276014812732 -20.693929760015 -308.342982703757</f>
        <v>-1083.3129272765041</v>
      </c>
      <c r="F2124">
        <f>-758.206312563326 -21.067917231936 -397.352232358563</f>
        <v>-1176.6264621538251</v>
      </c>
      <c r="G2124">
        <f>-759.351684738581 -18.7737358484767 -486.412134347069</f>
        <v>-1264.5375549341265</v>
      </c>
      <c r="H2124">
        <f>-757.983926348314 -12.820773400282 -610.844919275864</f>
        <v>-1381.6496190244598</v>
      </c>
      <c r="I2124">
        <f>-730.32424505075 -2.00555321108686 -688.452960047468</f>
        <v>-1420.7827583093049</v>
      </c>
      <c r="J2124" t="s">
        <v>26570</v>
      </c>
      <c r="K2124" t="s">
        <v>26571</v>
      </c>
      <c r="L2124" t="s">
        <v>26572</v>
      </c>
      <c r="M2124" t="s">
        <v>26573</v>
      </c>
      <c r="N2124">
        <f>-750.999950442468 -42.0643069180176 -557.278546923624</f>
        <v>-1350.3428042841097</v>
      </c>
      <c r="O2124">
        <f>-713.248823321506 -172.354312782048 -534.9595960178</f>
        <v>-1420.5627321213542</v>
      </c>
      <c r="P2124">
        <f>-626.507202991469 -255.134530731889 -266.231959275976</f>
        <v>-1147.8736929993338</v>
      </c>
      <c r="Q2124">
        <f>-536.867424405969 -43.4251883379322 -338.306531873756</f>
        <v>-918.5991446176572</v>
      </c>
      <c r="R2124" t="s">
        <v>26574</v>
      </c>
      <c r="S2124" t="s">
        <v>26575</v>
      </c>
      <c r="T2124" t="s">
        <v>26576</v>
      </c>
      <c r="U2124" t="s">
        <v>26577</v>
      </c>
      <c r="V2124">
        <f>-694.675457278603 -94.0061295661362 -92.7235485462912</f>
        <v>-881.4051353910304</v>
      </c>
      <c r="W2124" t="s">
        <v>26578</v>
      </c>
      <c r="X2124" t="s">
        <v>26579</v>
      </c>
      <c r="Y2124" t="s">
        <v>26580</v>
      </c>
    </row>
    <row r="2125" spans="1:25" x14ac:dyDescent="0.3">
      <c r="A2125">
        <v>106200</v>
      </c>
      <c r="B2125" t="s">
        <v>26581</v>
      </c>
      <c r="C2125">
        <f>-730.75810417455 -5.32548733433055 -96.0583546249389</f>
        <v>-832.14194613381949</v>
      </c>
      <c r="D2125">
        <f>-747.316280872481 -17.6525684009873 -210.032366833815</f>
        <v>-975.00121610728331</v>
      </c>
      <c r="E2125">
        <f>-754.256193426229 -20.9628602665782 -308.356048204695</f>
        <v>-1083.5751018975022</v>
      </c>
      <c r="F2125">
        <f>-758.0921932139 -21.3304832218648 -397.369481322983</f>
        <v>-1176.7921577587479</v>
      </c>
      <c r="G2125">
        <f>-759.102588346788 -19.0123351839238 -486.43040848238</f>
        <v>-1264.5453320130919</v>
      </c>
      <c r="H2125">
        <f>-757.503740684509 -13.0072098485948 -610.858002096583</f>
        <v>-1381.3689526296869</v>
      </c>
      <c r="I2125">
        <f>-729.552827720213 -2.36394026473113 -688.385272908169</f>
        <v>-1420.3020408931131</v>
      </c>
      <c r="J2125" t="s">
        <v>26582</v>
      </c>
      <c r="K2125" t="s">
        <v>26583</v>
      </c>
      <c r="L2125" t="s">
        <v>26584</v>
      </c>
      <c r="M2125" t="s">
        <v>26585</v>
      </c>
      <c r="N2125">
        <f>-750.598242822449 -42.2672459549854 -557.290317379689</f>
        <v>-1350.1558061571234</v>
      </c>
      <c r="O2125">
        <f>-713.026587692402 -172.59427615405 -534.912386620396</f>
        <v>-1420.5332504668481</v>
      </c>
      <c r="P2125">
        <f>-627.397269615189 -254.626847984007 -265.599413654843</f>
        <v>-1147.6235312540389</v>
      </c>
      <c r="Q2125">
        <f>-535.516142715167 -44.4865660608843 -339.421970712583</f>
        <v>-919.42467948863441</v>
      </c>
      <c r="R2125" t="s">
        <v>26586</v>
      </c>
      <c r="S2125" t="s">
        <v>26587</v>
      </c>
      <c r="T2125" t="s">
        <v>26588</v>
      </c>
      <c r="U2125" t="s">
        <v>26589</v>
      </c>
      <c r="V2125">
        <f>-694.685958988056 -94.3319244179231 -92.6801011360927</f>
        <v>-881.69798454207182</v>
      </c>
      <c r="W2125" t="s">
        <v>26590</v>
      </c>
      <c r="X2125" t="s">
        <v>26591</v>
      </c>
      <c r="Y2125" t="s">
        <v>26592</v>
      </c>
    </row>
    <row r="2126" spans="1:25" x14ac:dyDescent="0.3">
      <c r="A2126">
        <v>106250</v>
      </c>
      <c r="B2126" t="s">
        <v>26593</v>
      </c>
      <c r="C2126">
        <f>-730.800666373237 -5.4190108377104 -96.0752939875382</f>
        <v>-832.29497119848565</v>
      </c>
      <c r="D2126">
        <f>-747.357465358819 -17.7570058912168 -210.048415906223</f>
        <v>-975.16288715625876</v>
      </c>
      <c r="E2126">
        <f>-754.229451600594 -21.0408948888251 -308.377681147471</f>
        <v>-1083.64802763689</v>
      </c>
      <c r="F2126">
        <f>-757.977007778564 -21.3703832475583 -397.395013473268</f>
        <v>-1176.7424044993904</v>
      </c>
      <c r="G2126">
        <f>-758.872342488714 -18.9998494056217 -486.455864011202</f>
        <v>-1264.3280559055377</v>
      </c>
      <c r="H2126">
        <f>-757.084788136355 -12.9070812797463 -610.876551870617</f>
        <v>-1380.8684212867183</v>
      </c>
      <c r="I2126">
        <f>-729.000130336326 -2.36280072682052 -688.368936445386</f>
        <v>-1419.7318675085326</v>
      </c>
      <c r="J2126" t="s">
        <v>26594</v>
      </c>
      <c r="K2126" t="s">
        <v>26595</v>
      </c>
      <c r="L2126" t="s">
        <v>26596</v>
      </c>
      <c r="M2126" t="s">
        <v>26597</v>
      </c>
      <c r="N2126">
        <f>-750.253326705339 -42.2027914081796 -557.318849183137</f>
        <v>-1349.7749672966556</v>
      </c>
      <c r="O2126">
        <f>-712.791395506896 -172.562313984198 -534.95217473766</f>
        <v>-1420.3058842287542</v>
      </c>
      <c r="P2126">
        <f>-627.694435917868 -254.797007184737 -265.532093705181</f>
        <v>-1148.0235368077861</v>
      </c>
      <c r="Q2126">
        <f>-534.705564281102 -45.2959618681214 -339.783638744551</f>
        <v>-919.78516489377444</v>
      </c>
      <c r="R2126" t="s">
        <v>26598</v>
      </c>
      <c r="S2126" t="s">
        <v>26599</v>
      </c>
      <c r="T2126" t="s">
        <v>26600</v>
      </c>
      <c r="U2126" t="s">
        <v>26601</v>
      </c>
      <c r="V2126">
        <f>-694.710372972899 -94.4824401503984 -92.6860812094379</f>
        <v>-881.87889433273529</v>
      </c>
      <c r="W2126" t="s">
        <v>26602</v>
      </c>
      <c r="X2126" t="s">
        <v>26603</v>
      </c>
      <c r="Y2126" t="s">
        <v>26604</v>
      </c>
    </row>
    <row r="2127" spans="1:25" x14ac:dyDescent="0.3">
      <c r="A2127">
        <v>106300</v>
      </c>
      <c r="B2127" t="s">
        <v>26605</v>
      </c>
      <c r="C2127">
        <f>-730.772615228349 -5.47740432289697 -96.0876776719567</f>
        <v>-832.33769722320267</v>
      </c>
      <c r="D2127">
        <f>-747.276528608583 -17.821888379523 -210.067742923771</f>
        <v>-975.166159911877</v>
      </c>
      <c r="E2127">
        <f>-754.007642614813 -21.0652547609175 -308.408051445374</f>
        <v>-1083.4809488211044</v>
      </c>
      <c r="F2127">
        <f>-757.589105963962 -21.3404409987611 -397.432390919868</f>
        <v>-1176.3619378825911</v>
      </c>
      <c r="G2127">
        <f>-758.279220176198 -18.8988403648405 -486.493105862286</f>
        <v>-1263.6711664033244</v>
      </c>
      <c r="H2127">
        <f>-756.164130532531 -12.6895554006203 -610.902913731284</f>
        <v>-1379.7565996644353</v>
      </c>
      <c r="I2127">
        <f>-727.888330226891 -2.41380137881993 -688.362066517583</f>
        <v>-1418.6641981232938</v>
      </c>
      <c r="J2127" t="s">
        <v>26606</v>
      </c>
      <c r="K2127" t="s">
        <v>26607</v>
      </c>
      <c r="L2127" t="s">
        <v>26608</v>
      </c>
      <c r="M2127" t="s">
        <v>26609</v>
      </c>
      <c r="N2127">
        <f>-749.462205407782 -42.0321604937446 -557.354568197065</f>
        <v>-1348.8489340985916</v>
      </c>
      <c r="O2127">
        <f>-712.13812030849 -172.452438849253 -535.119169869426</f>
        <v>-1419.709729027169</v>
      </c>
      <c r="P2127">
        <f>-628.635294249917 -256.520547268849 -265.766260697714</f>
        <v>-1150.92210221648</v>
      </c>
      <c r="Q2127">
        <f>-535.056612874849 -47.0641982597365 -339.399660547737</f>
        <v>-921.52047168232252</v>
      </c>
      <c r="R2127" t="s">
        <v>26610</v>
      </c>
      <c r="S2127" t="s">
        <v>26611</v>
      </c>
      <c r="T2127" t="s">
        <v>26612</v>
      </c>
      <c r="U2127" t="s">
        <v>26613</v>
      </c>
      <c r="V2127">
        <f>-694.779970294072 -94.2577704455089 -92.6878510875576</f>
        <v>-881.72559182713849</v>
      </c>
      <c r="W2127" t="s">
        <v>26614</v>
      </c>
      <c r="X2127" t="s">
        <v>26615</v>
      </c>
      <c r="Y2127" t="s">
        <v>26616</v>
      </c>
    </row>
    <row r="2128" spans="1:25" x14ac:dyDescent="0.3">
      <c r="A2128">
        <v>106350</v>
      </c>
      <c r="B2128" t="s">
        <v>26617</v>
      </c>
      <c r="C2128">
        <f>-730.686326863032 -5.54599747146858 -96.09317245068</f>
        <v>-832.32549678518058</v>
      </c>
      <c r="D2128">
        <f>-747.131812465351 -17.8851925870579 -210.082372754706</f>
        <v>-975.09937780711493</v>
      </c>
      <c r="E2128">
        <f>-753.792142164895 -21.1250097537752 -308.427684922833</f>
        <v>-1083.3448368415034</v>
      </c>
      <c r="F2128">
        <f>-757.301062169488 -21.3981162732096 -397.454976555648</f>
        <v>-1176.1541549983456</v>
      </c>
      <c r="G2128">
        <f>-757.909771531762 -18.9562370195856 -486.516099163908</f>
        <v>-1263.3821077152556</v>
      </c>
      <c r="H2128">
        <f>-755.671419784458 -12.7487225402435 -610.923817474725</f>
        <v>-1379.3439597994266</v>
      </c>
      <c r="I2128">
        <f>-727.377778282391 -2.65936027015459 -688.400913870161</f>
        <v>-1418.4380524227067</v>
      </c>
      <c r="J2128" t="s">
        <v>26618</v>
      </c>
      <c r="K2128" t="s">
        <v>26619</v>
      </c>
      <c r="L2128" t="s">
        <v>26620</v>
      </c>
      <c r="M2128" t="s">
        <v>26621</v>
      </c>
      <c r="N2128">
        <f>-749.020185523881 -42.0898444137003 -557.368483094855</f>
        <v>-1348.4785130324362</v>
      </c>
      <c r="O2128">
        <f>-711.768203979313 -172.537344031616 -535.215794113891</f>
        <v>-1419.52134212482</v>
      </c>
      <c r="P2128">
        <f>-629.354401132225 -258.652920419895 -266.174380949626</f>
        <v>-1154.181702501746</v>
      </c>
      <c r="Q2128">
        <f>-536.186944893003 -48.5419107523549 -338.452082790322</f>
        <v>-923.18093843567976</v>
      </c>
      <c r="R2128" t="s">
        <v>26622</v>
      </c>
      <c r="S2128" t="s">
        <v>26623</v>
      </c>
      <c r="T2128" t="s">
        <v>26624</v>
      </c>
      <c r="U2128" t="s">
        <v>26625</v>
      </c>
      <c r="V2128">
        <f>-694.683493949568 -94.3424853980889 -92.6846334284389</f>
        <v>-881.71061277609579</v>
      </c>
      <c r="W2128" t="s">
        <v>26626</v>
      </c>
      <c r="X2128" t="s">
        <v>26627</v>
      </c>
      <c r="Y2128" t="s">
        <v>26628</v>
      </c>
    </row>
    <row r="2129" spans="1:25" x14ac:dyDescent="0.3">
      <c r="A2129">
        <v>106400</v>
      </c>
      <c r="B2129" t="s">
        <v>26629</v>
      </c>
      <c r="C2129">
        <f>-730.368226110263 -5.79780441421485 -96.1076095564106</f>
        <v>-832.27364008088841</v>
      </c>
      <c r="D2129">
        <f>-746.759415995637 -18.16797888371 -210.101066432576</f>
        <v>-975.02846131192302</v>
      </c>
      <c r="E2129">
        <f>-753.332885955097 -21.4210951139216 -308.451899202559</f>
        <v>-1083.2058802715776</v>
      </c>
      <c r="F2129">
        <f>-756.745584591344 -21.7029849972068 -397.482705170746</f>
        <v>-1175.9312747592969</v>
      </c>
      <c r="G2129">
        <f>-757.240043282847 -19.26721281542 -486.54486072697</f>
        <v>-1263.0521168252369</v>
      </c>
      <c r="H2129">
        <f>-754.822643966572 -13.0660678113607 -610.949638505083</f>
        <v>-1378.8383502830156</v>
      </c>
      <c r="I2129">
        <f>-726.405602750313 -3.36380099023495 -688.431004887659</f>
        <v>-1418.200408628207</v>
      </c>
      <c r="J2129" t="s">
        <v>26630</v>
      </c>
      <c r="K2129" t="s">
        <v>26631</v>
      </c>
      <c r="L2129" t="s">
        <v>26632</v>
      </c>
      <c r="M2129" t="s">
        <v>26633</v>
      </c>
      <c r="N2129">
        <f>-748.235439776532 -42.4006814940983 -557.382817685845</f>
        <v>-1348.0189389564753</v>
      </c>
      <c r="O2129">
        <f>-711.031656086062 -172.879154550925 -535.317247211869</f>
        <v>-1419.228057848856</v>
      </c>
      <c r="P2129">
        <f>-632.369916239447 -261.621854670544 -266.006551993568</f>
        <v>-1159.9983229035588</v>
      </c>
      <c r="Q2129">
        <f>-538.777047646539 -51.0741223748639 -336.44004188441</f>
        <v>-926.29121190581293</v>
      </c>
      <c r="R2129" t="s">
        <v>26634</v>
      </c>
      <c r="S2129" t="s">
        <v>26635</v>
      </c>
      <c r="T2129" t="s">
        <v>26636</v>
      </c>
      <c r="U2129" t="s">
        <v>26637</v>
      </c>
      <c r="V2129">
        <f>-694.246101477256 -94.6496712090418 -92.6707918573077</f>
        <v>-881.56656454360552</v>
      </c>
      <c r="W2129" t="s">
        <v>26638</v>
      </c>
      <c r="X2129" t="s">
        <v>26639</v>
      </c>
      <c r="Y2129" t="s">
        <v>26640</v>
      </c>
    </row>
    <row r="2130" spans="1:25" x14ac:dyDescent="0.3">
      <c r="A2130">
        <v>106450</v>
      </c>
      <c r="B2130" t="s">
        <v>26641</v>
      </c>
      <c r="C2130">
        <f>-730.16088036794 -6.07212381805425 -96.1092576192225</f>
        <v>-832.34226180521671</v>
      </c>
      <c r="D2130">
        <f>-746.524295540683 -18.4481324859214 -210.106230572555</f>
        <v>-975.07865859915944</v>
      </c>
      <c r="E2130">
        <f>-753.048584390978 -21.7178008594283 -308.459721770842</f>
        <v>-1083.2261070212483</v>
      </c>
      <c r="F2130">
        <f>-756.406620089208 -22.0204610102883 -397.492663836509</f>
        <v>-1175.9197449360054</v>
      </c>
      <c r="G2130">
        <f>-756.835907876405 -19.6111474716181 -486.555839806062</f>
        <v>-1263.0028951540851</v>
      </c>
      <c r="H2130">
        <f>-754.316537346754 -13.4539998460591 -610.960663014932</f>
        <v>-1378.7312002077451</v>
      </c>
      <c r="I2130">
        <f>-725.830204757979 -3.9617101399283 -688.442623496447</f>
        <v>-1418.2345383943543</v>
      </c>
      <c r="J2130" t="s">
        <v>26642</v>
      </c>
      <c r="K2130" t="s">
        <v>26643</v>
      </c>
      <c r="L2130" t="s">
        <v>26644</v>
      </c>
      <c r="M2130" t="s">
        <v>26645</v>
      </c>
      <c r="N2130">
        <f>-747.765462469088 -42.7674766481678 -557.377823100967</f>
        <v>-1347.9107622182228</v>
      </c>
      <c r="O2130">
        <f>-710.630053716867 -173.266937744744 -535.303364195963</f>
        <v>-1419.2003556575742</v>
      </c>
      <c r="P2130">
        <f>-634.578056762962 -263.170161316238 -265.628051747066</f>
        <v>-1163.376269826266</v>
      </c>
      <c r="Q2130">
        <f>-540.734927156438 -52.71176554416 -335.995774230473</f>
        <v>-929.44246693107095</v>
      </c>
      <c r="R2130" t="s">
        <v>26646</v>
      </c>
      <c r="S2130" t="s">
        <v>26647</v>
      </c>
      <c r="T2130" t="s">
        <v>26648</v>
      </c>
      <c r="U2130" t="s">
        <v>26649</v>
      </c>
      <c r="V2130">
        <f>-694.018513302465 -95.0025140916414 -92.6734295703743</f>
        <v>-881.69445696448065</v>
      </c>
      <c r="W2130" t="s">
        <v>26650</v>
      </c>
      <c r="X2130" t="s">
        <v>26651</v>
      </c>
      <c r="Y2130" t="s">
        <v>26652</v>
      </c>
    </row>
    <row r="2131" spans="1:25" x14ac:dyDescent="0.3">
      <c r="A2131">
        <v>106500</v>
      </c>
      <c r="B2131" t="s">
        <v>26653</v>
      </c>
      <c r="C2131">
        <f>-729.615769819548 -6.24866783228754 -96.1234454892056</f>
        <v>-831.98788314104104</v>
      </c>
      <c r="D2131">
        <f>-745.910473725538 -18.6518978734407 -210.127225368874</f>
        <v>-974.68959696785282</v>
      </c>
      <c r="E2131">
        <f>-752.352344389816 -21.9597828513874 -308.484740590992</f>
        <v>-1082.7968678321954</v>
      </c>
      <c r="F2131">
        <f>-755.625348185643 -22.3042122152083 -397.520856015097</f>
        <v>-1175.4504164159484</v>
      </c>
      <c r="G2131">
        <f>-755.958627628024 -19.9450952061518 -486.585794802739</f>
        <v>-1262.4895176369148</v>
      </c>
      <c r="H2131">
        <f>-753.293266815406 -13.8673181878062 -610.991460220393</f>
        <v>-1378.1520452236052</v>
      </c>
      <c r="I2131">
        <f>-724.553234216249 -4.79154540086847 -688.429598468913</f>
        <v>-1417.7743780860305</v>
      </c>
      <c r="J2131" t="s">
        <v>26654</v>
      </c>
      <c r="K2131" t="s">
        <v>26655</v>
      </c>
      <c r="L2131" t="s">
        <v>26656</v>
      </c>
      <c r="M2131" t="s">
        <v>26657</v>
      </c>
      <c r="N2131">
        <f>-746.817927423496 -43.1502497803108 -557.382772089586</f>
        <v>-1347.3509492933927</v>
      </c>
      <c r="O2131">
        <f>-709.885789298471 -173.698638790469 -535.264583430434</f>
        <v>-1418.849011519374</v>
      </c>
      <c r="P2131">
        <f>-639.429867788526 -264.857005390064 -264.492915205255</f>
        <v>-1168.779788383845</v>
      </c>
      <c r="Q2131">
        <f>-544.093723216398 -54.9784526425474 -334.585013050728</f>
        <v>-933.65718890967332</v>
      </c>
      <c r="R2131" t="s">
        <v>26658</v>
      </c>
      <c r="S2131" t="s">
        <v>26659</v>
      </c>
      <c r="T2131" t="s">
        <v>26660</v>
      </c>
      <c r="U2131" t="s">
        <v>26661</v>
      </c>
      <c r="V2131">
        <f>-693.406884980419 -95.011609090993 -92.6665387754839</f>
        <v>-881.08503284689596</v>
      </c>
      <c r="W2131" t="s">
        <v>26662</v>
      </c>
      <c r="X2131" t="s">
        <v>26663</v>
      </c>
      <c r="Y2131" t="s">
        <v>26664</v>
      </c>
    </row>
    <row r="2132" spans="1:25" x14ac:dyDescent="0.3">
      <c r="A2132">
        <v>106550</v>
      </c>
      <c r="B2132" t="s">
        <v>26665</v>
      </c>
      <c r="C2132">
        <f>-729.316964646942 -6.25992624195487 -96.1372159843829</f>
        <v>-831.71410687327977</v>
      </c>
      <c r="D2132">
        <f>-745.596610939782 -18.6691304673693 -210.142536892379</f>
        <v>-974.40827829953025</v>
      </c>
      <c r="E2132">
        <f>-752.034179389967 -21.9829741720114 -308.500179160017</f>
        <v>-1082.5173327219954</v>
      </c>
      <c r="F2132">
        <f>-755.306797609754 -22.3333297544934 -397.53616338503</f>
        <v>-1175.1762907492775</v>
      </c>
      <c r="G2132">
        <f>-755.64280412594 -19.9804503031007 -486.601343334041</f>
        <v>-1262.2245977630816</v>
      </c>
      <c r="H2132">
        <f>-752.984684707699 -13.9121497123156 -611.007624009344</f>
        <v>-1377.9044584293586</v>
      </c>
      <c r="I2132">
        <f>-724.170942276431 -5.07784909112024 -688.446352790844</f>
        <v>-1417.6951441583951</v>
      </c>
      <c r="J2132" t="s">
        <v>26666</v>
      </c>
      <c r="K2132" t="s">
        <v>26667</v>
      </c>
      <c r="L2132" t="s">
        <v>26668</v>
      </c>
      <c r="M2132" t="s">
        <v>26669</v>
      </c>
      <c r="N2132">
        <f>-746.5190787159 -43.1946771522209 -557.397506005229</f>
        <v>-1347.11126187335</v>
      </c>
      <c r="O2132">
        <f>-709.70763108568 -173.773215534773 -535.219749130183</f>
        <v>-1418.7005957506358</v>
      </c>
      <c r="P2132">
        <f>-641.985138155593 -265.182711232005 -263.835842454306</f>
        <v>-1171.0036918419039</v>
      </c>
      <c r="Q2132">
        <f>-545.42459771088 -55.7528896043389 -333.593470096102</f>
        <v>-934.77095741132086</v>
      </c>
      <c r="R2132" t="s">
        <v>26670</v>
      </c>
      <c r="S2132" t="s">
        <v>26671</v>
      </c>
      <c r="T2132" t="s">
        <v>26672</v>
      </c>
      <c r="U2132" t="s">
        <v>26673</v>
      </c>
      <c r="V2132">
        <f>-693.148165039574 -94.9698650779785 -92.6625473218992</f>
        <v>-880.78057743945169</v>
      </c>
      <c r="W2132" t="s">
        <v>26674</v>
      </c>
      <c r="X2132" t="s">
        <v>26675</v>
      </c>
      <c r="Y2132" t="s">
        <v>26676</v>
      </c>
    </row>
    <row r="2133" spans="1:25" x14ac:dyDescent="0.3">
      <c r="A2133">
        <v>106600</v>
      </c>
      <c r="B2133" t="s">
        <v>26677</v>
      </c>
      <c r="C2133">
        <f>-728.713029216485 -6.33629354277036 -96.176125858031</f>
        <v>-831.22544861728636</v>
      </c>
      <c r="D2133">
        <f>-744.947055186551 -18.7752075582841 -210.184637013705</f>
        <v>-973.90689975854013</v>
      </c>
      <c r="E2133">
        <f>-751.36965236628 -22.0961017802065 -308.543119020605</f>
        <v>-1082.0088731670915</v>
      </c>
      <c r="F2133">
        <f>-754.637062653317 -22.4458814734223 -397.579299282429</f>
        <v>-1174.6622434091682</v>
      </c>
      <c r="G2133">
        <f>-754.975808662361 -20.0862137071165 -486.644182681036</f>
        <v>-1261.7062050505135</v>
      </c>
      <c r="H2133">
        <f>-752.328856836637 -14.0022948466803 -611.049965684757</f>
        <v>-1377.3811173680742</v>
      </c>
      <c r="I2133">
        <f>-723.407414438593 -5.68642566311996 -688.50594848278</f>
        <v>-1417.5997885844931</v>
      </c>
      <c r="J2133" t="s">
        <v>26678</v>
      </c>
      <c r="K2133" t="s">
        <v>26679</v>
      </c>
      <c r="L2133" t="s">
        <v>26680</v>
      </c>
      <c r="M2133" t="s">
        <v>26681</v>
      </c>
      <c r="N2133">
        <f>-745.88738559371 -43.2996045005461 -557.445119087638</f>
        <v>-1346.6321091818941</v>
      </c>
      <c r="O2133">
        <f>-709.278550942896 -173.907457670488 -535.14740447016</f>
        <v>-1418.3334130835442</v>
      </c>
      <c r="P2133">
        <f>-647.131039335645 -265.466325635913 -262.483011273542</f>
        <v>-1175.0803762451001</v>
      </c>
      <c r="Q2133">
        <f>-547.918455435714 -57.2432078350514 -332.131085427458</f>
        <v>-937.29274869822348</v>
      </c>
      <c r="R2133" t="s">
        <v>26682</v>
      </c>
      <c r="S2133" t="s">
        <v>26683</v>
      </c>
      <c r="T2133" t="s">
        <v>26684</v>
      </c>
      <c r="U2133" t="s">
        <v>26685</v>
      </c>
      <c r="V2133">
        <f>-692.519652670648 -95.0526923043919 -92.6729569766893</f>
        <v>-880.24530195172929</v>
      </c>
      <c r="W2133" t="s">
        <v>26686</v>
      </c>
      <c r="X2133" t="s">
        <v>26687</v>
      </c>
      <c r="Y2133" t="s">
        <v>26688</v>
      </c>
    </row>
    <row r="2134" spans="1:25" x14ac:dyDescent="0.3">
      <c r="A2134">
        <v>106650</v>
      </c>
      <c r="B2134" t="s">
        <v>26689</v>
      </c>
      <c r="C2134">
        <f>-728.448784663294 -6.27552732823483 -96.2050476479749</f>
        <v>-830.92935963950367</v>
      </c>
      <c r="D2134">
        <f>-744.665578436449 -18.7683615227056 -210.21015664329</f>
        <v>-973.64409660244462</v>
      </c>
      <c r="E2134">
        <f>-751.076526061523 -22.1136206931321 -308.568573093516</f>
        <v>-1081.7587198481713</v>
      </c>
      <c r="F2134">
        <f>-754.333706318818 -22.4774450102441 -397.605012320002</f>
        <v>-1174.4161636490642</v>
      </c>
      <c r="G2134">
        <f>-754.661943041835 -20.1242391471362 -486.670105189804</f>
        <v>-1261.4562873787752</v>
      </c>
      <c r="H2134">
        <f>-751.999161258349 -14.04165927644 -611.075675556851</f>
        <v>-1377.1164960916399</v>
      </c>
      <c r="I2134">
        <f>-723.00794143235 -5.97470971508619 -688.531807489899</f>
        <v>-1417.5144586373353</v>
      </c>
      <c r="J2134" t="s">
        <v>26690</v>
      </c>
      <c r="K2134" t="s">
        <v>26691</v>
      </c>
      <c r="L2134" t="s">
        <v>26692</v>
      </c>
      <c r="M2134" t="s">
        <v>26693</v>
      </c>
      <c r="N2134">
        <f>-745.56726661868 -43.3393267921579 -557.469752506318</f>
        <v>-1346.376345917156</v>
      </c>
      <c r="O2134">
        <f>-709.02718999257 -173.960415597394 -535.146219962869</f>
        <v>-1418.1338255528331</v>
      </c>
      <c r="P2134">
        <f>-649.82015714334 -265.224958006413 -261.729907098043</f>
        <v>-1176.775022247796</v>
      </c>
      <c r="Q2134">
        <f>-548.867851002923 -57.8840399594485 -331.509359611821</f>
        <v>-938.26125057419245</v>
      </c>
      <c r="R2134" t="s">
        <v>26694</v>
      </c>
      <c r="S2134" t="s">
        <v>26695</v>
      </c>
      <c r="T2134" t="s">
        <v>26696</v>
      </c>
      <c r="U2134" t="s">
        <v>26697</v>
      </c>
      <c r="V2134">
        <f>-692.210184044944 -94.9093904999631 -92.6820761917943</f>
        <v>-879.80165073670139</v>
      </c>
      <c r="W2134" t="s">
        <v>26698</v>
      </c>
      <c r="X2134" t="s">
        <v>26699</v>
      </c>
      <c r="Y2134" t="s">
        <v>26700</v>
      </c>
    </row>
    <row r="2135" spans="1:25" x14ac:dyDescent="0.3">
      <c r="A2135">
        <v>106700</v>
      </c>
      <c r="B2135" t="s">
        <v>26701</v>
      </c>
      <c r="C2135">
        <f>-727.94049244262 -6.20320682381271 -96.3002653695262</f>
        <v>-830.44396463595888</v>
      </c>
      <c r="D2135">
        <f>-744.074471735284 -18.8068324497679 -210.305013629595</f>
        <v>-973.18631781464683</v>
      </c>
      <c r="E2135">
        <f>-750.376263234155 -22.2230778784597 -308.667954957496</f>
        <v>-1081.2672960701107</v>
      </c>
      <c r="F2135">
        <f>-753.517820691132 -22.6439181414314 -397.708386439007</f>
        <v>-1173.8701252715705</v>
      </c>
      <c r="G2135">
        <f>-753.712613964224 -20.340986786749 -486.775204305907</f>
        <v>-1260.8288050568799</v>
      </c>
      <c r="H2135">
        <f>-750.844769680407 -14.3225373803664 -611.1792879918</f>
        <v>-1376.3465950525733</v>
      </c>
      <c r="I2135">
        <f>-721.668377378347 -6.62849640823993 -688.603829854095</f>
        <v>-1416.900703640682</v>
      </c>
      <c r="J2135" t="s">
        <v>26702</v>
      </c>
      <c r="K2135" t="s">
        <v>26703</v>
      </c>
      <c r="L2135" t="s">
        <v>26704</v>
      </c>
      <c r="M2135" t="s">
        <v>26705</v>
      </c>
      <c r="N2135">
        <f>-744.47587628682 -43.5853939164788 -557.546721834444</f>
        <v>-1345.6079920377429</v>
      </c>
      <c r="O2135">
        <f>-708.017664932395 -174.208585800111 -535.087588636021</f>
        <v>-1417.3138393685269</v>
      </c>
      <c r="P2135">
        <f>-654.930137622418 -264.962922570235 -260.248455273987</f>
        <v>-1180.1415154666399</v>
      </c>
      <c r="Q2135">
        <f>-550.785877155042 -59.2956463357596 -330.290043172671</f>
        <v>-940.37156666347255</v>
      </c>
      <c r="R2135" t="s">
        <v>26706</v>
      </c>
      <c r="S2135" t="s">
        <v>26707</v>
      </c>
      <c r="T2135" t="s">
        <v>26708</v>
      </c>
      <c r="U2135" t="s">
        <v>26709</v>
      </c>
      <c r="V2135">
        <f>-691.507351354028 -94.6884476277521 -92.7017043037874</f>
        <v>-878.8975032855675</v>
      </c>
      <c r="W2135" t="s">
        <v>26710</v>
      </c>
      <c r="X2135" t="s">
        <v>26711</v>
      </c>
      <c r="Y2135" t="s">
        <v>26712</v>
      </c>
    </row>
    <row r="2136" spans="1:25" x14ac:dyDescent="0.3">
      <c r="A2136">
        <v>106750</v>
      </c>
      <c r="B2136" t="s">
        <v>26713</v>
      </c>
      <c r="C2136">
        <f>-727.743450433217 -6.13344994487989 -96.3588866098246</f>
        <v>-830.23578698792153</v>
      </c>
      <c r="D2136">
        <f>-743.825001627089 -18.7885352472085 -210.365249133258</f>
        <v>-972.97878600755553</v>
      </c>
      <c r="E2136">
        <f>-750.035833986778 -22.2531844004209 -308.732264236992</f>
        <v>-1081.0212826241909</v>
      </c>
      <c r="F2136">
        <f>-753.075937229601 -22.7208826003 -397.775952142774</f>
        <v>-1173.5727719726749</v>
      </c>
      <c r="G2136">
        <f>-753.150551483237 -20.4683596899647 -486.84427260733</f>
        <v>-1260.4631837805318</v>
      </c>
      <c r="H2136">
        <f>-750.094574238404 -14.5246303051474 -611.247485711436</f>
        <v>-1375.8666902549874</v>
      </c>
      <c r="I2136">
        <f>-720.793015769902 -6.93614595345821 -688.63509289252</f>
        <v>-1416.3642546158803</v>
      </c>
      <c r="J2136" t="s">
        <v>26714</v>
      </c>
      <c r="K2136" t="s">
        <v>26715</v>
      </c>
      <c r="L2136" t="s">
        <v>26716</v>
      </c>
      <c r="M2136" t="s">
        <v>26717</v>
      </c>
      <c r="N2136">
        <f>-743.792171817385 -43.7510717439707 -557.5873383995</f>
        <v>-1345.1305819608556</v>
      </c>
      <c r="O2136">
        <f>-707.322099457487 -174.344603191506 -534.972707484946</f>
        <v>-1416.6394101339388</v>
      </c>
      <c r="P2136">
        <f>-657.324824300503 -264.493302591817 -259.355674780358</f>
        <v>-1181.1738016726779</v>
      </c>
      <c r="Q2136">
        <f>-551.206312726877 -59.8597791569553 -329.462026880212</f>
        <v>-940.52811876404417</v>
      </c>
      <c r="R2136" t="s">
        <v>26718</v>
      </c>
      <c r="S2136" t="s">
        <v>26719</v>
      </c>
      <c r="T2136" t="s">
        <v>26720</v>
      </c>
      <c r="U2136" t="s">
        <v>26721</v>
      </c>
      <c r="V2136">
        <f>-691.22470437426 -94.5677179867728 -92.7102516264539</f>
        <v>-878.50267398748667</v>
      </c>
      <c r="W2136" t="s">
        <v>26722</v>
      </c>
      <c r="X2136" t="s">
        <v>26723</v>
      </c>
      <c r="Y2136" t="s">
        <v>26724</v>
      </c>
    </row>
    <row r="2137" spans="1:25" x14ac:dyDescent="0.3">
      <c r="A2137">
        <v>106800</v>
      </c>
      <c r="B2137" t="s">
        <v>26725</v>
      </c>
      <c r="C2137">
        <f>-727.644997228474 -6.14682108142347 -96.4835095525328</f>
        <v>-830.27532786243034</v>
      </c>
      <c r="D2137">
        <f>-743.61656341922 -18.8772200200301 -210.496947170728</f>
        <v>-972.99073060997807</v>
      </c>
      <c r="E2137">
        <f>-749.664587849032 -22.5012115699283 -308.868449273196</f>
        <v>-1081.0342486921563</v>
      </c>
      <c r="F2137">
        <f>-752.530638616341 -23.1529474127231 -397.916658586884</f>
        <v>-1173.600244615948</v>
      </c>
      <c r="G2137">
        <f>-752.40466970449 -21.1251999930043 -486.990410455951</f>
        <v>-1260.5202801534454</v>
      </c>
      <c r="H2137">
        <f>-749.041249535522 -15.5390665606212 -611.402234454432</f>
        <v>-1375.9825505505751</v>
      </c>
      <c r="I2137">
        <f>-719.509279063945 -8.1140985129075 -688.718148689862</f>
        <v>-1416.3415262667145</v>
      </c>
      <c r="J2137" t="s">
        <v>26726</v>
      </c>
      <c r="K2137" t="s">
        <v>26727</v>
      </c>
      <c r="L2137" t="s">
        <v>26728</v>
      </c>
      <c r="M2137" t="s">
        <v>26729</v>
      </c>
      <c r="N2137">
        <f>-742.853596389903 -44.6058741148422 -557.642152526811</f>
        <v>-1345.1016230315563</v>
      </c>
      <c r="O2137">
        <f>-706.440879472469 -175.126951960357 -534.498363986119</f>
        <v>-1416.066195418945</v>
      </c>
      <c r="P2137">
        <f>-662.821803756754 -263.09797779052 -257.100420052586</f>
        <v>-1183.02020159986</v>
      </c>
      <c r="Q2137">
        <f>-551.707353835624 -61.2042995897073 -327.409636080494</f>
        <v>-940.32128950582523</v>
      </c>
      <c r="R2137" t="s">
        <v>26730</v>
      </c>
      <c r="S2137" t="s">
        <v>26731</v>
      </c>
      <c r="T2137" t="s">
        <v>26732</v>
      </c>
      <c r="U2137" t="s">
        <v>26733</v>
      </c>
      <c r="V2137">
        <f>-691.066221453622 -94.5599482553268 -92.7496399982343</f>
        <v>-878.37580970718318</v>
      </c>
      <c r="W2137" t="s">
        <v>26734</v>
      </c>
      <c r="X2137" t="s">
        <v>26735</v>
      </c>
      <c r="Y2137" t="s">
        <v>26736</v>
      </c>
    </row>
    <row r="2138" spans="1:25" x14ac:dyDescent="0.3">
      <c r="A2138">
        <v>106850</v>
      </c>
      <c r="B2138" t="s">
        <v>26737</v>
      </c>
      <c r="C2138">
        <f>-727.635124960687 -6.07849228934265 -96.5326844979896</f>
        <v>-830.24630174801928</v>
      </c>
      <c r="D2138">
        <f>-743.558693201469 -18.8305258095586 -210.550447845822</f>
        <v>-972.93966685684961</v>
      </c>
      <c r="E2138">
        <f>-749.515785573263 -22.5363809423741 -308.92447286191</f>
        <v>-1080.9766393775471</v>
      </c>
      <c r="F2138">
        <f>-752.279944062683 -23.289001547605 -397.975245898669</f>
        <v>-1173.5441915089571</v>
      </c>
      <c r="G2138">
        <f>-752.032968473256 -21.3892127276142 -487.051324100899</f>
        <v>-1260.4735053017694</v>
      </c>
      <c r="H2138">
        <f>-748.480717164778 -16.0110461583258 -611.467113020746</f>
        <v>-1375.9588763438496</v>
      </c>
      <c r="I2138">
        <f>-718.849671066118 -8.64828423302515 -688.751126434502</f>
        <v>-1416.2490817336452</v>
      </c>
      <c r="J2138" t="s">
        <v>26738</v>
      </c>
      <c r="K2138" t="s">
        <v>26739</v>
      </c>
      <c r="L2138" t="s">
        <v>26740</v>
      </c>
      <c r="M2138" t="s">
        <v>26741</v>
      </c>
      <c r="N2138">
        <f>-742.37564024753 -44.988168927666 -557.649276477232</f>
        <v>-1345.0130856524279</v>
      </c>
      <c r="O2138">
        <f>-706.084942855711 -175.483045752757 -534.1863921441</f>
        <v>-1415.7543807525681</v>
      </c>
      <c r="P2138">
        <f>-665.613055593173 -261.946516588124 -255.838874933538</f>
        <v>-1183.3984471148349</v>
      </c>
      <c r="Q2138">
        <f>-551.645313061026 -61.8034901351937 -326.584671668612</f>
        <v>-940.03347486483153</v>
      </c>
      <c r="R2138" t="s">
        <v>26742</v>
      </c>
      <c r="S2138" t="s">
        <v>26743</v>
      </c>
      <c r="T2138" t="s">
        <v>26744</v>
      </c>
      <c r="U2138" t="s">
        <v>26745</v>
      </c>
      <c r="V2138">
        <f>-691.007830612753 -94.4191782483663 -92.7594542566302</f>
        <v>-878.18646311774944</v>
      </c>
      <c r="W2138" t="s">
        <v>26746</v>
      </c>
      <c r="X2138" t="s">
        <v>26747</v>
      </c>
      <c r="Y2138" t="s">
        <v>26748</v>
      </c>
    </row>
    <row r="2139" spans="1:25" x14ac:dyDescent="0.3">
      <c r="A2139">
        <v>106900</v>
      </c>
      <c r="B2139" t="s">
        <v>26749</v>
      </c>
      <c r="C2139">
        <f>-727.65201425116 -6.23043573144969 -96.5671164969872</f>
        <v>-830.44956647959691</v>
      </c>
      <c r="D2139">
        <f>-743.472781782168 -19.0135978747696 -210.595775994623</f>
        <v>-973.0821556515607</v>
      </c>
      <c r="E2139">
        <f>-749.255487302014 -22.8674454120569 -308.974480959412</f>
        <v>-1081.0974136734828</v>
      </c>
      <c r="F2139">
        <f>-751.82866545409 -23.804436474252 -398.029136969226</f>
        <v>-1173.6622388975679</v>
      </c>
      <c r="G2139">
        <f>-751.357769174076 -22.1406843454458 -487.109110056502</f>
        <v>-1260.6075635760239</v>
      </c>
      <c r="H2139">
        <f>-747.458775577341 -17.1475438999707 -611.530548022169</f>
        <v>-1376.1368674994808</v>
      </c>
      <c r="I2139">
        <f>-717.700335338524 -9.94489444713713 -688.780649117471</f>
        <v>-1416.4258789031321</v>
      </c>
      <c r="J2139" t="s">
        <v>26750</v>
      </c>
      <c r="K2139" t="s">
        <v>26751</v>
      </c>
      <c r="L2139" t="s">
        <v>26752</v>
      </c>
      <c r="M2139" t="s">
        <v>26753</v>
      </c>
      <c r="N2139">
        <f>-741.525017578746 -45.9641085877784 -557.607401668607</f>
        <v>-1345.0965278351314</v>
      </c>
      <c r="O2139">
        <f>-705.561000109966 -176.442830678284 -533.567797935776</f>
        <v>-1415.5716287240261</v>
      </c>
      <c r="P2139">
        <f>-670.31080676491 -260.530605078976 -253.785913579838</f>
        <v>-1184.627325423724</v>
      </c>
      <c r="Q2139">
        <f>-552.120536522435 -63.2543900616356 -325.647077473759</f>
        <v>-941.02200405782969</v>
      </c>
      <c r="R2139" t="s">
        <v>26754</v>
      </c>
      <c r="S2139" t="s">
        <v>26755</v>
      </c>
      <c r="T2139" t="s">
        <v>26756</v>
      </c>
      <c r="U2139" t="s">
        <v>26757</v>
      </c>
      <c r="V2139">
        <f>-691.002835834168 -94.5749218797596 -92.7545438387014</f>
        <v>-878.33230155262891</v>
      </c>
      <c r="W2139" t="s">
        <v>26758</v>
      </c>
      <c r="X2139" t="s">
        <v>26759</v>
      </c>
      <c r="Y2139" t="s">
        <v>26760</v>
      </c>
    </row>
    <row r="2140" spans="1:25" x14ac:dyDescent="0.3">
      <c r="A2140">
        <v>106950</v>
      </c>
      <c r="B2140" t="s">
        <v>26761</v>
      </c>
      <c r="C2140">
        <f>-727.730601970576 -6.31289901556966 -96.5900924595647</f>
        <v>-830.6335934457104</v>
      </c>
      <c r="D2140">
        <f>-743.499476395065 -19.096562417287 -210.625806784021</f>
        <v>-973.22184559637299</v>
      </c>
      <c r="E2140">
        <f>-749.218478100795 -23.0106049716471 -309.005879130629</f>
        <v>-1081.2349622030711</v>
      </c>
      <c r="F2140">
        <f>-751.72711592887 -24.0262765458979 -398.061602661426</f>
        <v>-1173.8149951361938</v>
      </c>
      <c r="G2140">
        <f>-751.185222417021 -22.4657964173675 -487.143001644518</f>
        <v>-1260.7940204789065</v>
      </c>
      <c r="H2140">
        <f>-747.180384729895 -17.6433025635117 -611.567759821216</f>
        <v>-1376.3914471146227</v>
      </c>
      <c r="I2140">
        <f>-717.435786561912 -10.5421592032412 -688.832737701744</f>
        <v>-1416.8106834668972</v>
      </c>
      <c r="J2140" t="s">
        <v>26762</v>
      </c>
      <c r="K2140" t="s">
        <v>26763</v>
      </c>
      <c r="L2140" t="s">
        <v>26764</v>
      </c>
      <c r="M2140" t="s">
        <v>26765</v>
      </c>
      <c r="N2140">
        <f>-741.307754570067 -46.3902773595373 -557.600802040794</f>
        <v>-1345.2988339703984</v>
      </c>
      <c r="O2140">
        <f>-705.479494430745 -176.869082113421 -533.344957006137</f>
        <v>-1415.6935335503031</v>
      </c>
      <c r="P2140">
        <f>-671.965605392007 -260.046466838468 -253.077932176369</f>
        <v>-1185.0900044068439</v>
      </c>
      <c r="Q2140">
        <f>-552.261888850966 -63.9070355538549 -325.543122568238</f>
        <v>-941.71204697305893</v>
      </c>
      <c r="R2140" t="s">
        <v>26766</v>
      </c>
      <c r="S2140" t="s">
        <v>26767</v>
      </c>
      <c r="T2140" t="s">
        <v>26768</v>
      </c>
      <c r="U2140" t="s">
        <v>26769</v>
      </c>
      <c r="V2140">
        <f>-691.137260631041 -94.6923907951689 -92.7508277340687</f>
        <v>-878.58047916027863</v>
      </c>
      <c r="W2140" t="s">
        <v>26770</v>
      </c>
      <c r="X2140" t="s">
        <v>26771</v>
      </c>
      <c r="Y2140" t="s">
        <v>26772</v>
      </c>
    </row>
    <row r="2141" spans="1:25" x14ac:dyDescent="0.3">
      <c r="A2141">
        <v>107000</v>
      </c>
      <c r="B2141" t="s">
        <v>26773</v>
      </c>
      <c r="C2141">
        <f>-727.884003867473 -6.47864876096196 -96.6079933889243</f>
        <v>-830.97064601735929</v>
      </c>
      <c r="D2141">
        <f>-743.6693336841 -19.2982851089273 -210.637428386404</f>
        <v>-973.60504717943127</v>
      </c>
      <c r="E2141">
        <f>-749.347046188501 -23.3326308179039 -309.014906984184</f>
        <v>-1081.6945839905889</v>
      </c>
      <c r="F2141">
        <f>-751.797739682223 -24.4924388695374 -398.070480536978</f>
        <v>-1174.3606590887384</v>
      </c>
      <c r="G2141">
        <f>-751.178550444272 -23.1119897710846 -487.154461810253</f>
        <v>-1261.4450020256095</v>
      </c>
      <c r="H2141">
        <f>-747.046461690598 -18.5784915813742 -611.585897200949</f>
        <v>-1377.2108504729213</v>
      </c>
      <c r="I2141">
        <f>-717.203146290965 -11.6149300090099 -688.825307787908</f>
        <v>-1417.6433840878829</v>
      </c>
      <c r="J2141" t="s">
        <v>26774</v>
      </c>
      <c r="K2141" t="s">
        <v>26775</v>
      </c>
      <c r="L2141" t="s">
        <v>26776</v>
      </c>
      <c r="M2141" t="s">
        <v>26777</v>
      </c>
      <c r="N2141">
        <f>-741.250617445172 -47.2061490398137 -557.547204427169</f>
        <v>-1346.0039709121547</v>
      </c>
      <c r="O2141">
        <f>-705.657263600936 -177.673763429208 -532.95781157702</f>
        <v>-1416.2888386071641</v>
      </c>
      <c r="P2141">
        <f>-673.378840860803 -259.357359697527 -252.107143731375</f>
        <v>-1184.8433442897049</v>
      </c>
      <c r="Q2141">
        <f>-552.247423504861 -64.6253407312795 -325.981706150598</f>
        <v>-942.85447038673851</v>
      </c>
      <c r="R2141" t="s">
        <v>26778</v>
      </c>
      <c r="S2141" t="s">
        <v>26779</v>
      </c>
      <c r="T2141" t="s">
        <v>26780</v>
      </c>
      <c r="U2141" t="s">
        <v>26781</v>
      </c>
      <c r="V2141">
        <f>-691.405166253542 -94.808087261358 -92.7463394543294</f>
        <v>-878.95959296922933</v>
      </c>
      <c r="W2141" t="s">
        <v>26782</v>
      </c>
      <c r="X2141" t="s">
        <v>26783</v>
      </c>
      <c r="Y2141" t="s">
        <v>26784</v>
      </c>
    </row>
    <row r="2142" spans="1:25" x14ac:dyDescent="0.3">
      <c r="A2142">
        <v>107050</v>
      </c>
      <c r="B2142" t="s">
        <v>26785</v>
      </c>
      <c r="C2142">
        <f>-727.884530896657 -6.59514923808592 -96.6196704974142</f>
        <v>-831.0993506321571</v>
      </c>
      <c r="D2142">
        <f>-743.700525373885 -19.4234648065394 -210.64391231961</f>
        <v>-973.76790250003432</v>
      </c>
      <c r="E2142">
        <f>-749.401596288981 -23.5015243541413 -309.018285753755</f>
        <v>-1081.9214063968773</v>
      </c>
      <c r="F2142">
        <f>-751.873317840781 -24.7153942128232 -398.07253785301</f>
        <v>-1174.6612499066141</v>
      </c>
      <c r="G2142">
        <f>-751.274861065921 -23.4034651838992 -487.157665210135</f>
        <v>-1261.8359914599553</v>
      </c>
      <c r="H2142">
        <f>-747.171376198625 -18.9810045955292 -611.594065299537</f>
        <v>-1377.7464460936912</v>
      </c>
      <c r="I2142">
        <f>-717.25550713554 -12.0568122285242 -688.808781053043</f>
        <v>-1418.1211004171073</v>
      </c>
      <c r="J2142" t="s">
        <v>26786</v>
      </c>
      <c r="K2142" t="s">
        <v>26787</v>
      </c>
      <c r="L2142" t="s">
        <v>26788</v>
      </c>
      <c r="M2142" t="s">
        <v>26789</v>
      </c>
      <c r="N2142">
        <f>-741.380202840676 -47.5653223962613 -557.532075460574</f>
        <v>-1346.4776006975112</v>
      </c>
      <c r="O2142">
        <f>-705.886091321825 -178.056057260789 -532.826732474099</f>
        <v>-1416.7688810567129</v>
      </c>
      <c r="P2142">
        <f>-673.345811959126 -259.296343550829 -251.877765361039</f>
        <v>-1184.5199208709942</v>
      </c>
      <c r="Q2142">
        <f>-552.080097164673 -64.8934173313967 -326.39605800339</f>
        <v>-943.36957249945976</v>
      </c>
      <c r="R2142" t="s">
        <v>26790</v>
      </c>
      <c r="S2142" t="s">
        <v>26791</v>
      </c>
      <c r="T2142" t="s">
        <v>26792</v>
      </c>
      <c r="U2142" t="s">
        <v>26793</v>
      </c>
      <c r="V2142">
        <f>-691.396165339165 -94.976496752932 -92.7410765473842</f>
        <v>-879.1137386394812</v>
      </c>
      <c r="W2142" t="s">
        <v>26794</v>
      </c>
      <c r="X2142" t="s">
        <v>26795</v>
      </c>
      <c r="Y2142" t="s">
        <v>26796</v>
      </c>
    </row>
    <row r="2143" spans="1:25" x14ac:dyDescent="0.3">
      <c r="A2143">
        <v>107100</v>
      </c>
      <c r="B2143" t="s">
        <v>26797</v>
      </c>
      <c r="C2143">
        <f>-727.874917546695 -7.06616773559153 -96.6148612310839</f>
        <v>-831.55594651337037</v>
      </c>
      <c r="D2143">
        <f>-743.782776098028 -19.9205273161178 -210.623283549375</f>
        <v>-974.32658696352087</v>
      </c>
      <c r="E2143">
        <f>-749.57300501146 -24.0435581849536 -308.990633566151</f>
        <v>-1082.6071967625646</v>
      </c>
      <c r="F2143">
        <f>-752.129434498577 -25.3068843368824 -398.041818053298</f>
        <v>-1175.4781368887575</v>
      </c>
      <c r="G2143">
        <f>-751.619704329889 -24.05358111644 -487.128278593086</f>
        <v>-1262.8015640394151</v>
      </c>
      <c r="H2143">
        <f>-747.644339523958 -19.7227792771391 -611.572137271991</f>
        <v>-1378.939256073088</v>
      </c>
      <c r="I2143">
        <f>-717.748862968316 -12.8339140811756 -688.797984887057</f>
        <v>-1419.3807619365487</v>
      </c>
      <c r="J2143" t="s">
        <v>26798</v>
      </c>
      <c r="K2143" t="s">
        <v>26799</v>
      </c>
      <c r="L2143" t="s">
        <v>26800</v>
      </c>
      <c r="M2143" t="s">
        <v>26801</v>
      </c>
      <c r="N2143">
        <f>-741.8222567127 -48.2743384293997 -557.496021465039</f>
        <v>-1347.5926166071386</v>
      </c>
      <c r="O2143">
        <f>-706.402611764571 -178.748057511761 -532.664600129565</f>
        <v>-1417.815269405897</v>
      </c>
      <c r="P2143">
        <f>-673.242870162586 -259.515771300389 -251.65180326043</f>
        <v>-1184.4104447234049</v>
      </c>
      <c r="Q2143">
        <f>-552.300854047607 -65.2660557322145 -327.090097267643</f>
        <v>-944.6570070474645</v>
      </c>
      <c r="R2143" t="s">
        <v>26802</v>
      </c>
      <c r="S2143" t="s">
        <v>26803</v>
      </c>
      <c r="T2143" t="s">
        <v>26804</v>
      </c>
      <c r="U2143" t="s">
        <v>26805</v>
      </c>
      <c r="V2143">
        <f>-691.386938552472 -95.4739017592706 -92.7376256097917</f>
        <v>-879.59846592153428</v>
      </c>
      <c r="W2143" t="s">
        <v>26806</v>
      </c>
      <c r="X2143" t="s">
        <v>26807</v>
      </c>
      <c r="Y2143" t="s">
        <v>26808</v>
      </c>
    </row>
    <row r="2144" spans="1:25" x14ac:dyDescent="0.3">
      <c r="A2144">
        <v>107150</v>
      </c>
      <c r="B2144" t="s">
        <v>26809</v>
      </c>
      <c r="C2144">
        <f>-727.892110632595 -7.37313449382873 -96.5980918638224</f>
        <v>-831.86333699024613</v>
      </c>
      <c r="D2144">
        <f>-743.814358537968 -20.2246521436427 -210.604858948616</f>
        <v>-974.64386963022673</v>
      </c>
      <c r="E2144">
        <f>-749.586757994223 -24.3433716608238 -308.973425945077</f>
        <v>-1082.9035556001238</v>
      </c>
      <c r="F2144">
        <f>-752.114480437413 -25.6029781130949 -398.025459971275</f>
        <v>-1175.7429185217829</v>
      </c>
      <c r="G2144">
        <f>-751.56299174037 -24.3471147110606 -487.11173162104</f>
        <v>-1263.0218380724705</v>
      </c>
      <c r="H2144">
        <f>-747.515486544112 -20.0139162366731 -611.553037962529</f>
        <v>-1379.0824407433142</v>
      </c>
      <c r="I2144">
        <f>-717.633215126359 -13.1135292319768 -688.782981770673</f>
        <v>-1419.5297261290088</v>
      </c>
      <c r="J2144" t="s">
        <v>26810</v>
      </c>
      <c r="K2144" t="s">
        <v>26811</v>
      </c>
      <c r="L2144" t="s">
        <v>26812</v>
      </c>
      <c r="M2144" t="s">
        <v>26813</v>
      </c>
      <c r="N2144">
        <f>-741.731046356779 -48.5682517525604 -557.47443942137</f>
        <v>-1347.7737375307092</v>
      </c>
      <c r="O2144">
        <f>-706.301206458825 -179.042680103923 -532.614155710912</f>
        <v>-1417.9580422736599</v>
      </c>
      <c r="P2144">
        <f>-673.138730631128 -259.673593424034 -251.562397121551</f>
        <v>-1184.3747211767129</v>
      </c>
      <c r="Q2144">
        <f>-552.308642515626 -65.5185489786993 -327.422591736869</f>
        <v>-945.24978323119433</v>
      </c>
      <c r="R2144" t="s">
        <v>26814</v>
      </c>
      <c r="S2144" t="s">
        <v>26815</v>
      </c>
      <c r="T2144" t="s">
        <v>26816</v>
      </c>
      <c r="U2144" t="s">
        <v>26817</v>
      </c>
      <c r="V2144">
        <f>-691.381494719978 -95.7413998949955 -92.7291474407576</f>
        <v>-879.8520420557312</v>
      </c>
      <c r="W2144" t="s">
        <v>26818</v>
      </c>
      <c r="X2144" t="s">
        <v>26819</v>
      </c>
      <c r="Y2144" t="s">
        <v>26820</v>
      </c>
    </row>
    <row r="2145" spans="1:25" x14ac:dyDescent="0.3">
      <c r="A2145">
        <v>107200</v>
      </c>
      <c r="B2145" t="s">
        <v>26821</v>
      </c>
      <c r="C2145">
        <f>-728.113801848051 -8.33388964652431 -96.5433103061085</f>
        <v>-832.99100180068388</v>
      </c>
      <c r="D2145">
        <f>-744.064478975325 -21.1748665581065 -210.547386427536</f>
        <v>-975.78673196096747</v>
      </c>
      <c r="E2145">
        <f>-749.767915007777 -25.2839480928908 -308.920431178819</f>
        <v>-1083.9722942794867</v>
      </c>
      <c r="F2145">
        <f>-752.19446215656 -26.5375975914462 -397.975290674938</f>
        <v>-1176.7073504229443</v>
      </c>
      <c r="G2145">
        <f>-751.502521153699 -25.2794930553316 -487.060537910757</f>
        <v>-1263.8425521197876</v>
      </c>
      <c r="H2145">
        <f>-747.217282290628 -20.9493395538261 -611.493949008531</f>
        <v>-1379.6605708529851</v>
      </c>
      <c r="I2145">
        <f>-717.285368163984 -14.0050579467229 -688.70067443326</f>
        <v>-1419.9911005439669</v>
      </c>
      <c r="J2145" t="s">
        <v>26822</v>
      </c>
      <c r="K2145" t="s">
        <v>26823</v>
      </c>
      <c r="L2145" t="s">
        <v>26824</v>
      </c>
      <c r="M2145" t="s">
        <v>26825</v>
      </c>
      <c r="N2145">
        <f>-741.535300868469 -49.5021360068743 -557.403621738344</f>
        <v>-1348.4410586136873</v>
      </c>
      <c r="O2145">
        <f>-706.031764518401 -179.949287505151 -532.5100468863</f>
        <v>-1418.4910989098521</v>
      </c>
      <c r="P2145">
        <f>-673.482738844499 -259.904639036109 -251.19370981875</f>
        <v>-1184.581087699358</v>
      </c>
      <c r="Q2145">
        <f>-552.236325758085 -66.346650795824 -327.9106106879</f>
        <v>-946.49358724180888</v>
      </c>
      <c r="R2145" t="s">
        <v>26826</v>
      </c>
      <c r="S2145" t="s">
        <v>26827</v>
      </c>
      <c r="T2145" t="s">
        <v>26828</v>
      </c>
      <c r="U2145" t="s">
        <v>26829</v>
      </c>
      <c r="V2145">
        <f>-691.521155962691 -96.7983126825923 -92.6758011523244</f>
        <v>-880.99526979760765</v>
      </c>
      <c r="W2145" t="s">
        <v>26830</v>
      </c>
      <c r="X2145" t="s">
        <v>26831</v>
      </c>
      <c r="Y2145" t="s">
        <v>26832</v>
      </c>
    </row>
    <row r="2146" spans="1:25" x14ac:dyDescent="0.3">
      <c r="A2146">
        <v>107250</v>
      </c>
      <c r="B2146" t="s">
        <v>26833</v>
      </c>
      <c r="C2146">
        <f>-728.272153314097 -8.99554794154142 -96.4848480454093</f>
        <v>-833.75254930104768</v>
      </c>
      <c r="D2146">
        <f>-744.25506653582 -21.8275367097303 -210.485207011526</f>
        <v>-976.5678102570763</v>
      </c>
      <c r="E2146">
        <f>-749.935944663004 -25.9266606236772 -308.860016166402</f>
        <v>-1084.7226214530831</v>
      </c>
      <c r="F2146">
        <f>-752.321468900784 -27.1712124965657 -397.916164654387</f>
        <v>-1177.4088460517366</v>
      </c>
      <c r="G2146">
        <f>-751.568034491503 -25.9049100737054 -487.000828402988</f>
        <v>-1264.4737729681965</v>
      </c>
      <c r="H2146">
        <f>-747.175285096821 -21.564212104598 -611.430189642538</f>
        <v>-1380.1696868439572</v>
      </c>
      <c r="I2146">
        <f>-717.201120359379 -14.5730346214964 -688.616321819982</f>
        <v>-1420.3904768008574</v>
      </c>
      <c r="J2146" t="s">
        <v>26834</v>
      </c>
      <c r="K2146" t="s">
        <v>26835</v>
      </c>
      <c r="L2146" t="s">
        <v>26836</v>
      </c>
      <c r="M2146" t="s">
        <v>26837</v>
      </c>
      <c r="N2146">
        <f>-741.537040517018 -50.1206389101139 -557.337145843289</f>
        <v>-1348.994825270421</v>
      </c>
      <c r="O2146">
        <f>-705.97772082764 -180.563262569707 -532.467501161419</f>
        <v>-1419.0084845587662</v>
      </c>
      <c r="P2146">
        <f>-673.761041107969 -260.120537901618 -250.999963644373</f>
        <v>-1184.88154265396</v>
      </c>
      <c r="Q2146">
        <f>-552.217137873158 -66.8662500824844 -328.01124762358</f>
        <v>-947.09463557922231</v>
      </c>
      <c r="R2146" t="s">
        <v>26838</v>
      </c>
      <c r="S2146" t="s">
        <v>26839</v>
      </c>
      <c r="T2146" t="s">
        <v>26840</v>
      </c>
      <c r="U2146" t="s">
        <v>26841</v>
      </c>
      <c r="V2146">
        <f>-691.6449798966 -97.5406189928867 -92.6254347072198</f>
        <v>-881.81103359670658</v>
      </c>
      <c r="W2146" t="s">
        <v>26842</v>
      </c>
      <c r="X2146" t="s">
        <v>26843</v>
      </c>
      <c r="Y2146" t="s">
        <v>26844</v>
      </c>
    </row>
    <row r="2147" spans="1:25" x14ac:dyDescent="0.3">
      <c r="A2147">
        <v>107300</v>
      </c>
      <c r="B2147" t="s">
        <v>26845</v>
      </c>
      <c r="C2147">
        <f>-728.709378731818 -10.3868736971735 -96.3362106006113</f>
        <v>-835.43246302960279</v>
      </c>
      <c r="D2147">
        <f>-744.631236218342 -23.1037272577755 -210.358191438174</f>
        <v>-978.09315491429152</v>
      </c>
      <c r="E2147">
        <f>-750.30330066476 -27.1121704872344 -308.737110635581</f>
        <v>-1086.1525817875754</v>
      </c>
      <c r="F2147">
        <f>-752.699091157868 -28.2772887388601 -397.79410645817</f>
        <v>-1178.7704863548981</v>
      </c>
      <c r="G2147">
        <f>-751.974320427144 -26.9332103936717 -486.877712410114</f>
        <v>-1265.7852432309296</v>
      </c>
      <c r="H2147">
        <f>-747.641542518353 -22.4846958558064 -611.305410876741</f>
        <v>-1381.4316492509006</v>
      </c>
      <c r="I2147">
        <f>-717.666294617944 -15.3667581558375 -688.479647116639</f>
        <v>-1421.5126998904204</v>
      </c>
      <c r="J2147" t="s">
        <v>26846</v>
      </c>
      <c r="K2147" t="s">
        <v>26847</v>
      </c>
      <c r="L2147" t="s">
        <v>26848</v>
      </c>
      <c r="M2147" t="s">
        <v>26849</v>
      </c>
      <c r="N2147">
        <f>-741.94676419032 -51.0793219996754 -557.238579295432</f>
        <v>-1350.2646654854275</v>
      </c>
      <c r="O2147">
        <f>-706.264892718526 -181.501374623675 -532.439574705745</f>
        <v>-1420.2058420479461</v>
      </c>
      <c r="P2147">
        <f>-674.350906803896 -260.566356373341 -250.799125775459</f>
        <v>-1185.716388952696</v>
      </c>
      <c r="Q2147">
        <f>-552.290655319143 -67.73525555025 -328.053808770013</f>
        <v>-948.07971963940599</v>
      </c>
      <c r="R2147" t="s">
        <v>26850</v>
      </c>
      <c r="S2147" t="s">
        <v>26851</v>
      </c>
      <c r="T2147" t="s">
        <v>26852</v>
      </c>
      <c r="U2147" t="s">
        <v>26853</v>
      </c>
      <c r="V2147">
        <f>-692.089782221702 -98.9796169691456 -92.5235080990157</f>
        <v>-883.59290728986321</v>
      </c>
      <c r="W2147" t="s">
        <v>26854</v>
      </c>
      <c r="X2147" t="s">
        <v>26855</v>
      </c>
      <c r="Y2147" t="s">
        <v>26856</v>
      </c>
    </row>
    <row r="2148" spans="1:25" x14ac:dyDescent="0.3">
      <c r="A2148">
        <v>107350</v>
      </c>
      <c r="B2148" t="s">
        <v>26857</v>
      </c>
      <c r="C2148">
        <f>-729.008502257245 -10.9725428144559 -96.2341814244334</f>
        <v>-836.21522649613428</v>
      </c>
      <c r="D2148">
        <f>-744.864916944568 -23.59587296366 -210.275577119318</f>
        <v>-978.73636702754595</v>
      </c>
      <c r="E2148">
        <f>-750.565417912447 -27.5332545076155 -308.655726171342</f>
        <v>-1086.7543985914044</v>
      </c>
      <c r="F2148">
        <f>-753.021440256592 -28.6364549104642 -397.711884532712</f>
        <v>-1179.3697796997681</v>
      </c>
      <c r="G2148">
        <f>-752.392124670819 -27.2313578953508 -486.795355181815</f>
        <v>-1266.418837747985</v>
      </c>
      <c r="H2148">
        <f>-748.229680798158 -22.6978161557311 -611.225897420239</f>
        <v>-1382.1533943741281</v>
      </c>
      <c r="I2148">
        <f>-718.305531447466 -15.5093303839669 -688.413388130542</f>
        <v>-1422.2282499619751</v>
      </c>
      <c r="J2148" t="s">
        <v>26858</v>
      </c>
      <c r="K2148" t="s">
        <v>26859</v>
      </c>
      <c r="L2148" t="s">
        <v>26860</v>
      </c>
      <c r="M2148" t="s">
        <v>26861</v>
      </c>
      <c r="N2148">
        <f>-742.439971170071 -51.3235809180053 -557.185448137542</f>
        <v>-1350.9490002256184</v>
      </c>
      <c r="O2148">
        <f>-706.678800741759 -181.74378057621 -532.483094815069</f>
        <v>-1420.905676133038</v>
      </c>
      <c r="P2148">
        <f>-674.783757172405 -260.840918088612 -250.849262955638</f>
        <v>-1186.4739382166551</v>
      </c>
      <c r="Q2148">
        <f>-552.691685649847 -68.0165105425865 -328.070928061361</f>
        <v>-948.77912425379452</v>
      </c>
      <c r="R2148" t="s">
        <v>26862</v>
      </c>
      <c r="S2148" t="s">
        <v>26863</v>
      </c>
      <c r="T2148" t="s">
        <v>26864</v>
      </c>
      <c r="U2148" t="s">
        <v>26865</v>
      </c>
      <c r="V2148">
        <f>-692.432119127179 -99.5391653244458 -92.4766266670065</f>
        <v>-884.44791111863128</v>
      </c>
      <c r="W2148" t="s">
        <v>26866</v>
      </c>
      <c r="X2148" t="s">
        <v>26867</v>
      </c>
      <c r="Y2148" t="s">
        <v>26868</v>
      </c>
    </row>
    <row r="2149" spans="1:25" x14ac:dyDescent="0.3">
      <c r="A2149">
        <v>107400</v>
      </c>
      <c r="B2149" t="s">
        <v>26869</v>
      </c>
      <c r="C2149">
        <f>-729.679416857369 -11.7919855877685 -96.009477849205</f>
        <v>-837.48088029434257</v>
      </c>
      <c r="D2149">
        <f>-745.40117849169 -24.2197264688746 -210.091081982729</f>
        <v>-979.7119869432936</v>
      </c>
      <c r="E2149">
        <f>-751.169256072462 -28.0363238128255 -308.472062711507</f>
        <v>-1087.6776425967944</v>
      </c>
      <c r="F2149">
        <f>-753.761671155766 -29.0460850080713 -397.525247504995</f>
        <v>-1180.3330036688321</v>
      </c>
      <c r="G2149">
        <f>-753.344630670662 -27.5612449713078 -486.608867772181</f>
        <v>-1267.5147434141509</v>
      </c>
      <c r="H2149">
        <f>-749.558879163964 -22.9288433073302 -611.047598913874</f>
        <v>-1383.5353213851681</v>
      </c>
      <c r="I2149">
        <f>-719.799846185045 -15.6594307546209 -688.291286599083</f>
        <v>-1423.7505635387488</v>
      </c>
      <c r="J2149" t="s">
        <v>26870</v>
      </c>
      <c r="K2149" t="s">
        <v>26871</v>
      </c>
      <c r="L2149" t="s">
        <v>26872</v>
      </c>
      <c r="M2149" t="s">
        <v>26873</v>
      </c>
      <c r="N2149">
        <f>-743.59934925482 -51.5957473780761 -557.047511807658</f>
        <v>-1352.2426084405542</v>
      </c>
      <c r="O2149">
        <f>-707.734258667235 -182.009934460077 -532.520723202946</f>
        <v>-1422.2649163302581</v>
      </c>
      <c r="P2149">
        <f>-675.209508309282 -261.464064803436 -251.059381927408</f>
        <v>-1187.7329550401259</v>
      </c>
      <c r="Q2149">
        <f>-553.665280838815 -68.1382646790712 -327.890739626033</f>
        <v>-949.69428514391916</v>
      </c>
      <c r="R2149" t="s">
        <v>26874</v>
      </c>
      <c r="S2149" t="s">
        <v>26875</v>
      </c>
      <c r="T2149" t="s">
        <v>26876</v>
      </c>
      <c r="U2149" t="s">
        <v>26877</v>
      </c>
      <c r="V2149">
        <f>-693.065238562361 -100.248218643808 -92.3777532141784</f>
        <v>-885.69121042034737</v>
      </c>
      <c r="W2149" t="s">
        <v>26878</v>
      </c>
      <c r="X2149" t="s">
        <v>26879</v>
      </c>
      <c r="Y2149" t="s">
        <v>26880</v>
      </c>
    </row>
    <row r="2150" spans="1:25" x14ac:dyDescent="0.3">
      <c r="A2150">
        <v>107450</v>
      </c>
      <c r="B2150" t="s">
        <v>26881</v>
      </c>
      <c r="C2150">
        <f>-730.173852811346 -12.3402431855538 -95.9033088970491</f>
        <v>-838.41740489394897</v>
      </c>
      <c r="D2150">
        <f>-745.855361457352 -24.6872499858698 -209.999164589998</f>
        <v>-980.54177603321989</v>
      </c>
      <c r="E2150">
        <f>-751.664887814935 -28.4587967179384 -308.379552418271</f>
        <v>-1088.5032369511443</v>
      </c>
      <c r="F2150">
        <f>-754.32617644342 -29.4364329842647 -397.431114839722</f>
        <v>-1181.1937242674067</v>
      </c>
      <c r="G2150">
        <f>-754.009685054781 -27.9274963820819 -486.514620089157</f>
        <v>-1268.4518015260201</v>
      </c>
      <c r="H2150">
        <f>-750.397716645722 -23.2690423640543 -610.957689306693</f>
        <v>-1384.6244483164692</v>
      </c>
      <c r="I2150">
        <f>-720.693061502814 -15.9813248040678 -688.220572376965</f>
        <v>-1424.8949586838467</v>
      </c>
      <c r="J2150" t="s">
        <v>26882</v>
      </c>
      <c r="K2150" t="s">
        <v>26883</v>
      </c>
      <c r="L2150" t="s">
        <v>26884</v>
      </c>
      <c r="M2150" t="s">
        <v>26885</v>
      </c>
      <c r="N2150">
        <f>-744.369143631493 -51.9489351800116 -556.97216013204</f>
        <v>-1353.2902389435446</v>
      </c>
      <c r="O2150">
        <f>-708.421277564109 -182.354395253264 -532.520686018309</f>
        <v>-1423.296358835682</v>
      </c>
      <c r="P2150">
        <f>-675.483206444045 -261.85557086262 -251.120778092888</f>
        <v>-1188.459555399553</v>
      </c>
      <c r="Q2150">
        <f>-554.405520804361 -68.1508365491507 -327.734199602546</f>
        <v>-950.29055695605769</v>
      </c>
      <c r="R2150" t="s">
        <v>26886</v>
      </c>
      <c r="S2150" t="s">
        <v>26887</v>
      </c>
      <c r="T2150" t="s">
        <v>26888</v>
      </c>
      <c r="U2150" t="s">
        <v>26889</v>
      </c>
      <c r="V2150">
        <f>-693.625333209568 -100.943986881549 -92.3095519603228</f>
        <v>-886.87887205143977</v>
      </c>
      <c r="W2150" t="s">
        <v>26890</v>
      </c>
      <c r="X2150" t="s">
        <v>26891</v>
      </c>
      <c r="Y2150" t="s">
        <v>26892</v>
      </c>
    </row>
    <row r="2151" spans="1:25" x14ac:dyDescent="0.3">
      <c r="A2151">
        <v>107500</v>
      </c>
      <c r="B2151" t="s">
        <v>26893</v>
      </c>
      <c r="C2151">
        <f>-731.090570291731 -13.3318684318256 -95.7055218822738</f>
        <v>-840.12796060583037</v>
      </c>
      <c r="D2151">
        <f>-746.748561780529 -25.5654434677444 -209.816881105672</f>
        <v>-982.13088635394547</v>
      </c>
      <c r="E2151">
        <f>-752.676237028809 -29.2687785866844 -308.192606453888</f>
        <v>-1090.1376220693815</v>
      </c>
      <c r="F2151">
        <f>-755.500616924356 -30.1939490520083 -397.23987304922</f>
        <v>-1182.9344390255842</v>
      </c>
      <c r="G2151">
        <f>-755.403447757266 -28.6410021160057 -486.323142446058</f>
        <v>-1270.3675923193296</v>
      </c>
      <c r="H2151">
        <f>-752.157127581003 -23.9286069359496 -610.774178634788</f>
        <v>-1386.8599131517406</v>
      </c>
      <c r="I2151">
        <f>-722.563135566233 -16.6282239851662 -688.078344536445</f>
        <v>-1427.2697040878443</v>
      </c>
      <c r="J2151" t="s">
        <v>26894</v>
      </c>
      <c r="K2151" t="s">
        <v>26895</v>
      </c>
      <c r="L2151" t="s">
        <v>26896</v>
      </c>
      <c r="M2151" t="s">
        <v>26897</v>
      </c>
      <c r="N2151">
        <f>-745.992906208815 -52.6384649363572 -556.819904232269</f>
        <v>-1355.4512753774411</v>
      </c>
      <c r="O2151">
        <f>-709.953713955689 -183.055114756921 -532.541668651054</f>
        <v>-1425.5504973636639</v>
      </c>
      <c r="P2151">
        <f>-676.222298777925 -262.402503966202 -251.192541022574</f>
        <v>-1189.817343766701</v>
      </c>
      <c r="Q2151">
        <f>-556.092612315381 -68.0136823099854 -327.565090383011</f>
        <v>-951.67138500837734</v>
      </c>
      <c r="R2151" t="s">
        <v>26898</v>
      </c>
      <c r="S2151" t="s">
        <v>26899</v>
      </c>
      <c r="T2151" t="s">
        <v>26900</v>
      </c>
      <c r="U2151" t="s">
        <v>26901</v>
      </c>
      <c r="V2151">
        <f>-694.604188259628 -102.03202050926 -92.1705910943801</f>
        <v>-888.80679986326811</v>
      </c>
      <c r="W2151" t="s">
        <v>26902</v>
      </c>
      <c r="X2151" t="s">
        <v>26903</v>
      </c>
      <c r="Y2151" t="s">
        <v>26904</v>
      </c>
    </row>
    <row r="2152" spans="1:25" x14ac:dyDescent="0.3">
      <c r="A2152">
        <v>107550</v>
      </c>
      <c r="B2152" t="s">
        <v>26905</v>
      </c>
      <c r="C2152">
        <f>-731.460688447002 -13.7986011489447 -95.6168666805222</f>
        <v>-840.87615627646892</v>
      </c>
      <c r="D2152">
        <f>-747.12906170143 -25.9932815915265 -209.730828631259</f>
        <v>-982.85317192421553</v>
      </c>
      <c r="E2152">
        <f>-753.119034924847 -29.6762887080256 -308.103773754723</f>
        <v>-1090.8990973875957</v>
      </c>
      <c r="F2152">
        <f>-756.020685613123 -30.588229403412 -397.148663284842</f>
        <v>-1183.757578301377</v>
      </c>
      <c r="G2152">
        <f>-756.021516261486 -29.0272694070975 -486.231636289439</f>
        <v>-1271.2804219580225</v>
      </c>
      <c r="H2152">
        <f>-752.933984623081 -24.3093422286991 -610.686667010468</f>
        <v>-1387.929993862248</v>
      </c>
      <c r="I2152">
        <f>-723.374633442784 -17.0250376302852 -688.005602242717</f>
        <v>-1428.4052733157862</v>
      </c>
      <c r="J2152" t="s">
        <v>26906</v>
      </c>
      <c r="K2152" t="s">
        <v>26907</v>
      </c>
      <c r="L2152" t="s">
        <v>26908</v>
      </c>
      <c r="M2152" t="s">
        <v>26909</v>
      </c>
      <c r="N2152">
        <f>-746.726641186909 -53.0289683865394 -556.742457980952</f>
        <v>-1356.4980675544004</v>
      </c>
      <c r="O2152">
        <f>-710.66393962712 -183.449686155772 -532.551693188449</f>
        <v>-1426.6653189713411</v>
      </c>
      <c r="P2152">
        <f>-676.510724177435 -262.663329839701 -251.215682084355</f>
        <v>-1190.3897361014911</v>
      </c>
      <c r="Q2152">
        <f>-556.594298848853 -68.128969111011 -327.551954494783</f>
        <v>-952.27522245464695</v>
      </c>
      <c r="R2152" t="s">
        <v>26910</v>
      </c>
      <c r="S2152" t="s">
        <v>26911</v>
      </c>
      <c r="T2152" t="s">
        <v>26912</v>
      </c>
      <c r="U2152" t="s">
        <v>26913</v>
      </c>
      <c r="V2152">
        <f>-694.938502983297 -102.53529724052 -92.101477275233</f>
        <v>-889.57527749905</v>
      </c>
      <c r="W2152" t="s">
        <v>26914</v>
      </c>
      <c r="X2152" t="s">
        <v>26915</v>
      </c>
      <c r="Y2152" t="s">
        <v>26916</v>
      </c>
    </row>
    <row r="2153" spans="1:25" x14ac:dyDescent="0.3">
      <c r="A2153">
        <v>107600</v>
      </c>
      <c r="B2153" t="s">
        <v>26917</v>
      </c>
      <c r="C2153">
        <f>-732.144713500734 -14.8387229351247 -95.4131975868485</f>
        <v>-842.39663402270719</v>
      </c>
      <c r="D2153">
        <f>-747.843072313856 -27.025026667266 -209.524055910361</f>
        <v>-984.39215489148307</v>
      </c>
      <c r="E2153">
        <f>-753.983531140968 -30.6753793511909 -307.888752244534</f>
        <v>-1092.5476627366929</v>
      </c>
      <c r="F2153">
        <f>-757.069202319927 -31.5480500049141 -396.927803767329</f>
        <v>-1185.5450560921699</v>
      </c>
      <c r="G2153">
        <f>-757.30054459412 -29.9386236231676 -486.009892172373</f>
        <v>-1273.2490603896606</v>
      </c>
      <c r="H2153">
        <f>-754.582116555478 -25.1435105415685 -610.470404233117</f>
        <v>-1390.1960313301636</v>
      </c>
      <c r="I2153">
        <f>-725.099495032357 -17.870138943196 -687.819624717472</f>
        <v>-1430.7892586930252</v>
      </c>
      <c r="J2153">
        <f>-763.297603367033 -0.59816099588511 -554.838721231554</f>
        <v>-1318.7344855944721</v>
      </c>
      <c r="K2153" t="s">
        <v>26918</v>
      </c>
      <c r="L2153" t="s">
        <v>26919</v>
      </c>
      <c r="M2153" t="s">
        <v>26920</v>
      </c>
      <c r="N2153">
        <f>-748.259106719671 -53.9088331786522 -556.564187315121</f>
        <v>-1358.7321272134441</v>
      </c>
      <c r="O2153">
        <f>-712.212758486101 -184.390755701185 -532.633068996228</f>
        <v>-1429.2365831835141</v>
      </c>
      <c r="P2153">
        <f>-677.197640258926 -263.663235940183 -251.419451531018</f>
        <v>-1192.2803277301268</v>
      </c>
      <c r="Q2153">
        <f>-557.564508245512 -68.8729564150347 -327.547907796534</f>
        <v>-953.98537245708064</v>
      </c>
      <c r="R2153" t="s">
        <v>26921</v>
      </c>
      <c r="S2153" t="s">
        <v>26922</v>
      </c>
      <c r="T2153" t="s">
        <v>26923</v>
      </c>
      <c r="U2153" t="s">
        <v>26924</v>
      </c>
      <c r="V2153">
        <f>-695.567280807417 -103.61651521309 -91.9356952087336</f>
        <v>-891.11949122924057</v>
      </c>
      <c r="W2153" t="s">
        <v>26925</v>
      </c>
      <c r="X2153" t="s">
        <v>26926</v>
      </c>
      <c r="Y2153" t="s">
        <v>26927</v>
      </c>
    </row>
    <row r="2154" spans="1:25" x14ac:dyDescent="0.3">
      <c r="A2154">
        <v>107650</v>
      </c>
      <c r="B2154" t="s">
        <v>26928</v>
      </c>
      <c r="C2154">
        <f>-732.314592663687 -15.4344361784356 -95.3069477393273</f>
        <v>-843.05597658144984</v>
      </c>
      <c r="D2154">
        <f>-748.050870569275 -27.6311128280408 -209.411462784727</f>
        <v>-985.09344618204295</v>
      </c>
      <c r="E2154">
        <f>-754.272389535209 -31.2626458127097 -307.771831208506</f>
        <v>-1093.3068665564247</v>
      </c>
      <c r="F2154">
        <f>-757.449655692607 -32.1073749167388 -396.807875565895</f>
        <v>-1186.3649061752408</v>
      </c>
      <c r="G2154">
        <f>-757.790557217598 -30.4589259553118 -485.88879886257</f>
        <v>-1274.1382820354797</v>
      </c>
      <c r="H2154">
        <f>-755.243097432253 -25.59769781417 -610.350449035278</f>
        <v>-1391.1912442817011</v>
      </c>
      <c r="I2154">
        <f>-725.795740226224 -18.3051547743307 -687.711367792358</f>
        <v>-1431.8122627929129</v>
      </c>
      <c r="J2154">
        <f>-763.86754932834 -1.07796688957069 -554.693342126911</f>
        <v>-1319.6388583448218</v>
      </c>
      <c r="K2154" t="s">
        <v>26929</v>
      </c>
      <c r="L2154" t="s">
        <v>26930</v>
      </c>
      <c r="M2154" t="s">
        <v>26931</v>
      </c>
      <c r="N2154">
        <f>-748.860618251937 -54.3958209988825 -556.468723810085</f>
        <v>-1359.7251630609044</v>
      </c>
      <c r="O2154">
        <f>-712.821233748784 -184.90378465031 -532.682122018909</f>
        <v>-1430.4071404180031</v>
      </c>
      <c r="P2154">
        <f>-677.489395759905 -264.277867193719 -251.536959958908</f>
        <v>-1193.3042229125319</v>
      </c>
      <c r="Q2154">
        <f>-557.886426627471 -69.4451619473934 -327.603940841097</f>
        <v>-954.93552941596147</v>
      </c>
      <c r="R2154" t="s">
        <v>26932</v>
      </c>
      <c r="S2154" t="s">
        <v>26933</v>
      </c>
      <c r="T2154" t="s">
        <v>26934</v>
      </c>
      <c r="U2154" t="s">
        <v>26935</v>
      </c>
      <c r="V2154">
        <f>-695.726888438785 -104.258154329965 -91.8460939372293</f>
        <v>-891.83113670597925</v>
      </c>
      <c r="W2154" t="s">
        <v>26936</v>
      </c>
      <c r="X2154" t="s">
        <v>26937</v>
      </c>
      <c r="Y2154" t="s">
        <v>26938</v>
      </c>
    </row>
    <row r="2155" spans="1:25" x14ac:dyDescent="0.3">
      <c r="A2155">
        <v>107700</v>
      </c>
      <c r="B2155" t="s">
        <v>26939</v>
      </c>
      <c r="C2155">
        <f>-732.605910173437 -16.4178001635321 -95.1519862228259</f>
        <v>-844.17569655979503</v>
      </c>
      <c r="D2155">
        <f>-748.434128149031 -28.631217399753 -209.241822584672</f>
        <v>-986.30716813345612</v>
      </c>
      <c r="E2155">
        <f>-754.801761586498 -32.2366680892512 -307.593812335821</f>
        <v>-1094.6322420115703</v>
      </c>
      <c r="F2155">
        <f>-758.13748191905 -33.040415977945 -396.624587266389</f>
        <v>-1187.8024851633841</v>
      </c>
      <c r="G2155">
        <f>-758.662404556896 -31.3332912499397 -485.703567343015</f>
        <v>-1275.6992631498508</v>
      </c>
      <c r="H2155">
        <f>-756.399122799864 -26.3710150717072 -610.166551479804</f>
        <v>-1392.9366893513752</v>
      </c>
      <c r="I2155">
        <f>-727.008484760986 -19.0154013387464 -687.543033755164</f>
        <v>-1433.5669198548962</v>
      </c>
      <c r="J2155">
        <f>-764.879042471019 -1.89144937071933 -554.469651327943</f>
        <v>-1321.2401431696812</v>
      </c>
      <c r="K2155" t="s">
        <v>26940</v>
      </c>
      <c r="L2155" t="s">
        <v>26941</v>
      </c>
      <c r="M2155" t="s">
        <v>26942</v>
      </c>
      <c r="N2155">
        <f>-749.91112887019 -55.2178837110644 -556.323488840513</f>
        <v>-1361.4525014217675</v>
      </c>
      <c r="O2155">
        <f>-713.881098186983 -185.750807681256 -532.660086924704</f>
        <v>-1432.2919927929429</v>
      </c>
      <c r="P2155">
        <f>-677.955911598694 -265.225570443785 -251.618726920911</f>
        <v>-1194.8002089633901</v>
      </c>
      <c r="Q2155">
        <f>-558.383798851188 -70.3599260539945 -327.650001185584</f>
        <v>-956.39372609076645</v>
      </c>
      <c r="R2155" t="s">
        <v>26943</v>
      </c>
      <c r="S2155" t="s">
        <v>26944</v>
      </c>
      <c r="T2155" t="s">
        <v>26945</v>
      </c>
      <c r="U2155" t="s">
        <v>26946</v>
      </c>
      <c r="V2155">
        <f>-696.142263702387 -105.262403443442 -91.7074861142178</f>
        <v>-893.11215326004685</v>
      </c>
      <c r="W2155" t="s">
        <v>26947</v>
      </c>
      <c r="X2155" t="s">
        <v>26948</v>
      </c>
      <c r="Y2155" t="s">
        <v>26949</v>
      </c>
    </row>
    <row r="2156" spans="1:25" x14ac:dyDescent="0.3">
      <c r="A2156">
        <v>107750</v>
      </c>
      <c r="B2156" t="s">
        <v>26950</v>
      </c>
      <c r="C2156">
        <f>-732.74233623033 -16.7023630998353 -95.1003191099629</f>
        <v>-844.54501844012827</v>
      </c>
      <c r="D2156">
        <f>-748.604840954451 -28.9151560727369 -209.185673756156</f>
        <v>-986.70567078334386</v>
      </c>
      <c r="E2156">
        <f>-755.023085639752 -32.5257308578789 -307.534059398109</f>
        <v>-1095.08287589574</v>
      </c>
      <c r="F2156">
        <f>-758.41380646554 -33.3350607488562 -396.562654024919</f>
        <v>-1188.3115212393152</v>
      </c>
      <c r="G2156">
        <f>-759.00311751143 -31.6347127279955 -485.641295856246</f>
        <v>-1276.2791260956715</v>
      </c>
      <c r="H2156">
        <f>-756.839480237089 -26.6822486873587 -610.106545508602</f>
        <v>-1393.6282744330497</v>
      </c>
      <c r="I2156">
        <f>-727.469132360049 -19.2963792074295 -687.487822470143</f>
        <v>-1434.2533340376215</v>
      </c>
      <c r="J2156">
        <f>-765.271185206652 -2.1973225889476 -554.404618812189</f>
        <v>-1321.8731266077887</v>
      </c>
      <c r="K2156" t="s">
        <v>26951</v>
      </c>
      <c r="L2156" t="s">
        <v>26952</v>
      </c>
      <c r="M2156" t="s">
        <v>26953</v>
      </c>
      <c r="N2156">
        <f>-750.312088158408 -55.5257966731483 -556.26652895787</f>
        <v>-1362.1044137894264</v>
      </c>
      <c r="O2156">
        <f>-714.240614536231 -186.04873598224 -532.628277691233</f>
        <v>-1432.9176282097042</v>
      </c>
      <c r="P2156">
        <f>-678.175247141815 -265.371806106762 -251.561797104533</f>
        <v>-1195.10885035311</v>
      </c>
      <c r="Q2156">
        <f>-558.596638623088 -70.527310214901 -327.637011645596</f>
        <v>-956.760960483585</v>
      </c>
      <c r="R2156" t="s">
        <v>26954</v>
      </c>
      <c r="S2156" t="s">
        <v>26955</v>
      </c>
      <c r="T2156" t="s">
        <v>26956</v>
      </c>
      <c r="U2156" t="s">
        <v>26957</v>
      </c>
      <c r="V2156">
        <f>-696.298802379462 -105.513328564023 -91.6619242666324</f>
        <v>-893.4740552101174</v>
      </c>
      <c r="W2156" t="s">
        <v>26958</v>
      </c>
      <c r="X2156" t="s">
        <v>26959</v>
      </c>
      <c r="Y2156" t="s">
        <v>26960</v>
      </c>
    </row>
    <row r="2157" spans="1:25" x14ac:dyDescent="0.3">
      <c r="A2157">
        <v>107800</v>
      </c>
      <c r="B2157" t="s">
        <v>26961</v>
      </c>
      <c r="C2157">
        <f>-732.997114210552 -17.3742679809436 -95.0041487826488</f>
        <v>-845.37553097414445</v>
      </c>
      <c r="D2157">
        <f>-748.95914305227 -29.617694291559 -209.072204598029</f>
        <v>-987.64904194185794</v>
      </c>
      <c r="E2157">
        <f>-755.479686922775 -33.2823060799985 -307.411908874387</f>
        <v>-1096.1739018771605</v>
      </c>
      <c r="F2157">
        <f>-758.971284135114 -34.1496194011481 -396.436174032446</f>
        <v>-1189.5570775687081</v>
      </c>
      <c r="G2157">
        <f>-759.670932996009 -32.5155182642909 -485.515207849946</f>
        <v>-1277.7016591102461</v>
      </c>
      <c r="H2157">
        <f>-757.671765678002 -27.6635586562429 -609.987163080646</f>
        <v>-1395.3224874148909</v>
      </c>
      <c r="I2157">
        <f>-728.362490106183 -20.249912330755 -687.388976727118</f>
        <v>-1436.0013791640561</v>
      </c>
      <c r="J2157">
        <f>-766.031607019779 -3.13418049198413 -554.293964259264</f>
        <v>-1323.4597517710272</v>
      </c>
      <c r="K2157" t="s">
        <v>26962</v>
      </c>
      <c r="L2157" t="s">
        <v>26963</v>
      </c>
      <c r="M2157" t="s">
        <v>26964</v>
      </c>
      <c r="N2157">
        <f>-751.071546564449 -56.4630788407592 -556.132438929026</f>
        <v>-1363.6670643342341</v>
      </c>
      <c r="O2157">
        <f>-714.934790692278 -186.951768572077 -532.412877713007</f>
        <v>-1434.2994369773619</v>
      </c>
      <c r="P2157">
        <f>-678.648179705642 -265.865201278606 -251.259541007216</f>
        <v>-1195.772921991464</v>
      </c>
      <c r="Q2157">
        <f>-559.125821455475 -71.0412050093373 -327.475730264002</f>
        <v>-957.64275672881433</v>
      </c>
      <c r="R2157" t="s">
        <v>26965</v>
      </c>
      <c r="S2157" t="s">
        <v>26966</v>
      </c>
      <c r="T2157" t="s">
        <v>26967</v>
      </c>
      <c r="U2157" t="s">
        <v>26968</v>
      </c>
      <c r="V2157">
        <f>-696.674155006784 -106.244473627818 -91.5630269264217</f>
        <v>-894.48165556102367</v>
      </c>
      <c r="W2157" t="s">
        <v>26969</v>
      </c>
      <c r="X2157" t="s">
        <v>26970</v>
      </c>
      <c r="Y2157" t="s">
        <v>26971</v>
      </c>
    </row>
    <row r="2158" spans="1:25" x14ac:dyDescent="0.3">
      <c r="A2158">
        <v>107850</v>
      </c>
      <c r="B2158" t="s">
        <v>26972</v>
      </c>
      <c r="C2158">
        <f>-733.039111801543 -17.6681057805029 -94.9756536152858</f>
        <v>-845.68287119733156</v>
      </c>
      <c r="D2158">
        <f>-749.048335833377 -29.9380723829304 -209.034386989977</f>
        <v>-988.02079520628445</v>
      </c>
      <c r="E2158">
        <f>-755.617381894633 -33.640636361785 -307.369392903114</f>
        <v>-1096.6274111595321</v>
      </c>
      <c r="F2158">
        <f>-759.156790619461 -34.5480024534113 -396.391376175348</f>
        <v>-1190.0961692482203</v>
      </c>
      <c r="G2158">
        <f>-759.908150902797 -32.9589110411127 -485.470680990968</f>
        <v>-1278.3377429348777</v>
      </c>
      <c r="H2158">
        <f>-757.986502885015 -28.175247715501 -609.94669074212</f>
        <v>-1396.1084413426361</v>
      </c>
      <c r="I2158">
        <f>-728.708574557897 -20.7700959313015 -687.36113031976</f>
        <v>-1436.8398008089584</v>
      </c>
      <c r="J2158">
        <f>-766.319555384287 -3.61749736455658 -554.261840580743</f>
        <v>-1324.1988933295866</v>
      </c>
      <c r="K2158" t="s">
        <v>26973</v>
      </c>
      <c r="L2158" t="s">
        <v>26974</v>
      </c>
      <c r="M2158" t="s">
        <v>26975</v>
      </c>
      <c r="N2158">
        <f>-751.344622818143 -56.9430276629482 -556.080024162294</f>
        <v>-1364.3676746433853</v>
      </c>
      <c r="O2158">
        <f>-715.141156448459 -187.401040204842 -532.29206689637</f>
        <v>-1434.834263549671</v>
      </c>
      <c r="P2158">
        <f>-678.84036379663 -266.046664704644 -251.065490500972</f>
        <v>-1195.9525190022459</v>
      </c>
      <c r="Q2158">
        <f>-559.257040915883 -71.2863891775003 -327.348843180814</f>
        <v>-957.89227327419724</v>
      </c>
      <c r="R2158" t="s">
        <v>26976</v>
      </c>
      <c r="S2158" t="s">
        <v>26977</v>
      </c>
      <c r="T2158" t="s">
        <v>26978</v>
      </c>
      <c r="U2158" t="s">
        <v>26979</v>
      </c>
      <c r="V2158">
        <f>-696.745844907558 -106.553814260777 -91.5196758502776</f>
        <v>-894.81933501861261</v>
      </c>
      <c r="W2158" t="s">
        <v>26980</v>
      </c>
      <c r="X2158" t="s">
        <v>26981</v>
      </c>
      <c r="Y2158" t="s">
        <v>26982</v>
      </c>
    </row>
    <row r="2159" spans="1:25" x14ac:dyDescent="0.3">
      <c r="A2159">
        <v>107900</v>
      </c>
      <c r="B2159" t="s">
        <v>26983</v>
      </c>
      <c r="C2159">
        <f>-733.096361736042 -18.4897135161466 -94.9676467361064</f>
        <v>-846.55372198829502</v>
      </c>
      <c r="D2159">
        <f>-749.156398054965 -30.842246417179 -209.010248680905</f>
        <v>-989.00889315304903</v>
      </c>
      <c r="E2159">
        <f>-755.78854767133 -34.6504186818597 -307.337050395618</f>
        <v>-1097.7760167488077</v>
      </c>
      <c r="F2159">
        <f>-759.393550115881 -35.6671915207376 -396.35517043096</f>
        <v>-1191.4159120675786</v>
      </c>
      <c r="G2159">
        <f>-760.220106943798 -34.2005631350569 -485.436066788533</f>
        <v>-1279.856736867388</v>
      </c>
      <c r="H2159">
        <f>-758.413259523054 -29.6008698076016 -609.920557189667</f>
        <v>-1397.9346865203224</v>
      </c>
      <c r="I2159">
        <f>-729.19260026308 -22.2659892547508 -687.363291631928</f>
        <v>-1438.8218811497586</v>
      </c>
      <c r="J2159">
        <f>-766.744410307457 -4.974803350108 -554.265665073547</f>
        <v>-1325.9848787311121</v>
      </c>
      <c r="K2159" t="s">
        <v>26984</v>
      </c>
      <c r="L2159" t="s">
        <v>26985</v>
      </c>
      <c r="M2159" t="s">
        <v>26986</v>
      </c>
      <c r="N2159">
        <f>-751.672179524667 -58.275210223389 -556.016385836298</f>
        <v>-1365.9637755843539</v>
      </c>
      <c r="O2159">
        <f>-715.191079949183 -188.629374055613 -532.081585070182</f>
        <v>-1435.9020390749779</v>
      </c>
      <c r="P2159">
        <f>-679.350444070352 -266.596777238162 -250.607336601297</f>
        <v>-1196.5545579098109</v>
      </c>
      <c r="Q2159">
        <f>-559.595070760402 -72.021692844872 -327.093168231971</f>
        <v>-958.70993183724499</v>
      </c>
      <c r="R2159" t="s">
        <v>26987</v>
      </c>
      <c r="S2159" t="s">
        <v>26988</v>
      </c>
      <c r="T2159" t="s">
        <v>26989</v>
      </c>
      <c r="U2159" t="s">
        <v>26990</v>
      </c>
      <c r="V2159">
        <f>-696.84836291895 -107.325201750862 -91.4671446903028</f>
        <v>-895.64070936011478</v>
      </c>
      <c r="W2159" t="s">
        <v>26991</v>
      </c>
      <c r="X2159" t="s">
        <v>26992</v>
      </c>
      <c r="Y2159" t="s">
        <v>26993</v>
      </c>
    </row>
    <row r="2160" spans="1:25" x14ac:dyDescent="0.3">
      <c r="A2160">
        <v>107950</v>
      </c>
      <c r="B2160" t="s">
        <v>26994</v>
      </c>
      <c r="C2160">
        <f>-733.201101863968 -18.8756336946274 -94.9507169866963</f>
        <v>-847.02745254529168</v>
      </c>
      <c r="D2160">
        <f>-749.259365024145 -31.2664065245499 -208.989453930619</f>
        <v>-989.51522547931393</v>
      </c>
      <c r="E2160">
        <f>-755.89888865955 -35.1226215226461 -307.313969881577</f>
        <v>-1098.335480063773</v>
      </c>
      <c r="F2160">
        <f>-759.514671102066 -36.1892109367832 -396.330863648009</f>
        <v>-1192.0347456868581</v>
      </c>
      <c r="G2160">
        <f>-760.356655692745 -34.7776345760208 -485.412564965389</f>
        <v>-1280.5468552341547</v>
      </c>
      <c r="H2160">
        <f>-758.576738916589 -30.2596480390139 -609.900473120242</f>
        <v>-1398.736860075845</v>
      </c>
      <c r="I2160">
        <f>-729.362244895382 -22.9336887118577 -687.346439781738</f>
        <v>-1439.6423733889778</v>
      </c>
      <c r="J2160">
        <f>-766.945138030008 -5.61088736064107 -554.261327927616</f>
        <v>-1326.8173533182651</v>
      </c>
      <c r="K2160" t="s">
        <v>26995</v>
      </c>
      <c r="L2160" t="s">
        <v>26996</v>
      </c>
      <c r="M2160" t="s">
        <v>26997</v>
      </c>
      <c r="N2160">
        <f>-751.774808375709 -58.8846002782418 -555.977763282625</f>
        <v>-1366.6371719365757</v>
      </c>
      <c r="O2160">
        <f>-715.087145992345 -189.172417386617 -531.956498699137</f>
        <v>-1436.216062078099</v>
      </c>
      <c r="P2160">
        <f>-679.569436222509 -266.649574417449 -250.306016063512</f>
        <v>-1196.5250267034701</v>
      </c>
      <c r="Q2160">
        <f>-559.742239068932 -72.1870751205124 -326.96559491707</f>
        <v>-958.89490910651443</v>
      </c>
      <c r="R2160" t="s">
        <v>26998</v>
      </c>
      <c r="S2160" t="s">
        <v>26999</v>
      </c>
      <c r="T2160" t="s">
        <v>27000</v>
      </c>
      <c r="U2160" t="s">
        <v>27001</v>
      </c>
      <c r="V2160">
        <f>-696.905145498649 -107.647736066816 -91.4338890998786</f>
        <v>-895.98677066534356</v>
      </c>
      <c r="W2160" t="s">
        <v>27002</v>
      </c>
      <c r="X2160" t="s">
        <v>27003</v>
      </c>
      <c r="Y2160" t="s">
        <v>27004</v>
      </c>
    </row>
    <row r="2161" spans="1:25" x14ac:dyDescent="0.3">
      <c r="A2161">
        <v>108000</v>
      </c>
      <c r="B2161" t="s">
        <v>27005</v>
      </c>
      <c r="C2161">
        <f>-733.852214903917 -19.8078732780873 -94.8264006098182</f>
        <v>-848.48648879182247</v>
      </c>
      <c r="D2161">
        <f>-749.832177732332 -32.2178061833699 -208.874003604341</f>
        <v>-990.92398752004283</v>
      </c>
      <c r="E2161">
        <f>-756.435490767796 -36.1407367613726 -307.198278350082</f>
        <v>-1099.7745058792507</v>
      </c>
      <c r="F2161">
        <f>-760.032874776406 -37.2874717658794 -396.214958103133</f>
        <v>-1193.5353046454184</v>
      </c>
      <c r="G2161">
        <f>-760.872392392353 -35.9733888478156 -485.298153208587</f>
        <v>-1282.1439344487558</v>
      </c>
      <c r="H2161">
        <f>-759.107332561106 -31.6085903193364 -609.791821422666</f>
        <v>-1400.5077443031082</v>
      </c>
      <c r="I2161">
        <f>-729.87375188804 -24.2502615210578 -687.227393656903</f>
        <v>-1441.3514070660008</v>
      </c>
      <c r="J2161">
        <f>-767.593138306344 -6.92696570234648 -554.18493074973</f>
        <v>-1328.7050347584204</v>
      </c>
      <c r="K2161" t="s">
        <v>27006</v>
      </c>
      <c r="L2161" t="s">
        <v>27007</v>
      </c>
      <c r="M2161" t="s">
        <v>27008</v>
      </c>
      <c r="N2161">
        <f>-752.17503088229 -60.1316999114238 -555.83167933775</f>
        <v>-1368.1384101314638</v>
      </c>
      <c r="O2161">
        <f>-714.94131653306 -190.213302180223 -531.576604896612</f>
        <v>-1436.7312236098951</v>
      </c>
      <c r="P2161">
        <f>-679.804419216016 -266.528590837393 -249.561440458466</f>
        <v>-1195.894450511875</v>
      </c>
      <c r="Q2161">
        <f>-560.130205661733 -72.1719879696068 -326.726738112439</f>
        <v>-959.02893174377891</v>
      </c>
      <c r="R2161" t="s">
        <v>27009</v>
      </c>
      <c r="S2161" t="s">
        <v>27010</v>
      </c>
      <c r="T2161" t="s">
        <v>27011</v>
      </c>
      <c r="U2161" t="s">
        <v>27012</v>
      </c>
      <c r="V2161">
        <f>-697.43399504188 -108.488878609501 -91.3257211040632</f>
        <v>-897.24859475544417</v>
      </c>
      <c r="W2161" t="s">
        <v>27013</v>
      </c>
      <c r="X2161" t="s">
        <v>27014</v>
      </c>
      <c r="Y2161" t="s">
        <v>27015</v>
      </c>
    </row>
    <row r="2162" spans="1:25" x14ac:dyDescent="0.3">
      <c r="A2162">
        <v>108050</v>
      </c>
      <c r="B2162" t="s">
        <v>27016</v>
      </c>
      <c r="C2162">
        <f>-734.308839660129 -20.1471250439697 -94.7602549869256</f>
        <v>-849.21621969102432</v>
      </c>
      <c r="D2162">
        <f>-750.212879866839 -32.5730334214613 -208.816718692154</f>
        <v>-991.60263198045436</v>
      </c>
      <c r="E2162">
        <f>-756.772987411018 -36.5380174705799 -307.142209613815</f>
        <v>-1100.4532144954128</v>
      </c>
      <c r="F2162">
        <f>-760.340660236612 -37.7341494348559 -396.159576928594</f>
        <v>-1194.234386600062</v>
      </c>
      <c r="G2162">
        <f>-761.161171495946 -36.4793178756941 -485.243700243084</f>
        <v>-1282.8841896147239</v>
      </c>
      <c r="H2162">
        <f>-759.381265926742 -32.2069138115735 -609.740274535343</f>
        <v>-1401.3284542736585</v>
      </c>
      <c r="I2162">
        <f>-730.114688957736 -24.8268275808052 -687.161402975929</f>
        <v>-1442.1029195144702</v>
      </c>
      <c r="J2162">
        <f>-767.941943209867 -7.50387442159968 -554.154504867293</f>
        <v>-1329.6003224987596</v>
      </c>
      <c r="K2162" t="s">
        <v>27017</v>
      </c>
      <c r="L2162" t="s">
        <v>27018</v>
      </c>
      <c r="M2162" t="s">
        <v>27019</v>
      </c>
      <c r="N2162">
        <f>-752.387136403392 -60.6701625709786 -555.756629986344</f>
        <v>-1368.8139289607147</v>
      </c>
      <c r="O2162">
        <f>-714.876955072083 -190.649907143355 -531.373072044239</f>
        <v>-1436.8999342596771</v>
      </c>
      <c r="P2162">
        <f>-679.911153108039 -266.331313322317 -249.165804668</f>
        <v>-1195.408271098356</v>
      </c>
      <c r="Q2162">
        <f>-560.403602313684 -72.0441616660148 -326.763191064462</f>
        <v>-959.21095504416076</v>
      </c>
      <c r="R2162" t="s">
        <v>27020</v>
      </c>
      <c r="S2162" t="s">
        <v>27021</v>
      </c>
      <c r="T2162" t="s">
        <v>27022</v>
      </c>
      <c r="U2162" t="s">
        <v>27023</v>
      </c>
      <c r="V2162">
        <f>-697.798061538465 -108.687325112126 -91.2682630525591</f>
        <v>-897.75364970315013</v>
      </c>
      <c r="W2162" t="s">
        <v>27024</v>
      </c>
      <c r="X2162" t="s">
        <v>27025</v>
      </c>
      <c r="Y2162" t="s">
        <v>27026</v>
      </c>
    </row>
    <row r="2163" spans="1:25" x14ac:dyDescent="0.3">
      <c r="A2163">
        <v>108100</v>
      </c>
      <c r="B2163" t="s">
        <v>27027</v>
      </c>
      <c r="C2163">
        <f>-735.388553610494 -20.9572371494896 -94.6481355022269</f>
        <v>-850.99392626221049</v>
      </c>
      <c r="D2163">
        <f>-751.141489244801 -33.3926244288625 -208.724553876355</f>
        <v>-993.25866755001857</v>
      </c>
      <c r="E2163">
        <f>-757.575563147698 -37.4449008536847 -307.054761349608</f>
        <v>-1102.0752253509906</v>
      </c>
      <c r="F2163">
        <f>-761.032944847862 -38.7522197618903 -396.074978727351</f>
        <v>-1195.8601433371032</v>
      </c>
      <c r="G2163">
        <f>-761.74867198526 -37.6387028885449 -485.161879459901</f>
        <v>-1284.5492543337059</v>
      </c>
      <c r="H2163">
        <f>-759.829046047566 -33.5944131396866 -609.66399839358</f>
        <v>-1403.0874575808325</v>
      </c>
      <c r="I2163">
        <f>-730.453403330543 -26.170255196638 -687.03955293093</f>
        <v>-1443.6632114581109</v>
      </c>
      <c r="J2163">
        <f>-768.580050028075 -8.82723577023353 -554.136311647593</f>
        <v>-1331.5435974459015</v>
      </c>
      <c r="K2163" t="s">
        <v>27028</v>
      </c>
      <c r="L2163" t="s">
        <v>27029</v>
      </c>
      <c r="M2163" t="s">
        <v>27030</v>
      </c>
      <c r="N2163">
        <f>-752.767568526992 -61.9209106787428 -555.617257557152</f>
        <v>-1370.3057367628867</v>
      </c>
      <c r="O2163">
        <f>-714.816184266048 -191.715627112804 -530.922766706082</f>
        <v>-1437.4545780849339</v>
      </c>
      <c r="P2163">
        <f>-680.326462812463 -266.112066841321 -248.315672090557</f>
        <v>-1194.7542017443409</v>
      </c>
      <c r="Q2163">
        <f>-561.573279262567 -71.7641374782586 -326.912183036108</f>
        <v>-960.24959977693356</v>
      </c>
      <c r="R2163" t="s">
        <v>27031</v>
      </c>
      <c r="S2163" t="s">
        <v>27032</v>
      </c>
      <c r="T2163" t="s">
        <v>27033</v>
      </c>
      <c r="U2163" t="s">
        <v>27034</v>
      </c>
      <c r="V2163">
        <f>-698.609185364947 -109.485570485262 -91.1405269659733</f>
        <v>-899.23528281618235</v>
      </c>
      <c r="W2163" t="s">
        <v>27035</v>
      </c>
      <c r="X2163" t="s">
        <v>27036</v>
      </c>
      <c r="Y2163" t="s">
        <v>27037</v>
      </c>
    </row>
    <row r="2164" spans="1:25" x14ac:dyDescent="0.3">
      <c r="A2164">
        <v>108150</v>
      </c>
      <c r="B2164" t="s">
        <v>27038</v>
      </c>
      <c r="C2164">
        <f>-735.907510702561 -21.4735591620226 -94.6029188277047</f>
        <v>-851.98398869228834</v>
      </c>
      <c r="D2164">
        <f>-751.574102615051 -33.9208628978388 -208.689944043316</f>
        <v>-994.18490955620575</v>
      </c>
      <c r="E2164">
        <f>-757.907086327121 -38.0231867224136 -307.024661351885</f>
        <v>-1102.9549344014195</v>
      </c>
      <c r="F2164">
        <f>-761.262596400885 -39.392736953431 -396.047774441044</f>
        <v>-1196.70310779536</v>
      </c>
      <c r="G2164">
        <f>-761.866775180702 -38.3577361665164 -485.136534017707</f>
        <v>-1285.3610453649253</v>
      </c>
      <c r="H2164">
        <f>-759.781793527149 -34.4401874175285 -609.63999286987</f>
        <v>-1403.8619738145476</v>
      </c>
      <c r="I2164">
        <f>-730.291846627077 -27.0094639800839 -686.971318018054</f>
        <v>-1444.272628625215</v>
      </c>
      <c r="J2164">
        <f>-768.65714593381 -9.63163729279859 -554.150512675845</f>
        <v>-1332.4392959024535</v>
      </c>
      <c r="K2164" t="s">
        <v>27039</v>
      </c>
      <c r="L2164" t="s">
        <v>27040</v>
      </c>
      <c r="M2164" t="s">
        <v>27041</v>
      </c>
      <c r="N2164">
        <f>-752.741377653575 -62.6964552556783 -555.553788585633</f>
        <v>-1370.9916214948862</v>
      </c>
      <c r="O2164">
        <f>-714.627617352158 -192.401449066451 -530.679247260785</f>
        <v>-1437.708313679394</v>
      </c>
      <c r="P2164">
        <f>-680.46607790128 -266.375572120951 -247.921322914562</f>
        <v>-1194.7629729367929</v>
      </c>
      <c r="Q2164">
        <f>-562.323786475203 -71.7864121874611 -326.841185098892</f>
        <v>-960.95138376155614</v>
      </c>
      <c r="R2164" t="s">
        <v>27042</v>
      </c>
      <c r="S2164" t="s">
        <v>27043</v>
      </c>
      <c r="T2164" t="s">
        <v>27044</v>
      </c>
      <c r="U2164" t="s">
        <v>27045</v>
      </c>
      <c r="V2164">
        <f>-698.971653221215 -110.051836844425 -91.0726182161051</f>
        <v>-900.09610828174505</v>
      </c>
      <c r="W2164" t="s">
        <v>27046</v>
      </c>
      <c r="X2164" t="s">
        <v>27047</v>
      </c>
      <c r="Y2164" t="s">
        <v>27048</v>
      </c>
    </row>
    <row r="2165" spans="1:25" x14ac:dyDescent="0.3">
      <c r="A2165">
        <v>108200</v>
      </c>
      <c r="B2165" t="s">
        <v>27049</v>
      </c>
      <c r="C2165">
        <f>-736.831273202354 -22.5737090483608 -94.4798824430566</f>
        <v>-853.88486469377142</v>
      </c>
      <c r="D2165">
        <f>-752.362202029809 -35.0423358431806 -208.583101273887</f>
        <v>-995.98763914687663</v>
      </c>
      <c r="E2165">
        <f>-758.515255749097 -39.2652739926477 -306.92421584969</f>
        <v>-1104.7047455914349</v>
      </c>
      <c r="F2165">
        <f>-761.684483300091 -40.786700349991 -395.95159665461</f>
        <v>-1198.422780304692</v>
      </c>
      <c r="G2165">
        <f>-762.080737909327 -39.9447479652417 -485.043519785651</f>
        <v>-1287.0690056602198</v>
      </c>
      <c r="H2165">
        <f>-759.683263722426 -36.3401279851546 -609.550869525781</f>
        <v>-1405.5742612333615</v>
      </c>
      <c r="I2165">
        <f>-729.95830521849 -28.9533274710225 -686.796476625833</f>
        <v>-1445.7081093153454</v>
      </c>
      <c r="J2165">
        <f>-768.792802647579 -11.4207792785708 -554.149013155128</f>
        <v>-1334.362595081278</v>
      </c>
      <c r="K2165" t="s">
        <v>27050</v>
      </c>
      <c r="L2165" t="s">
        <v>27051</v>
      </c>
      <c r="M2165" t="s">
        <v>27052</v>
      </c>
      <c r="N2165">
        <f>-752.683844466389 -64.431776187882 -555.373538497718</f>
        <v>-1372.489159151989</v>
      </c>
      <c r="O2165">
        <f>-714.236365041395 -193.98208896536 -530.14080426779</f>
        <v>-1438.359258274545</v>
      </c>
      <c r="P2165">
        <f>-681.008495438105 -267.527133234974 -247.159741935565</f>
        <v>-1195.695370608644</v>
      </c>
      <c r="Q2165">
        <f>-565.172865761378 -71.4483521814166 -325.811654875589</f>
        <v>-962.43287281838366</v>
      </c>
      <c r="R2165" t="s">
        <v>27053</v>
      </c>
      <c r="S2165" t="s">
        <v>27054</v>
      </c>
      <c r="T2165" t="s">
        <v>27055</v>
      </c>
      <c r="U2165" t="s">
        <v>27056</v>
      </c>
      <c r="V2165">
        <f>-699.766951627272 -110.953828980655 -90.946445675141</f>
        <v>-901.66722628306798</v>
      </c>
      <c r="W2165" t="s">
        <v>27057</v>
      </c>
      <c r="X2165" t="s">
        <v>27058</v>
      </c>
      <c r="Y2165" t="s">
        <v>27059</v>
      </c>
    </row>
    <row r="2166" spans="1:25" x14ac:dyDescent="0.3">
      <c r="A2166">
        <v>108250</v>
      </c>
      <c r="B2166" t="s">
        <v>27060</v>
      </c>
      <c r="C2166">
        <f>-737.127893295619 -23.1413936292263 -94.4060538177251</f>
        <v>-854.67534074257037</v>
      </c>
      <c r="D2166">
        <f>-752.608213942036 -35.6538259782951 -208.511437807549</f>
        <v>-996.77347772788005</v>
      </c>
      <c r="E2166">
        <f>-758.692138829282 -39.9305215402719 -306.854388666039</f>
        <v>-1105.4770490355929</v>
      </c>
      <c r="F2166">
        <f>-761.788855248026 -41.5075131509159 -395.883435443902</f>
        <v>-1199.179803842844</v>
      </c>
      <c r="G2166">
        <f>-762.102589676362 -40.7280005314803 -484.976229017583</f>
        <v>-1287.8068192254254</v>
      </c>
      <c r="H2166">
        <f>-759.580502062744 -37.2176458942206 -609.483799117408</f>
        <v>-1406.2819470743725</v>
      </c>
      <c r="I2166">
        <f>-729.718662341946 -29.8342952915705 -686.676924184234</f>
        <v>-1446.2298818177505</v>
      </c>
      <c r="J2166">
        <f>-768.780128450235 -12.2669863522005 -554.111081973044</f>
        <v>-1335.1581967754796</v>
      </c>
      <c r="K2166" t="s">
        <v>27061</v>
      </c>
      <c r="L2166" t="s">
        <v>27062</v>
      </c>
      <c r="M2166" t="s">
        <v>27063</v>
      </c>
      <c r="N2166">
        <f>-752.600829008477 -65.2578950527952 -555.277342850558</f>
        <v>-1373.1360669118303</v>
      </c>
      <c r="O2166">
        <f>-714.080321168525 -194.753121794897 -529.888081324504</f>
        <v>-1438.7215242879261</v>
      </c>
      <c r="P2166">
        <f>-681.385016696686 -267.831472241735 -246.724228546727</f>
        <v>-1195.9407174851481</v>
      </c>
      <c r="Q2166">
        <f>-566.485526096604 -71.1462113837301 -325.234710824877</f>
        <v>-962.86644830521118</v>
      </c>
      <c r="R2166" t="s">
        <v>27064</v>
      </c>
      <c r="S2166" t="s">
        <v>27065</v>
      </c>
      <c r="T2166" t="s">
        <v>27066</v>
      </c>
      <c r="U2166" t="s">
        <v>27067</v>
      </c>
      <c r="V2166">
        <f>-699.997644279682 -111.424601103774 -90.8612197425994</f>
        <v>-902.28346512605538</v>
      </c>
      <c r="W2166" t="s">
        <v>27068</v>
      </c>
      <c r="X2166" t="s">
        <v>27069</v>
      </c>
      <c r="Y2166" t="s">
        <v>27070</v>
      </c>
    </row>
    <row r="2167" spans="1:25" x14ac:dyDescent="0.3">
      <c r="A2167">
        <v>108300</v>
      </c>
      <c r="B2167" t="s">
        <v>27071</v>
      </c>
      <c r="C2167">
        <f>-737.430157722861 -24.3689332646013 -94.2531183317476</f>
        <v>-856.05220931920996</v>
      </c>
      <c r="D2167">
        <f>-752.899353734814 -36.9566683835883 -208.351676766112</f>
        <v>-998.20769888451423</v>
      </c>
      <c r="E2167">
        <f>-758.919025813052 -41.3507347567938 -306.693396590773</f>
        <v>-1106.9631571606187</v>
      </c>
      <c r="F2167">
        <f>-761.936840733531 -43.0550824255438 -395.72282442717</f>
        <v>-1200.7147475862448</v>
      </c>
      <c r="G2167">
        <f>-762.152198158678 -42.4235700270383 -484.817153061519</f>
        <v>-1289.3929212472353</v>
      </c>
      <c r="H2167">
        <f>-759.472859799693 -39.1411784550239 -609.327707339812</f>
        <v>-1407.941745594529</v>
      </c>
      <c r="I2167">
        <f>-729.416615115266 -31.7700045655827 -686.44644421043</f>
        <v>-1447.6330638912787</v>
      </c>
      <c r="J2167">
        <f>-768.788676141957 -14.103285366351 -554.013661648537</f>
        <v>-1336.905623156845</v>
      </c>
      <c r="K2167" t="s">
        <v>27072</v>
      </c>
      <c r="L2167" t="s">
        <v>27073</v>
      </c>
      <c r="M2167" t="s">
        <v>27074</v>
      </c>
      <c r="N2167">
        <f>-752.515267305599 -67.0677685589915 -555.059719989115</f>
        <v>-1374.6427558537055</v>
      </c>
      <c r="O2167">
        <f>-713.946299682673 -196.473097240142 -529.335782386636</f>
        <v>-1439.755179309451</v>
      </c>
      <c r="P2167">
        <f>-682.390824381846 -268.071743876262 -245.665081974064</f>
        <v>-1196.1276502321718</v>
      </c>
      <c r="Q2167">
        <f>-569.048671637794 -70.4624747854928 -324.119145673083</f>
        <v>-963.63029209636966</v>
      </c>
      <c r="R2167" t="s">
        <v>27075</v>
      </c>
      <c r="S2167" t="s">
        <v>27076</v>
      </c>
      <c r="T2167" t="s">
        <v>27077</v>
      </c>
      <c r="U2167" t="s">
        <v>27078</v>
      </c>
      <c r="V2167">
        <f>-700.253016920017 -112.592721080082 -90.6708091921479</f>
        <v>-903.51654719224689</v>
      </c>
      <c r="W2167" t="s">
        <v>27079</v>
      </c>
      <c r="X2167" t="s">
        <v>27080</v>
      </c>
      <c r="Y2167" t="s">
        <v>27081</v>
      </c>
    </row>
    <row r="2168" spans="1:25" x14ac:dyDescent="0.3">
      <c r="A2168">
        <v>108350</v>
      </c>
      <c r="B2168" t="s">
        <v>27082</v>
      </c>
      <c r="C2168">
        <f>-737.535441647016 -24.9335668268795 -94.2167174195697</f>
        <v>-856.68572589346525</v>
      </c>
      <c r="D2168">
        <f>-753.0154235385 -37.5705897414405 -208.308319773717</f>
        <v>-998.89433305365753</v>
      </c>
      <c r="E2168">
        <f>-759.025840249996 -42.0413570893184 -306.647268752211</f>
        <v>-1107.7144660915253</v>
      </c>
      <c r="F2168">
        <f>-762.028918423405 -43.8283988498615 -395.675437144153</f>
        <v>-1201.5327544174195</v>
      </c>
      <c r="G2168">
        <f>-762.223900222996 -43.2923523443717 -484.770468662295</f>
        <v>-1290.2867212296628</v>
      </c>
      <c r="H2168">
        <f>-759.510819078506 -40.1569075943764 -609.283990671991</f>
        <v>-1408.9517173448735</v>
      </c>
      <c r="I2168">
        <f>-729.362737859184 -32.8131811795788 -686.369589587011</f>
        <v>-1448.5455086257739</v>
      </c>
      <c r="J2168">
        <f>-768.857815760435 -15.0588669796828 -554.002701803291</f>
        <v>-1337.9193845434088</v>
      </c>
      <c r="K2168" t="s">
        <v>27083</v>
      </c>
      <c r="L2168" t="s">
        <v>27084</v>
      </c>
      <c r="M2168" t="s">
        <v>27085</v>
      </c>
      <c r="N2168">
        <f>-752.551603123324 -68.0145627057102 -554.980844194331</f>
        <v>-1375.5470100233651</v>
      </c>
      <c r="O2168">
        <f>-713.941618489776 -197.370270391201 -529.033271679539</f>
        <v>-1440.345160560516</v>
      </c>
      <c r="P2168">
        <f>-682.970776565679 -267.749619258313 -244.99314688353</f>
        <v>-1195.713542707522</v>
      </c>
      <c r="Q2168">
        <f>-569.909122914371 -70.0726721395258 -323.68098011347</f>
        <v>-963.66277516736682</v>
      </c>
      <c r="R2168" t="s">
        <v>27086</v>
      </c>
      <c r="S2168" t="s">
        <v>27087</v>
      </c>
      <c r="T2168" t="s">
        <v>27088</v>
      </c>
      <c r="U2168" t="s">
        <v>27089</v>
      </c>
      <c r="V2168">
        <f>-700.407510624016 -113.134656068977 -90.5875471370658</f>
        <v>-904.1297138300589</v>
      </c>
      <c r="W2168" t="s">
        <v>27090</v>
      </c>
      <c r="X2168" t="s">
        <v>27091</v>
      </c>
      <c r="Y2168" t="s">
        <v>27092</v>
      </c>
    </row>
    <row r="2169" spans="1:25" x14ac:dyDescent="0.3">
      <c r="A2169">
        <v>108400</v>
      </c>
      <c r="B2169" t="s">
        <v>27093</v>
      </c>
      <c r="C2169">
        <f>-737.780525490838 -25.9187166875154 -94.1483659114538</f>
        <v>-857.84760808980718</v>
      </c>
      <c r="D2169">
        <f>-753.267463379633 -38.6272044763462 -208.231077355051</f>
        <v>-1000.1257452110301</v>
      </c>
      <c r="E2169">
        <f>-759.242485191763 -43.2087138775823 -306.567093487295</f>
        <v>-1109.0182925566403</v>
      </c>
      <c r="F2169">
        <f>-762.198587301566 -45.1150851811728 -395.594478966551</f>
        <v>-1202.9081514492898</v>
      </c>
      <c r="G2169">
        <f>-762.332515760092 -44.7176236493729 -484.690337754502</f>
        <v>-1291.7404771639667</v>
      </c>
      <c r="H2169">
        <f>-759.519341983216 -41.7951898992865 -609.206677883291</f>
        <v>-1410.5212097657936</v>
      </c>
      <c r="I2169">
        <f>-729.215681480977 -34.4829056739038 -686.234388797608</f>
        <v>-1449.9329759524887</v>
      </c>
      <c r="J2169">
        <f>-768.929329971802 -16.6082970885382 -553.976428744758</f>
        <v>-1339.514055805098</v>
      </c>
      <c r="K2169" t="s">
        <v>27094</v>
      </c>
      <c r="L2169" t="s">
        <v>27095</v>
      </c>
      <c r="M2169" t="s">
        <v>27096</v>
      </c>
      <c r="N2169">
        <f>-752.585210565346 -69.5541990389045 -554.849837171702</f>
        <v>-1376.9892467759523</v>
      </c>
      <c r="O2169">
        <f>-713.973164762572 -198.845881969921 -528.562281144399</f>
        <v>-1441.3813278768921</v>
      </c>
      <c r="P2169">
        <f>-684.509424760452 -266.372266898599 -243.6705557566</f>
        <v>-1194.552247415651</v>
      </c>
      <c r="Q2169">
        <f>-570.711255442417 -69.4531451811824 -323.192302201251</f>
        <v>-963.35670282485046</v>
      </c>
      <c r="R2169" t="s">
        <v>27097</v>
      </c>
      <c r="S2169" t="s">
        <v>27098</v>
      </c>
      <c r="T2169" t="s">
        <v>27099</v>
      </c>
      <c r="U2169" t="s">
        <v>27100</v>
      </c>
      <c r="V2169">
        <f>-700.59935256406 -114.087131730643 -90.4672997949076</f>
        <v>-905.15378408961067</v>
      </c>
      <c r="W2169" t="s">
        <v>27101</v>
      </c>
      <c r="X2169" t="s">
        <v>27102</v>
      </c>
      <c r="Y2169" t="s">
        <v>27103</v>
      </c>
    </row>
    <row r="2170" spans="1:25" x14ac:dyDescent="0.3">
      <c r="A2170">
        <v>108450</v>
      </c>
      <c r="B2170" t="s">
        <v>27104</v>
      </c>
      <c r="C2170">
        <f>-737.867067481163 -26.4376408185103 -94.1349341880716</f>
        <v>-858.43964248774489</v>
      </c>
      <c r="D2170">
        <f>-753.346224559742 -39.1854783768308 -208.21433000285</f>
        <v>-1000.7460329394229</v>
      </c>
      <c r="E2170">
        <f>-759.287006894182 -43.8106840852076 -306.550353642903</f>
        <v>-1109.6480446222927</v>
      </c>
      <c r="F2170">
        <f>-762.201444933999 -45.7612624671481 -395.57811577574</f>
        <v>-1203.540823176887</v>
      </c>
      <c r="G2170">
        <f>-762.282829845093 -45.4121634845185 -484.674141204339</f>
        <v>-1292.3691345339505</v>
      </c>
      <c r="H2170">
        <f>-759.385330900882 -42.5625118534799 -609.190429279841</f>
        <v>-1411.1382720342031</v>
      </c>
      <c r="I2170">
        <f>-729.033416825262 -35.2549212752062 -686.199429638987</f>
        <v>-1450.4877677394552</v>
      </c>
      <c r="J2170">
        <f>-768.829956943672 -17.342413494426 -553.981284306489</f>
        <v>-1340.1536547445869</v>
      </c>
      <c r="K2170" t="s">
        <v>27105</v>
      </c>
      <c r="L2170" t="s">
        <v>27106</v>
      </c>
      <c r="M2170" t="s">
        <v>27107</v>
      </c>
      <c r="N2170">
        <f>-752.490718257332 -70.2905794367027 -554.812680963573</f>
        <v>-1377.5939786576077</v>
      </c>
      <c r="O2170">
        <f>-713.916135950789 -199.563754609367 -528.405874141026</f>
        <v>-1441.8857647011819</v>
      </c>
      <c r="P2170">
        <f>-685.027434817209 -265.907335449316 -243.177646371985</f>
        <v>-1194.11241663851</v>
      </c>
      <c r="Q2170">
        <f>-570.716658640179 -69.4619176025305 -323.134718463576</f>
        <v>-963.31329470628566</v>
      </c>
      <c r="R2170" t="s">
        <v>27108</v>
      </c>
      <c r="S2170" t="s">
        <v>27109</v>
      </c>
      <c r="T2170" t="s">
        <v>27110</v>
      </c>
      <c r="U2170" t="s">
        <v>27111</v>
      </c>
      <c r="V2170">
        <f>-700.681132823858 -114.565360091354 -90.4078049138171</f>
        <v>-905.65429782902913</v>
      </c>
      <c r="W2170" t="s">
        <v>27112</v>
      </c>
      <c r="X2170" t="s">
        <v>27113</v>
      </c>
      <c r="Y2170" t="s">
        <v>27114</v>
      </c>
    </row>
    <row r="2171" spans="1:25" x14ac:dyDescent="0.3">
      <c r="A2171">
        <v>108500</v>
      </c>
      <c r="B2171" t="s">
        <v>27115</v>
      </c>
      <c r="C2171">
        <f>-737.84516543391 -27.4964609752833 -94.0828493273492</f>
        <v>-859.42447573654249</v>
      </c>
      <c r="D2171">
        <f>-753.312275751087 -40.2963268644901 -208.158097068186</f>
        <v>-1001.7666996837631</v>
      </c>
      <c r="E2171">
        <f>-759.2193038579 -44.9922645664506 -306.492718172491</f>
        <v>-1110.7042865968415</v>
      </c>
      <c r="F2171">
        <f>-762.093881131302 -47.0171648251223 -395.520180959488</f>
        <v>-1204.6312269159125</v>
      </c>
      <c r="G2171">
        <f>-762.126570268694 -46.7531122895327 -484.616564854678</f>
        <v>-1293.4962474129047</v>
      </c>
      <c r="H2171">
        <f>-759.152041749245 -44.0333456770952 -609.133839928529</f>
        <v>-1412.3192273548693</v>
      </c>
      <c r="I2171">
        <f>-728.752498893046 -36.7198171754198 -686.123634353838</f>
        <v>-1451.5959504223038</v>
      </c>
      <c r="J2171">
        <f>-768.625221027995 -18.7540781376958 -553.956664423579</f>
        <v>-1341.3359635892698</v>
      </c>
      <c r="K2171" t="s">
        <v>27116</v>
      </c>
      <c r="L2171" t="s">
        <v>27117</v>
      </c>
      <c r="M2171" t="s">
        <v>27118</v>
      </c>
      <c r="N2171">
        <f>-752.296829460571 -71.7064647845618 -554.723311729116</f>
        <v>-1378.7266059742487</v>
      </c>
      <c r="O2171">
        <f>-713.73310093517 -200.943008852594 -528.133748156223</f>
        <v>-1442.809857943987</v>
      </c>
      <c r="P2171">
        <f>-685.336699613253 -266.077978176213 -242.577792919824</f>
        <v>-1193.99247070929</v>
      </c>
      <c r="Q2171">
        <f>-570.912452986704 -69.7997602898374 -322.782898164106</f>
        <v>-963.49511144064741</v>
      </c>
      <c r="R2171" t="s">
        <v>27119</v>
      </c>
      <c r="S2171" t="s">
        <v>27120</v>
      </c>
      <c r="T2171" t="s">
        <v>27121</v>
      </c>
      <c r="U2171" t="s">
        <v>27122</v>
      </c>
      <c r="V2171">
        <f>-700.711661472576 -115.644729233592 -90.2957168414762</f>
        <v>-906.65210754764416</v>
      </c>
      <c r="W2171" t="s">
        <v>27123</v>
      </c>
      <c r="X2171" t="s">
        <v>27124</v>
      </c>
      <c r="Y2171" t="s">
        <v>27125</v>
      </c>
    </row>
    <row r="2172" spans="1:25" x14ac:dyDescent="0.3">
      <c r="A2172">
        <v>108550</v>
      </c>
      <c r="B2172" t="s">
        <v>27126</v>
      </c>
      <c r="C2172">
        <f>-737.713734474715 -27.9416045008379 -94.0668615130895</f>
        <v>-859.72220048864244</v>
      </c>
      <c r="D2172">
        <f>-753.180093986702 -40.7777601319074 -208.138011775533</f>
        <v>-1002.0958658941423</v>
      </c>
      <c r="E2172">
        <f>-759.079054184574 -45.5094603228449 -306.471675207834</f>
        <v>-1111.0601897152528</v>
      </c>
      <c r="F2172">
        <f>-761.944029477309 -47.5682003780923 -395.498525226579</f>
        <v>-1205.0107550819803</v>
      </c>
      <c r="G2172">
        <f>-761.964613856718 -47.3397301844989 -484.594952173177</f>
        <v>-1293.8992962143939</v>
      </c>
      <c r="H2172">
        <f>-758.970750932669 -44.6711465621859 -609.113119523241</f>
        <v>-1412.7550170180959</v>
      </c>
      <c r="I2172">
        <f>-728.545499678603 -37.3309960958941 -686.089922606702</f>
        <v>-1451.9664183811992</v>
      </c>
      <c r="J2172">
        <f>-768.461191244029 -19.3718241459601 -553.947926393546</f>
        <v>-1341.7809417835351</v>
      </c>
      <c r="K2172" t="s">
        <v>27127</v>
      </c>
      <c r="L2172" t="s">
        <v>27128</v>
      </c>
      <c r="M2172" t="s">
        <v>27129</v>
      </c>
      <c r="N2172">
        <f>-752.115272089098 -72.3191392463909 -554.689651920711</f>
        <v>-1379.1240632561999</v>
      </c>
      <c r="O2172">
        <f>-713.484013035358 -201.52164495345 -528.035834983682</f>
        <v>-1443.04149297249</v>
      </c>
      <c r="P2172">
        <f>-685.085015900364 -266.628221806737 -242.473454885903</f>
        <v>-1194.186692593004</v>
      </c>
      <c r="Q2172">
        <f>-571.255397471256 -69.8765832920415 -322.363886691432</f>
        <v>-963.49586745472948</v>
      </c>
      <c r="R2172" t="s">
        <v>27130</v>
      </c>
      <c r="S2172" t="s">
        <v>27131</v>
      </c>
      <c r="T2172" t="s">
        <v>27132</v>
      </c>
      <c r="U2172" t="s">
        <v>27133</v>
      </c>
      <c r="V2172">
        <f>-700.583716566706 -116.083246720769 -90.2527669359611</f>
        <v>-906.91973022343609</v>
      </c>
      <c r="W2172" t="s">
        <v>27134</v>
      </c>
      <c r="X2172" t="s">
        <v>27135</v>
      </c>
      <c r="Y2172" t="s">
        <v>27136</v>
      </c>
    </row>
    <row r="2173" spans="1:25" x14ac:dyDescent="0.3">
      <c r="A2173">
        <v>108600</v>
      </c>
      <c r="B2173" t="s">
        <v>27137</v>
      </c>
      <c r="C2173">
        <f>-737.630541049389 -28.6673332563987 -94.0668968681331</f>
        <v>-860.36477117392076</v>
      </c>
      <c r="D2173">
        <f>-753.091483072776 -41.5934913292826 -208.128769493898</f>
        <v>-1002.8137438959566</v>
      </c>
      <c r="E2173">
        <f>-758.994668451287 -46.3922880106891 -306.45869241598</f>
        <v>-1111.8456488779561</v>
      </c>
      <c r="F2173">
        <f>-761.866473491556 -48.5079839457605 -395.484035548865</f>
        <v>-1205.8584929861815</v>
      </c>
      <c r="G2173">
        <f>-761.897299733868 -48.3320048212613 -484.580778095098</f>
        <v>-1294.8100826502273</v>
      </c>
      <c r="H2173">
        <f>-758.921244432385 -45.7320027014378 -609.100558773954</f>
        <v>-1413.753805907777</v>
      </c>
      <c r="I2173">
        <f>-728.49492732068 -38.2853818270328 -686.066924894717</f>
        <v>-1452.8472340424296</v>
      </c>
      <c r="J2173">
        <f>-768.443687991104 -20.4145140412272 -553.949352588619</f>
        <v>-1342.8075546209502</v>
      </c>
      <c r="K2173" t="s">
        <v>27138</v>
      </c>
      <c r="L2173" t="s">
        <v>27139</v>
      </c>
      <c r="M2173" t="s">
        <v>27140</v>
      </c>
      <c r="N2173">
        <f>-752.017885748759 -73.3376188720833 -554.661838085592</f>
        <v>-1380.0173427064342</v>
      </c>
      <c r="O2173">
        <f>-713.182973836965 -202.467851516541 -527.935162433978</f>
        <v>-1443.5859877874841</v>
      </c>
      <c r="P2173">
        <f>-684.780780241382 -267.289811117111 -242.308488366814</f>
        <v>-1194.3790797253068</v>
      </c>
      <c r="Q2173">
        <f>-571.468840237981 -70.0691129265863 -321.776743864727</f>
        <v>-963.31469702929428</v>
      </c>
      <c r="R2173" t="s">
        <v>27141</v>
      </c>
      <c r="S2173" t="s">
        <v>27142</v>
      </c>
      <c r="T2173" t="s">
        <v>27143</v>
      </c>
      <c r="U2173" t="s">
        <v>27144</v>
      </c>
      <c r="V2173">
        <f>-700.36341233412 -116.906134862982 -90.1842341542056</f>
        <v>-907.4537813513075</v>
      </c>
      <c r="W2173" t="s">
        <v>27145</v>
      </c>
      <c r="X2173" t="s">
        <v>27146</v>
      </c>
      <c r="Y2173" t="s">
        <v>27147</v>
      </c>
    </row>
    <row r="2174" spans="1:25" x14ac:dyDescent="0.3">
      <c r="A2174">
        <v>108650</v>
      </c>
      <c r="B2174" t="s">
        <v>27148</v>
      </c>
      <c r="C2174">
        <f>-737.621223771002 -29.0881768792419 -94.046380045221</f>
        <v>-860.75578069546486</v>
      </c>
      <c r="D2174">
        <f>-753.094139000775 -42.0645942884125 -208.100803751116</f>
        <v>-1003.2595370403036</v>
      </c>
      <c r="E2174">
        <f>-759.011121075342 -46.8887058695518 -306.428771321754</f>
        <v>-1112.3285982666478</v>
      </c>
      <c r="F2174">
        <f>-761.896473378458 -49.0208159192466 -395.453362556086</f>
        <v>-1206.3706518537906</v>
      </c>
      <c r="G2174">
        <f>-761.941855834027 -48.854048648444 -484.549982496256</f>
        <v>-1295.3458869787269</v>
      </c>
      <c r="H2174">
        <f>-758.98725977705 -46.2596423047291 -609.070465085724</f>
        <v>-1414.3173671675031</v>
      </c>
      <c r="I2174">
        <f>-728.545152305149 -38.7179508737311 -686.021254487894</f>
        <v>-1453.2843576667742</v>
      </c>
      <c r="J2174">
        <f>-768.531199181963 -20.9494525622144 -553.919551411127</f>
        <v>-1343.4002031553046</v>
      </c>
      <c r="K2174" t="s">
        <v>27149</v>
      </c>
      <c r="L2174" t="s">
        <v>27150</v>
      </c>
      <c r="M2174" t="s">
        <v>27151</v>
      </c>
      <c r="N2174">
        <f>-752.043604859762 -73.8531980802934 -554.63063670188</f>
        <v>-1380.5274396419354</v>
      </c>
      <c r="O2174">
        <f>-713.038942580986 -202.927580805996 -527.886331012313</f>
        <v>-1443.8528543992952</v>
      </c>
      <c r="P2174">
        <f>-684.601555549498 -267.69921747239 -242.251607605257</f>
        <v>-1194.5523806271451</v>
      </c>
      <c r="Q2174">
        <f>-571.67398614518 -70.1294140226032 -321.399849462202</f>
        <v>-963.20324962998529</v>
      </c>
      <c r="R2174" t="s">
        <v>27152</v>
      </c>
      <c r="S2174" t="s">
        <v>27153</v>
      </c>
      <c r="T2174" t="s">
        <v>27154</v>
      </c>
      <c r="U2174" t="s">
        <v>27155</v>
      </c>
      <c r="V2174">
        <f>-700.204271423891 -117.330311859539 -90.1440072996212</f>
        <v>-907.67859058305123</v>
      </c>
      <c r="W2174" t="s">
        <v>27156</v>
      </c>
      <c r="X2174" t="s">
        <v>27157</v>
      </c>
      <c r="Y2174" t="s">
        <v>27158</v>
      </c>
    </row>
    <row r="2175" spans="1:25" x14ac:dyDescent="0.3">
      <c r="A2175">
        <v>108700</v>
      </c>
      <c r="B2175" t="s">
        <v>27159</v>
      </c>
      <c r="C2175">
        <f>-737.42051190501 -30.2104910956898 -93.9677759267065</f>
        <v>-861.59877892740633</v>
      </c>
      <c r="D2175">
        <f>-752.936115872437 -43.3016332800403 -208.003306648853</f>
        <v>-1004.2410558013303</v>
      </c>
      <c r="E2175">
        <f>-758.894822539421 -48.181789991396 -306.3260044503</f>
        <v>-1113.402616981117</v>
      </c>
      <c r="F2175">
        <f>-761.819521874805 -50.3479323401216 -395.348389998249</f>
        <v>-1207.5158442131756</v>
      </c>
      <c r="G2175">
        <f>-761.905945354615 -50.1972927390291 -484.44501486865</f>
        <v>-1296.5482529622941</v>
      </c>
      <c r="H2175">
        <f>-759.010996334623 -47.6058953743247 -608.967005221704</f>
        <v>-1415.5838969306517</v>
      </c>
      <c r="I2175">
        <f>-728.580081686772 -39.8799443946034 -685.903941070658</f>
        <v>-1454.3639671520334</v>
      </c>
      <c r="J2175">
        <f>-768.618374197406 -22.3224374793931 -553.814932802934</f>
        <v>-1344.755744479733</v>
      </c>
      <c r="K2175" t="s">
        <v>27160</v>
      </c>
      <c r="L2175" t="s">
        <v>27161</v>
      </c>
      <c r="M2175" t="s">
        <v>27162</v>
      </c>
      <c r="N2175">
        <f>-751.951548700558 -75.170091910464 -554.52717458111</f>
        <v>-1381.6488151921319</v>
      </c>
      <c r="O2175">
        <f>-712.506858175282 -204.102474665335 -527.75564880522</f>
        <v>-1444.3649816458369</v>
      </c>
      <c r="P2175">
        <f>-683.944527825694 -268.34549946713 -242.014059752062</f>
        <v>-1194.304087044886</v>
      </c>
      <c r="Q2175">
        <f>-571.691849044832 -70.2349662490028 -320.769736998896</f>
        <v>-962.69655229273076</v>
      </c>
      <c r="R2175" t="s">
        <v>27163</v>
      </c>
      <c r="S2175" t="s">
        <v>27164</v>
      </c>
      <c r="T2175" t="s">
        <v>27165</v>
      </c>
      <c r="U2175" t="s">
        <v>27166</v>
      </c>
      <c r="V2175">
        <f>-699.789921925083 -118.399023886328 -90.0275035547191</f>
        <v>-908.21644936613018</v>
      </c>
      <c r="W2175" t="s">
        <v>27167</v>
      </c>
      <c r="X2175" t="s">
        <v>27168</v>
      </c>
      <c r="Y2175" t="s">
        <v>27169</v>
      </c>
    </row>
    <row r="2176" spans="1:25" x14ac:dyDescent="0.3">
      <c r="A2176">
        <v>108750</v>
      </c>
      <c r="B2176" t="s">
        <v>27170</v>
      </c>
      <c r="C2176">
        <f>-737.297117631879 -30.8258988915295 -93.9248083403389</f>
        <v>-862.04782486374745</v>
      </c>
      <c r="D2176">
        <f>-752.843872085101 -43.9759534640789 -207.949381905915</f>
        <v>-1004.7692074550948</v>
      </c>
      <c r="E2176">
        <f>-758.844808115789 -48.8828081734216 -306.26811963426</f>
        <v>-1113.9957359234706</v>
      </c>
      <c r="F2176">
        <f>-761.813802195574 -51.063842079544 -395.288716059395</f>
        <v>-1208.166360334513</v>
      </c>
      <c r="G2176">
        <f>-761.950668947922 -50.9179518782016 -484.385295090837</f>
        <v>-1297.2539159169608</v>
      </c>
      <c r="H2176">
        <f>-759.132792082725 -48.3221722546823 -608.908975672874</f>
        <v>-1416.3639400102813</v>
      </c>
      <c r="I2176">
        <f>-728.721879453274 -40.5186113916971 -685.846007599785</f>
        <v>-1455.0864984447562</v>
      </c>
      <c r="J2176">
        <f>-768.752980678126 -23.0554381217119 -553.75140446737</f>
        <v>-1345.5598232672078</v>
      </c>
      <c r="K2176" t="s">
        <v>27171</v>
      </c>
      <c r="L2176" t="s">
        <v>27172</v>
      </c>
      <c r="M2176" t="s">
        <v>27173</v>
      </c>
      <c r="N2176">
        <f>-751.992861812241 -75.8734559316001 -554.473127794651</f>
        <v>-1382.3394455384921</v>
      </c>
      <c r="O2176">
        <f>-712.298850960301 -204.724708128623 -527.679061189867</f>
        <v>-1444.7026202787911</v>
      </c>
      <c r="P2176">
        <f>-683.708095621521 -268.4498700015 -241.824405691303</f>
        <v>-1193.9823713143242</v>
      </c>
      <c r="Q2176">
        <f>-571.823717489918 -70.1312468414651 -320.580113129087</f>
        <v>-962.53507746047012</v>
      </c>
      <c r="R2176" t="s">
        <v>27174</v>
      </c>
      <c r="S2176" t="s">
        <v>27175</v>
      </c>
      <c r="T2176" t="s">
        <v>27176</v>
      </c>
      <c r="U2176" t="s">
        <v>27177</v>
      </c>
      <c r="V2176">
        <f>-699.565362088129 -118.97002123373 -89.9640468728691</f>
        <v>-908.49943019472801</v>
      </c>
      <c r="W2176" t="s">
        <v>27178</v>
      </c>
      <c r="X2176" t="s">
        <v>27179</v>
      </c>
      <c r="Y2176" t="s">
        <v>27180</v>
      </c>
    </row>
    <row r="2177" spans="1:25" x14ac:dyDescent="0.3">
      <c r="A2177">
        <v>108800</v>
      </c>
      <c r="B2177" t="s">
        <v>27181</v>
      </c>
      <c r="C2177">
        <f>-737.154830613621 -31.9294155826738 -93.8403452612899</f>
        <v>-862.92459145758471</v>
      </c>
      <c r="D2177">
        <f>-752.739569141736 -45.1848872487949 -207.847394906018</f>
        <v>-1005.7718512965489</v>
      </c>
      <c r="E2177">
        <f>-758.820357332299 -50.149287805719 -306.158394327175</f>
        <v>-1115.1280394651931</v>
      </c>
      <c r="F2177">
        <f>-761.879980538521 -52.3694612399875 -395.17499064483</f>
        <v>-1209.4244324233384</v>
      </c>
      <c r="G2177">
        <f>-762.126716674692 -52.2478718679761 -484.271291490121</f>
        <v>-1298.6458800327891</v>
      </c>
      <c r="H2177">
        <f>-759.482127619339 -49.6696542071356 -608.799118000986</f>
        <v>-1417.9508998274607</v>
      </c>
      <c r="I2177">
        <f>-729.12801263848 -41.7238857381244 -685.744112480111</f>
        <v>-1456.5960108567153</v>
      </c>
      <c r="J2177">
        <f>-769.12019765449 -24.4253507832759 -553.634509694906</f>
        <v>-1347.180058132672</v>
      </c>
      <c r="K2177" t="s">
        <v>27182</v>
      </c>
      <c r="L2177" t="s">
        <v>27183</v>
      </c>
      <c r="M2177" t="s">
        <v>27184</v>
      </c>
      <c r="N2177">
        <f>-752.171384575518 -77.1829665044402 -554.366744637303</f>
        <v>-1383.7210957172611</v>
      </c>
      <c r="O2177">
        <f>-712.003868400008 -205.873333669412 -527.495894838694</f>
        <v>-1445.3730969081139</v>
      </c>
      <c r="P2177">
        <f>-683.412247412861 -267.930851116854 -241.274750665538</f>
        <v>-1192.617849195253</v>
      </c>
      <c r="Q2177">
        <f>-571.960114321658 -69.5857175113304 -320.574736008194</f>
        <v>-962.12056784118238</v>
      </c>
      <c r="R2177" t="s">
        <v>27185</v>
      </c>
      <c r="S2177" t="s">
        <v>27186</v>
      </c>
      <c r="T2177" t="s">
        <v>27187</v>
      </c>
      <c r="U2177" t="s">
        <v>27188</v>
      </c>
      <c r="V2177">
        <f>-699.202645763847 -120.020242910041 -89.8546208270491</f>
        <v>-909.07750950093714</v>
      </c>
      <c r="W2177" t="s">
        <v>27189</v>
      </c>
      <c r="X2177" t="s">
        <v>27190</v>
      </c>
      <c r="Y2177" t="s">
        <v>27191</v>
      </c>
    </row>
    <row r="2178" spans="1:25" x14ac:dyDescent="0.3">
      <c r="A2178">
        <v>108850</v>
      </c>
      <c r="B2178" t="s">
        <v>27192</v>
      </c>
      <c r="C2178">
        <f>-737.167344979415 -32.4201068076607 -93.7977503764937</f>
        <v>-863.38520216356937</v>
      </c>
      <c r="D2178">
        <f>-752.768067615192 -45.7243222587178 -207.797064676731</f>
        <v>-1006.2894545506408</v>
      </c>
      <c r="E2178">
        <f>-758.880434868509 -50.7328025068298 -306.103685303746</f>
        <v>-1115.7169226790847</v>
      </c>
      <c r="F2178">
        <f>-761.975596962189 -52.9942626061065 -395.118031905959</f>
        <v>-1210.0878914742545</v>
      </c>
      <c r="G2178">
        <f>-762.265597102684 -52.9143522074689 -484.214369328294</f>
        <v>-1299.394318638447</v>
      </c>
      <c r="H2178">
        <f>-759.689337770424 -50.3941468424136 -608.744867622486</f>
        <v>-1418.8283522353236</v>
      </c>
      <c r="I2178">
        <f>-729.377231420345 -42.3978304090065 -685.700991051025</f>
        <v>-1457.4760528803763</v>
      </c>
      <c r="J2178">
        <f>-769.344650086946 -25.1394864115466 -553.587851441069</f>
        <v>-1348.0719879395615</v>
      </c>
      <c r="K2178" t="s">
        <v>27193</v>
      </c>
      <c r="L2178" t="s">
        <v>27194</v>
      </c>
      <c r="M2178" t="s">
        <v>27195</v>
      </c>
      <c r="N2178">
        <f>-752.301484122272 -77.8669352903837 -554.302371500135</f>
        <v>-1384.4707909127906</v>
      </c>
      <c r="O2178">
        <f>-711.903699850286 -206.464294784768 -527.35985480458</f>
        <v>-1445.7278494396339</v>
      </c>
      <c r="P2178">
        <f>-683.427039356747 -267.501586843375 -240.907906392294</f>
        <v>-1191.836532592416</v>
      </c>
      <c r="Q2178">
        <f>-571.90596424271 -69.4420812463181 -320.822419862581</f>
        <v>-962.1704653516091</v>
      </c>
      <c r="R2178" t="s">
        <v>27196</v>
      </c>
      <c r="S2178" t="s">
        <v>27197</v>
      </c>
      <c r="T2178" t="s">
        <v>27198</v>
      </c>
      <c r="U2178" t="s">
        <v>27199</v>
      </c>
      <c r="V2178">
        <f>-699.119720620745 -120.447666959858 -89.7961345296652</f>
        <v>-909.36352211026826</v>
      </c>
      <c r="W2178" t="s">
        <v>27200</v>
      </c>
      <c r="X2178" t="s">
        <v>27201</v>
      </c>
      <c r="Y2178" t="s">
        <v>27202</v>
      </c>
    </row>
    <row r="2179" spans="1:25" x14ac:dyDescent="0.3">
      <c r="A2179">
        <v>108900</v>
      </c>
      <c r="B2179" t="s">
        <v>27203</v>
      </c>
      <c r="C2179">
        <f>-737.259464874202 -33.3362476767986 -93.7140693176995</f>
        <v>-864.30978186870004</v>
      </c>
      <c r="D2179">
        <f>-752.859919623542 -46.7069162876692 -207.705600561759</f>
        <v>-1007.2724364729702</v>
      </c>
      <c r="E2179">
        <f>-759.005951603297 -51.8000794946308 -306.00580085174</f>
        <v>-1116.811831949668</v>
      </c>
      <c r="F2179">
        <f>-762.146102917751 -54.1493298301023 -395.016310084487</f>
        <v>-1211.3117428323403</v>
      </c>
      <c r="G2179">
        <f>-762.496306994514 -54.1668318102356 -484.112564302619</f>
        <v>-1300.7757031073686</v>
      </c>
      <c r="H2179">
        <f>-760.02123695211 -51.7919722966808 -608.647830151588</f>
        <v>-1420.4610394003789</v>
      </c>
      <c r="I2179">
        <f>-729.752198752743 -43.7140010002336 -685.612506004032</f>
        <v>-1459.0787057570085</v>
      </c>
      <c r="J2179">
        <f>-769.726974372557 -26.5038346896042 -553.515038562497</f>
        <v>-1349.7458476246584</v>
      </c>
      <c r="K2179" t="s">
        <v>27204</v>
      </c>
      <c r="L2179" t="s">
        <v>27205</v>
      </c>
      <c r="M2179" t="s">
        <v>27206</v>
      </c>
      <c r="N2179">
        <f>-752.493724656109 -79.1701182673789 -554.176969763129</f>
        <v>-1385.840812686617</v>
      </c>
      <c r="O2179">
        <f>-711.633106352309 -207.594154028769 -527.071462931438</f>
        <v>-1446.2987233125159</v>
      </c>
      <c r="P2179">
        <f>-683.357207546556 -266.740507065379 -240.203292222708</f>
        <v>-1190.301006834643</v>
      </c>
      <c r="Q2179">
        <f>-572.601279243139 -68.3777824112369 -320.428849666323</f>
        <v>-961.40791132069887</v>
      </c>
      <c r="R2179" t="s">
        <v>27207</v>
      </c>
      <c r="S2179" t="s">
        <v>27208</v>
      </c>
      <c r="T2179" t="s">
        <v>27209</v>
      </c>
      <c r="U2179" t="s">
        <v>27210</v>
      </c>
      <c r="V2179">
        <f>-698.987164417917 -121.347257618875 -89.6915069409621</f>
        <v>-910.02592897775412</v>
      </c>
      <c r="W2179" t="s">
        <v>27211</v>
      </c>
      <c r="X2179" t="s">
        <v>27212</v>
      </c>
      <c r="Y2179" t="s">
        <v>27213</v>
      </c>
    </row>
    <row r="2180" spans="1:25" x14ac:dyDescent="0.3">
      <c r="A2180">
        <v>108950</v>
      </c>
      <c r="B2180" t="s">
        <v>27214</v>
      </c>
      <c r="C2180">
        <f>-737.303247017963 -33.7205347838997 -93.6698637989703</f>
        <v>-864.69364560083295</v>
      </c>
      <c r="D2180">
        <f>-752.903519499124 -47.1220491927461 -207.657777140703</f>
        <v>-1007.683345832573</v>
      </c>
      <c r="E2180">
        <f>-759.051027147599 -52.2583270669547 -305.955773712566</f>
        <v>-1117.2651279271197</v>
      </c>
      <c r="F2180">
        <f>-762.193429917994 -54.6532163196625 -394.964967946023</f>
        <v>-1211.8116141836795</v>
      </c>
      <c r="G2180">
        <f>-762.547513300697 -54.7223621266612 -484.061047683405</f>
        <v>-1301.3309231107633</v>
      </c>
      <c r="H2180">
        <f>-760.0796659298 -52.4254938456104 -608.597944832168</f>
        <v>-1421.1031046075782</v>
      </c>
      <c r="I2180">
        <f>-729.768660165224 -44.3024206617429 -685.541362845998</f>
        <v>-1459.6124436729649</v>
      </c>
      <c r="J2180">
        <f>-769.824596195145 -27.1166930248576 -553.481515725951</f>
        <v>-1350.4228049459534</v>
      </c>
      <c r="K2180" t="s">
        <v>27215</v>
      </c>
      <c r="L2180" t="s">
        <v>27216</v>
      </c>
      <c r="M2180" t="s">
        <v>27217</v>
      </c>
      <c r="N2180">
        <f>-752.506568757801 -79.7556817601451 -554.109199438418</f>
        <v>-1386.3714499563641</v>
      </c>
      <c r="O2180">
        <f>-711.447695056709 -208.099279362588 -526.925957373142</f>
        <v>-1446.4729317924389</v>
      </c>
      <c r="P2180">
        <f>-683.329538681505 -266.369513095986 -239.862900259038</f>
        <v>-1189.561952036529</v>
      </c>
      <c r="Q2180">
        <f>-572.63562965022 -68.0260114949169 -320.222053310589</f>
        <v>-960.88369445572596</v>
      </c>
      <c r="R2180" t="s">
        <v>27218</v>
      </c>
      <c r="S2180" t="s">
        <v>27219</v>
      </c>
      <c r="T2180" t="s">
        <v>27220</v>
      </c>
      <c r="U2180" t="s">
        <v>27221</v>
      </c>
      <c r="V2180">
        <f>-698.969925194498 -121.62252959271 -89.6508731484711</f>
        <v>-910.24332793567908</v>
      </c>
      <c r="W2180" t="s">
        <v>27222</v>
      </c>
      <c r="X2180" t="s">
        <v>27223</v>
      </c>
      <c r="Y2180" t="s">
        <v>27224</v>
      </c>
    </row>
    <row r="2181" spans="1:25" x14ac:dyDescent="0.3">
      <c r="A2181">
        <v>109000</v>
      </c>
      <c r="B2181" t="s">
        <v>27225</v>
      </c>
      <c r="C2181">
        <f>-737.341554009782 -34.3140614614956 -93.6052856793928</f>
        <v>-865.26090115067041</v>
      </c>
      <c r="D2181">
        <f>-752.991171253501 -47.7920392697113 -207.577390036575</f>
        <v>-1008.3606005597873</v>
      </c>
      <c r="E2181">
        <f>-759.186195961829 -53.0278842338862 -305.867263613931</f>
        <v>-1118.0813438096461</v>
      </c>
      <c r="F2181">
        <f>-762.374444789174 -55.5265335967849 -394.871834134601</f>
        <v>-1212.7728125205599</v>
      </c>
      <c r="G2181">
        <f>-762.778656992471 -55.7112771163488 -483.967494410859</f>
        <v>-1302.4574285196788</v>
      </c>
      <c r="H2181">
        <f>-760.386131506646 -53.5880002867532 -608.50900690476</f>
        <v>-1422.4831386981591</v>
      </c>
      <c r="I2181">
        <f>-730.052898744939 -45.4195310648054 -685.438914976416</f>
        <v>-1460.9113447861603</v>
      </c>
      <c r="J2181">
        <f>-770.180734518376 -28.2299225180207 -553.424056532301</f>
        <v>-1351.8347135686977</v>
      </c>
      <c r="K2181" t="s">
        <v>27226</v>
      </c>
      <c r="L2181" t="s">
        <v>27227</v>
      </c>
      <c r="M2181" t="s">
        <v>27228</v>
      </c>
      <c r="N2181">
        <f>-752.69705960798 -80.814831673124 -553.98480679776</f>
        <v>-1387.496698078864</v>
      </c>
      <c r="O2181">
        <f>-711.373827955977 -209.04133063953 -526.632343850982</f>
        <v>-1447.047502446489</v>
      </c>
      <c r="P2181">
        <f>-683.565480714458 -265.690611199398 -239.214872166914</f>
        <v>-1188.47096408077</v>
      </c>
      <c r="Q2181">
        <f>-572.840392502681 -67.4034949184816 -319.67026132182</f>
        <v>-959.91414874298255</v>
      </c>
      <c r="R2181" t="s">
        <v>27229</v>
      </c>
      <c r="S2181" t="s">
        <v>27230</v>
      </c>
      <c r="T2181" t="s">
        <v>27231</v>
      </c>
      <c r="U2181" t="s">
        <v>27232</v>
      </c>
      <c r="V2181">
        <f>-698.834372113172 -122.102305494467 -89.5812794768332</f>
        <v>-910.51795708447219</v>
      </c>
      <c r="W2181" t="s">
        <v>27233</v>
      </c>
      <c r="X2181" t="s">
        <v>27234</v>
      </c>
      <c r="Y2181" t="s">
        <v>27235</v>
      </c>
    </row>
    <row r="2182" spans="1:25" x14ac:dyDescent="0.3">
      <c r="A2182">
        <v>109050</v>
      </c>
      <c r="B2182" t="s">
        <v>27236</v>
      </c>
      <c r="C2182">
        <f>-737.375972231625 -34.5904288579945 -93.5831632689607</f>
        <v>-865.54956435858026</v>
      </c>
      <c r="D2182">
        <f>-753.057264653494 -48.1126979590413 -207.545626517993</f>
        <v>-1008.7155891305283</v>
      </c>
      <c r="E2182">
        <f>-759.275808153377 -53.4015311109208 -305.831063289852</f>
        <v>-1118.5084025541498</v>
      </c>
      <c r="F2182">
        <f>-762.48446048295 -55.9544043778344 -394.833474955257</f>
        <v>-1213.2723398160415</v>
      </c>
      <c r="G2182">
        <f>-762.908447102452 -56.1986447725146 -483.928946712917</f>
        <v>-1303.0360385878837</v>
      </c>
      <c r="H2182">
        <f>-760.54315297152 -54.1641237731469 -608.472472558769</f>
        <v>-1423.179749303436</v>
      </c>
      <c r="I2182">
        <f>-730.183959107528 -46.0064763326834 -685.393249099427</f>
        <v>-1461.5836845396384</v>
      </c>
      <c r="J2182">
        <f>-770.356097077389 -28.7769351974005 -553.404330780815</f>
        <v>-1352.5373630556046</v>
      </c>
      <c r="K2182" t="s">
        <v>27237</v>
      </c>
      <c r="L2182" t="s">
        <v>27238</v>
      </c>
      <c r="M2182" t="s">
        <v>27239</v>
      </c>
      <c r="N2182">
        <f>-752.811816928564 -81.3420335881015 -553.929806208775</f>
        <v>-1388.0836567254405</v>
      </c>
      <c r="O2182">
        <f>-711.3849853513 -209.50717393163 -526.455392794336</f>
        <v>-1447.3475520772658</v>
      </c>
      <c r="P2182">
        <f>-683.875027561148 -265.336205234865 -238.848974354031</f>
        <v>-1188.0602071500441</v>
      </c>
      <c r="Q2182">
        <f>-572.861181110347 -67.273242768257 -319.45816454362</f>
        <v>-959.59258842222403</v>
      </c>
      <c r="R2182" t="s">
        <v>27240</v>
      </c>
      <c r="S2182" t="s">
        <v>27241</v>
      </c>
      <c r="T2182" t="s">
        <v>27242</v>
      </c>
      <c r="U2182" t="s">
        <v>27243</v>
      </c>
      <c r="V2182">
        <f>-698.750440634523 -122.430094754635 -89.5419994671544</f>
        <v>-910.72253485631234</v>
      </c>
      <c r="W2182" t="s">
        <v>27244</v>
      </c>
      <c r="X2182" t="s">
        <v>27245</v>
      </c>
      <c r="Y2182" t="s">
        <v>27246</v>
      </c>
    </row>
    <row r="2183" spans="1:25" x14ac:dyDescent="0.3">
      <c r="A2183">
        <v>109100</v>
      </c>
      <c r="B2183" t="s">
        <v>27247</v>
      </c>
      <c r="C2183">
        <f>-737.530893743049 -35.1930285448436 -93.5202757335369</f>
        <v>-866.2441980214295</v>
      </c>
      <c r="D2183">
        <f>-753.285964171509 -48.7840851844624 -207.464553088364</f>
        <v>-1009.5346024443354</v>
      </c>
      <c r="E2183">
        <f>-759.540447577436 -54.1621368992801 -305.742768392875</f>
        <v>-1119.445352869591</v>
      </c>
      <c r="F2183">
        <f>-762.771184642776 -56.8080556545042 -394.741648192532</f>
        <v>-1214.3208884898122</v>
      </c>
      <c r="G2183">
        <f>-763.207741915724 -57.1570616744725 -483.836688944641</f>
        <v>-1304.2014925348376</v>
      </c>
      <c r="H2183">
        <f>-760.850333521251 -55.2806360299128 -608.382799750584</f>
        <v>-1424.5137693017477</v>
      </c>
      <c r="I2183">
        <f>-730.44422344002 -47.1402442433659 -685.286833781246</f>
        <v>-1462.8713014646319</v>
      </c>
      <c r="J2183">
        <f>-770.712311689467 -29.8410804823232 -553.347456269482</f>
        <v>-1353.900848441272</v>
      </c>
      <c r="K2183" t="s">
        <v>27248</v>
      </c>
      <c r="L2183" t="s">
        <v>27249</v>
      </c>
      <c r="M2183" t="s">
        <v>27250</v>
      </c>
      <c r="N2183">
        <f>-753.063265620001 -82.3717280201001 -553.804980072559</f>
        <v>-1389.2399737126602</v>
      </c>
      <c r="O2183">
        <f>-711.468192732462 -210.437607443559 -526.113077823013</f>
        <v>-1448.018877999034</v>
      </c>
      <c r="P2183">
        <f>-684.573765225377 -264.919793092384 -238.190218653366</f>
        <v>-1187.6837769711269</v>
      </c>
      <c r="Q2183">
        <f>-573.10611874185 -67.2474829523078 -319.131219663405</f>
        <v>-959.48482135756274</v>
      </c>
      <c r="R2183" t="s">
        <v>27251</v>
      </c>
      <c r="S2183" t="s">
        <v>27252</v>
      </c>
      <c r="T2183" t="s">
        <v>27253</v>
      </c>
      <c r="U2183" t="s">
        <v>27254</v>
      </c>
      <c r="V2183">
        <f>-698.796561826756 -123.000183352622 -89.4661132651817</f>
        <v>-911.2628584445597</v>
      </c>
      <c r="W2183" t="s">
        <v>27255</v>
      </c>
      <c r="X2183" t="s">
        <v>27256</v>
      </c>
      <c r="Y2183" t="s">
        <v>27257</v>
      </c>
    </row>
    <row r="2184" spans="1:25" x14ac:dyDescent="0.3">
      <c r="A2184">
        <v>109150</v>
      </c>
      <c r="B2184" t="s">
        <v>27258</v>
      </c>
      <c r="C2184">
        <f>-737.591875941444 -35.5333437536376 -93.492792747458</f>
        <v>-866.61801244253957</v>
      </c>
      <c r="D2184">
        <f>-753.38686274813 -49.1516819751062 -207.428106085965</f>
        <v>-1009.9666508092012</v>
      </c>
      <c r="E2184">
        <f>-759.657597827733 -54.5724372481579 -305.70300049239</f>
        <v>-1119.933035568281</v>
      </c>
      <c r="F2184">
        <f>-762.896299954275 -57.2647614357732 -394.700224751738</f>
        <v>-1214.8612861417862</v>
      </c>
      <c r="G2184">
        <f>-763.334516206742 -57.6677213911933 -483.795112211959</f>
        <v>-1304.7973498098943</v>
      </c>
      <c r="H2184">
        <f>-760.973017934587 -55.8740927763031 -608.342399199147</f>
        <v>-1425.189509910037</v>
      </c>
      <c r="I2184">
        <f>-730.538657986758 -47.7545769054841 -685.237502773787</f>
        <v>-1463.5307376660292</v>
      </c>
      <c r="J2184">
        <f>-770.858890909434 -30.40538810825 -553.324892998971</f>
        <v>-1354.5891720166551</v>
      </c>
      <c r="K2184" t="s">
        <v>27259</v>
      </c>
      <c r="L2184" t="s">
        <v>27260</v>
      </c>
      <c r="M2184" t="s">
        <v>27261</v>
      </c>
      <c r="N2184">
        <f>-753.165422141398 -82.9213096117476 -553.745719290047</f>
        <v>-1389.8324510431926</v>
      </c>
      <c r="O2184">
        <f>-711.505558793055 -210.940747394475 -525.972787541945</f>
        <v>-1448.419093729475</v>
      </c>
      <c r="P2184">
        <f>-685.019029698119 -264.665321773847 -237.869798984399</f>
        <v>-1187.5541504563651</v>
      </c>
      <c r="Q2184">
        <f>-572.961604145946 -67.4471886599961 -319.104269887423</f>
        <v>-959.5130626933651</v>
      </c>
      <c r="R2184" t="s">
        <v>27262</v>
      </c>
      <c r="S2184" t="s">
        <v>27263</v>
      </c>
      <c r="T2184" t="s">
        <v>27264</v>
      </c>
      <c r="U2184" t="s">
        <v>27265</v>
      </c>
      <c r="V2184">
        <f>-698.805430381874 -123.345781345334 -89.4315252511569</f>
        <v>-911.58273697836489</v>
      </c>
      <c r="W2184" t="s">
        <v>27266</v>
      </c>
      <c r="X2184" t="s">
        <v>27267</v>
      </c>
      <c r="Y2184" t="s">
        <v>27268</v>
      </c>
    </row>
    <row r="2185" spans="1:25" x14ac:dyDescent="0.3">
      <c r="A2185">
        <v>109200</v>
      </c>
      <c r="B2185" t="s">
        <v>27269</v>
      </c>
      <c r="C2185">
        <f>-737.697602101598 -36.1164640045622 -93.4387586287633</f>
        <v>-867.25282473492348</v>
      </c>
      <c r="D2185">
        <f>-753.558010707371 -49.7792547877712 -207.359765568551</f>
        <v>-1010.6970310636931</v>
      </c>
      <c r="E2185">
        <f>-759.882607381331 -55.2834734428591 -305.626464051431</f>
        <v>-1120.7925448756212</v>
      </c>
      <c r="F2185">
        <f>-763.169913994655 -58.069217516138 -394.619098458152</f>
        <v>-1215.8582299689449</v>
      </c>
      <c r="G2185">
        <f>-763.657227710846 -58.5825888015988 -483.713118200662</f>
        <v>-1305.9529347131067</v>
      </c>
      <c r="H2185">
        <f>-761.366079543511 -56.9610591760993 -608.264008882021</f>
        <v>-1426.5911476016313</v>
      </c>
      <c r="I2185">
        <f>-730.881394813787 -48.8946751678609 -685.144667761921</f>
        <v>-1464.9207377435689</v>
      </c>
      <c r="J2185">
        <f>-771.251687893756 -31.426710407135 -553.27694919935</f>
        <v>-1355.955347500241</v>
      </c>
      <c r="K2185" t="s">
        <v>27270</v>
      </c>
      <c r="L2185" t="s">
        <v>27271</v>
      </c>
      <c r="M2185" t="s">
        <v>27272</v>
      </c>
      <c r="N2185">
        <f>-753.497021102228 -83.9225672353689 -553.63369281132</f>
        <v>-1391.053281148917</v>
      </c>
      <c r="O2185">
        <f>-711.705732233186 -211.868840276916 -525.686189213161</f>
        <v>-1449.2607617232629</v>
      </c>
      <c r="P2185">
        <f>-685.363681800661 -264.434465843724 -237.356217697265</f>
        <v>-1187.15436534165</v>
      </c>
      <c r="Q2185">
        <f>-572.904480290927 -67.742488771418 -319.307742428699</f>
        <v>-959.95471149104401</v>
      </c>
      <c r="R2185" t="s">
        <v>27273</v>
      </c>
      <c r="S2185" t="s">
        <v>27274</v>
      </c>
      <c r="T2185" t="s">
        <v>27275</v>
      </c>
      <c r="U2185" t="s">
        <v>27276</v>
      </c>
      <c r="V2185">
        <f>-698.848886918824 -123.933117058752 -89.3747379229734</f>
        <v>-912.15674190054938</v>
      </c>
      <c r="W2185" t="s">
        <v>27277</v>
      </c>
      <c r="X2185" t="s">
        <v>27278</v>
      </c>
      <c r="Y2185" t="s">
        <v>27279</v>
      </c>
    </row>
    <row r="2186" spans="1:25" x14ac:dyDescent="0.3">
      <c r="A2186">
        <v>109250</v>
      </c>
      <c r="B2186" t="s">
        <v>27280</v>
      </c>
      <c r="C2186">
        <f>-737.770281234938 -36.3641452612503 -93.4104403364564</f>
        <v>-867.54486683264474</v>
      </c>
      <c r="D2186">
        <f>-753.660703237263 -50.0553748614527 -207.323900674425</f>
        <v>-1011.0399787731407</v>
      </c>
      <c r="E2186">
        <f>-760.010709775993 -55.5970725650025 -305.586963609968</f>
        <v>-1121.1947459509634</v>
      </c>
      <c r="F2186">
        <f>-763.321628561833 -58.421496616623 -394.577339960577</f>
        <v>-1216.3204651390329</v>
      </c>
      <c r="G2186">
        <f>-763.833571695051 -58.9781599531732 -483.670908409599</f>
        <v>-1306.4826400578231</v>
      </c>
      <c r="H2186">
        <f>-761.577503748634 -57.421263395144 -608.223271805825</f>
        <v>-1427.2220389496028</v>
      </c>
      <c r="I2186">
        <f>-731.073214167237 -49.3693189140424 -685.097787625708</f>
        <v>-1465.5403207069874</v>
      </c>
      <c r="J2186">
        <f>-771.46459208786 -31.8641191031652 -553.247102296197</f>
        <v>-1356.5758134872221</v>
      </c>
      <c r="K2186" t="s">
        <v>27281</v>
      </c>
      <c r="L2186" t="s">
        <v>27282</v>
      </c>
      <c r="M2186" t="s">
        <v>27283</v>
      </c>
      <c r="N2186">
        <f>-753.675993113005 -84.348632726364 -553.580994444822</f>
        <v>-1391.605620284191</v>
      </c>
      <c r="O2186">
        <f>-711.812556957479 -212.257509627766 -525.577422549633</f>
        <v>-1449.647489134878</v>
      </c>
      <c r="P2186">
        <f>-685.502049712681 -264.374179678152 -237.163107157829</f>
        <v>-1187.039336548662</v>
      </c>
      <c r="Q2186">
        <f>-573.027784429503 -67.7142464336778 -319.170701508584</f>
        <v>-959.91273237176472</v>
      </c>
      <c r="R2186" t="s">
        <v>27284</v>
      </c>
      <c r="S2186" t="s">
        <v>27285</v>
      </c>
      <c r="T2186" t="s">
        <v>27286</v>
      </c>
      <c r="U2186" t="s">
        <v>27287</v>
      </c>
      <c r="V2186">
        <f>-698.911076315276 -124.16088188898 -89.3426294879603</f>
        <v>-912.41458769221629</v>
      </c>
      <c r="W2186" t="s">
        <v>27288</v>
      </c>
      <c r="X2186" t="s">
        <v>27289</v>
      </c>
      <c r="Y2186" t="s">
        <v>27290</v>
      </c>
    </row>
    <row r="2187" spans="1:25" x14ac:dyDescent="0.3">
      <c r="A2187">
        <v>109300</v>
      </c>
      <c r="B2187" t="s">
        <v>27291</v>
      </c>
      <c r="C2187">
        <f>-737.868948255356 -36.5420778632363 -93.3907973662601</f>
        <v>-867.80182348485243</v>
      </c>
      <c r="D2187">
        <f>-753.776777021561 -50.2540045220214 -207.299356591942</f>
        <v>-1011.3301381355244</v>
      </c>
      <c r="E2187">
        <f>-760.136280535561 -55.8259773641159 -305.560004603935</f>
        <v>-1121.522262503612</v>
      </c>
      <c r="F2187">
        <f>-763.454064785227 -58.6822004900828 -394.549120410324</f>
        <v>-1216.6853856856337</v>
      </c>
      <c r="G2187">
        <f>-763.971845455319 -59.2747225438877 -483.642464759032</f>
        <v>-1306.8890327582387</v>
      </c>
      <c r="H2187">
        <f>-761.723342156661 -57.7715832802037 -608.195695116711</f>
        <v>-1427.6906205535756</v>
      </c>
      <c r="I2187">
        <f>-731.204755808006 -49.7220283066138 -685.064787472311</f>
        <v>-1465.9915715869306</v>
      </c>
      <c r="J2187">
        <f>-771.627375595567 -32.197696966283 -553.230338517289</f>
        <v>-1357.055411079139</v>
      </c>
      <c r="K2187" t="s">
        <v>27292</v>
      </c>
      <c r="L2187" t="s">
        <v>27293</v>
      </c>
      <c r="M2187" t="s">
        <v>27294</v>
      </c>
      <c r="N2187">
        <f>-753.798106107693 -84.668484260194 -553.541672833837</f>
        <v>-1392.0082632017238</v>
      </c>
      <c r="O2187">
        <f>-711.854901578927 -212.53796782247 -525.484180414706</f>
        <v>-1449.877049816103</v>
      </c>
      <c r="P2187">
        <f>-685.467320187253 -264.454642887954 -237.040786155907</f>
        <v>-1186.962749231114</v>
      </c>
      <c r="Q2187">
        <f>-573.159623922711 -67.7553240397006 -319.182197277045</f>
        <v>-960.09714523945661</v>
      </c>
      <c r="R2187" t="s">
        <v>27295</v>
      </c>
      <c r="S2187" t="s">
        <v>27296</v>
      </c>
      <c r="T2187" t="s">
        <v>27297</v>
      </c>
      <c r="U2187" t="s">
        <v>27298</v>
      </c>
      <c r="V2187">
        <f>-698.992132705231 -124.255818728161 -89.3157313126925</f>
        <v>-912.56368274608451</v>
      </c>
      <c r="W2187" t="s">
        <v>27299</v>
      </c>
      <c r="X2187" t="s">
        <v>27300</v>
      </c>
      <c r="Y2187" t="s">
        <v>27301</v>
      </c>
    </row>
    <row r="2188" spans="1:25" x14ac:dyDescent="0.3">
      <c r="A2188">
        <v>109350</v>
      </c>
      <c r="B2188" t="s">
        <v>27302</v>
      </c>
      <c r="C2188">
        <f>-738.0980406169 -37.069201468046 -93.3487867202705</f>
        <v>-868.51602880521648</v>
      </c>
      <c r="D2188">
        <f>-754.054086520953 -50.8246725474246 -207.24531233613</f>
        <v>-1012.1240714045076</v>
      </c>
      <c r="E2188">
        <f>-760.428426362416 -56.4609320613056 -305.501306746203</f>
        <v>-1122.3906651699244</v>
      </c>
      <c r="F2188">
        <f>-763.750261216632 -59.3856628305266 -394.488242048208</f>
        <v>-1217.6241660953665</v>
      </c>
      <c r="G2188">
        <f>-764.263278783923 -60.0560930788786 -483.581072732185</f>
        <v>-1307.9004445949868</v>
      </c>
      <c r="H2188">
        <f>-761.999802631532 -58.6713285694559 -608.13535756199</f>
        <v>-1428.806488762978</v>
      </c>
      <c r="I2188">
        <f>-731.461826252116 -50.6312649471136 -684.997687060137</f>
        <v>-1467.0907782593665</v>
      </c>
      <c r="J2188">
        <f>-771.955707922438 -33.0605682732505 -553.196457186322</f>
        <v>-1358.2127333820106</v>
      </c>
      <c r="K2188" t="s">
        <v>27303</v>
      </c>
      <c r="L2188" t="s">
        <v>27304</v>
      </c>
      <c r="M2188" t="s">
        <v>27305</v>
      </c>
      <c r="N2188">
        <f>-754.036019859068 -85.5007619206476 -553.453783941169</f>
        <v>-1392.9905657208847</v>
      </c>
      <c r="O2188">
        <f>-711.960496108269 -213.302661662564 -525.312883983259</f>
        <v>-1450.5760417540919</v>
      </c>
      <c r="P2188">
        <f>-685.625444945355 -264.686954373612 -236.769465961414</f>
        <v>-1187.081865280381</v>
      </c>
      <c r="Q2188">
        <f>-573.331835651973 -68.1568609601002 -319.334376463515</f>
        <v>-960.82307307558824</v>
      </c>
      <c r="R2188" t="s">
        <v>27306</v>
      </c>
      <c r="S2188" t="s">
        <v>27307</v>
      </c>
      <c r="T2188" t="s">
        <v>27308</v>
      </c>
      <c r="U2188" t="s">
        <v>27309</v>
      </c>
      <c r="V2188">
        <f>-699.180002578963 -124.859686202775 -89.2541662440566</f>
        <v>-913.29385502579464</v>
      </c>
      <c r="W2188" t="s">
        <v>27310</v>
      </c>
      <c r="X2188" t="s">
        <v>27311</v>
      </c>
      <c r="Y2188" t="s">
        <v>27312</v>
      </c>
    </row>
    <row r="2189" spans="1:25" x14ac:dyDescent="0.3">
      <c r="A2189">
        <v>109400</v>
      </c>
      <c r="B2189" t="s">
        <v>27313</v>
      </c>
      <c r="C2189">
        <f>-738.293151592688 -37.4086933903943 -93.2997149498651</f>
        <v>-869.00155993294743</v>
      </c>
      <c r="D2189">
        <f>-754.323421324393 -51.2516038587073 -207.175140137423</f>
        <v>-1012.7501653205234</v>
      </c>
      <c r="E2189">
        <f>-760.743532354033 -57.0046215062659 -305.421431075176</f>
        <v>-1123.1695849354751</v>
      </c>
      <c r="F2189">
        <f>-764.100756949574 -60.0513227259005 -394.402930392445</f>
        <v>-1218.5550100679195</v>
      </c>
      <c r="G2189">
        <f>-764.644198002215 -60.85881873007 -483.494406455833</f>
        <v>-1308.9974231881179</v>
      </c>
      <c r="H2189">
        <f>-762.419104789687 -59.6810098991405 -608.051583613846</f>
        <v>-1430.1516983026736</v>
      </c>
      <c r="I2189">
        <f>-731.850097373375 -51.652094591225 -684.902629323671</f>
        <v>-1468.404821288271</v>
      </c>
      <c r="J2189">
        <f>-772.432917628883 -34.0047013620954 -553.153679394941</f>
        <v>-1359.5912983859193</v>
      </c>
      <c r="K2189" t="s">
        <v>27314</v>
      </c>
      <c r="L2189" t="s">
        <v>27315</v>
      </c>
      <c r="M2189" t="s">
        <v>27316</v>
      </c>
      <c r="N2189">
        <f>-754.363775514226 -86.3939704254301 -553.326324481802</f>
        <v>-1394.0840704214579</v>
      </c>
      <c r="O2189">
        <f>-712.020925012817 -214.075560002324 -525.017974135189</f>
        <v>-1451.1144591503298</v>
      </c>
      <c r="P2189">
        <f>-685.904277470383 -264.757755832252 -236.330482566648</f>
        <v>-1186.9925158692829</v>
      </c>
      <c r="Q2189">
        <f>-573.47767502713 -68.5128515035126 -319.391210669313</f>
        <v>-961.38173719995552</v>
      </c>
      <c r="R2189" t="s">
        <v>27317</v>
      </c>
      <c r="S2189" t="s">
        <v>27318</v>
      </c>
      <c r="T2189" t="s">
        <v>27319</v>
      </c>
      <c r="U2189" t="s">
        <v>27320</v>
      </c>
      <c r="V2189">
        <f>-699.271063519757 -125.148808592136 -89.1937708677499</f>
        <v>-913.61364297964292</v>
      </c>
      <c r="W2189" t="s">
        <v>27321</v>
      </c>
      <c r="X2189" t="s">
        <v>27322</v>
      </c>
      <c r="Y2189" t="s">
        <v>27323</v>
      </c>
    </row>
    <row r="2190" spans="1:25" x14ac:dyDescent="0.3">
      <c r="A2190">
        <v>109450</v>
      </c>
      <c r="B2190" t="s">
        <v>27324</v>
      </c>
      <c r="C2190">
        <f>-738.445086005791 -37.5413158547935 -93.2775451785288</f>
        <v>-869.26394703911342</v>
      </c>
      <c r="D2190">
        <f>-754.539823530139 -51.4328059523336 -207.1379856461</f>
        <v>-1013.1106151285726</v>
      </c>
      <c r="E2190">
        <f>-761.004008121964 -57.2496981372567 -305.377756153456</f>
        <v>-1123.6314624126767</v>
      </c>
      <c r="F2190">
        <f>-764.396628616477 -60.3634294423659 -394.355404848684</f>
        <v>-1219.1154629075268</v>
      </c>
      <c r="G2190">
        <f>-764.971926797121 -61.2468656641049 -483.44611313761</f>
        <v>-1309.664905598836</v>
      </c>
      <c r="H2190">
        <f>-762.787371102786 -60.1838348542249 -608.004936525091</f>
        <v>-1430.9761424821017</v>
      </c>
      <c r="I2190">
        <f>-732.200121998955 -52.1447388140134 -684.847704591928</f>
        <v>-1469.1925654048964</v>
      </c>
      <c r="J2190">
        <f>-772.825983801357 -34.4716352375258 -553.128423620876</f>
        <v>-1360.4260426597589</v>
      </c>
      <c r="K2190" t="s">
        <v>27325</v>
      </c>
      <c r="L2190" t="s">
        <v>27326</v>
      </c>
      <c r="M2190" t="s">
        <v>27327</v>
      </c>
      <c r="N2190">
        <f>-754.671414425223 -86.8315594218107 -553.256997288172</f>
        <v>-1394.7599711352057</v>
      </c>
      <c r="O2190">
        <f>-712.127732227179 -214.4190574778 -524.834191966635</f>
        <v>-1451.3809816716139</v>
      </c>
      <c r="P2190">
        <f>-686.084722159414 -264.621391842444 -236.056386336001</f>
        <v>-1186.7625003378589</v>
      </c>
      <c r="Q2190">
        <f>-573.528818034523 -68.5517516350683 -319.355240692545</f>
        <v>-961.43581036213641</v>
      </c>
      <c r="R2190" t="s">
        <v>27328</v>
      </c>
      <c r="S2190" t="s">
        <v>27329</v>
      </c>
      <c r="T2190" t="s">
        <v>27330</v>
      </c>
      <c r="U2190" t="s">
        <v>27331</v>
      </c>
      <c r="V2190">
        <f>-699.274501205417 -125.245634923902 -89.1750369079331</f>
        <v>-913.69517303725206</v>
      </c>
      <c r="W2190" t="s">
        <v>27332</v>
      </c>
      <c r="X2190" t="s">
        <v>27333</v>
      </c>
      <c r="Y2190" t="s">
        <v>27334</v>
      </c>
    </row>
    <row r="2191" spans="1:25" x14ac:dyDescent="0.3">
      <c r="A2191">
        <v>109500</v>
      </c>
      <c r="B2191" t="s">
        <v>27335</v>
      </c>
      <c r="C2191">
        <f>-738.714331360481 -38.0078551956799 -93.2321894105181</f>
        <v>-869.95437596667898</v>
      </c>
      <c r="D2191">
        <f>-754.950056835358 -52.0250896828645 -207.057265131897</f>
        <v>-1014.0324116501196</v>
      </c>
      <c r="E2191">
        <f>-761.536520164884 -57.9781132538958 -305.280642606003</f>
        <v>-1124.7952760247829</v>
      </c>
      <c r="F2191">
        <f>-765.040222906033 -61.227830114532 -394.249135206087</f>
        <v>-1220.517188226652</v>
      </c>
      <c r="G2191">
        <f>-765.727495111617 -62.258762136735 -483.337339574506</f>
        <v>-1311.323596822858</v>
      </c>
      <c r="H2191">
        <f>-763.700936086309 -61.4135409990608 -607.90059759677</f>
        <v>-1433.0150746821398</v>
      </c>
      <c r="I2191">
        <f>-733.098524652247 -53.3499530769016 -684.734718881186</f>
        <v>-1471.1831966103346</v>
      </c>
      <c r="J2191">
        <f>-773.762944029622 -35.6378402840232 -553.05817286302</f>
        <v>-1362.4589571766651</v>
      </c>
      <c r="K2191" t="s">
        <v>27336</v>
      </c>
      <c r="L2191" t="s">
        <v>27337</v>
      </c>
      <c r="M2191" t="s">
        <v>27338</v>
      </c>
      <c r="N2191">
        <f>-755.422576691684 -87.9330469996573 -553.114667827732</f>
        <v>-1396.4702915190733</v>
      </c>
      <c r="O2191">
        <f>-712.423480719239 -215.3325756348 -524.523350288112</f>
        <v>-1452.2794066421511</v>
      </c>
      <c r="P2191">
        <f>-686.292352932951 -264.641036957983 -235.599391499901</f>
        <v>-1186.532781390835</v>
      </c>
      <c r="Q2191">
        <f>-573.592886902438 -68.8277019702041 -319.306189990714</f>
        <v>-961.726778863356</v>
      </c>
      <c r="R2191" t="s">
        <v>27339</v>
      </c>
      <c r="S2191" t="s">
        <v>27340</v>
      </c>
      <c r="T2191" t="s">
        <v>27341</v>
      </c>
      <c r="U2191" t="s">
        <v>27342</v>
      </c>
      <c r="V2191">
        <f>-699.208607087669 -125.728470008098 -89.1315859797686</f>
        <v>-914.0686630755356</v>
      </c>
      <c r="W2191" t="s">
        <v>27343</v>
      </c>
      <c r="X2191" t="s">
        <v>27344</v>
      </c>
      <c r="Y2191" t="s">
        <v>27345</v>
      </c>
    </row>
    <row r="2192" spans="1:25" x14ac:dyDescent="0.3">
      <c r="A2192">
        <v>109550</v>
      </c>
      <c r="B2192" t="s">
        <v>27346</v>
      </c>
      <c r="C2192">
        <f>-738.766032251702 -38.1882491195836 -93.2064300540147</f>
        <v>-870.16071142530029</v>
      </c>
      <c r="D2192">
        <f>-755.078563127884 -52.2705062217201 -207.012450738492</f>
        <v>-1014.3615200880961</v>
      </c>
      <c r="E2192">
        <f>-761.746145547786 -58.2867968356989 -305.226561975965</f>
        <v>-1125.2595043594499</v>
      </c>
      <c r="F2192">
        <f>-765.329131749804 -61.597374244179 -394.189698844646</f>
        <v>-1221.1162048386291</v>
      </c>
      <c r="G2192">
        <f>-766.101745343263 -62.691980127277 -483.276421282896</f>
        <v>-1312.0701467534361</v>
      </c>
      <c r="H2192">
        <f>-764.20108457698 -61.9386292472154 -607.842323120197</f>
        <v>-1433.9820369443923</v>
      </c>
      <c r="I2192">
        <f>-733.627377397019 -53.8548688750204 -684.685830534696</f>
        <v>-1472.1680768067354</v>
      </c>
      <c r="J2192">
        <f>-774.254210430001 -36.1388088084716 -553.009594607827</f>
        <v>-1363.4026138462996</v>
      </c>
      <c r="K2192" t="s">
        <v>27347</v>
      </c>
      <c r="L2192" t="s">
        <v>27348</v>
      </c>
      <c r="M2192" t="s">
        <v>27349</v>
      </c>
      <c r="N2192">
        <f>-755.820708011154 -88.4014050466874 -553.044359812368</f>
        <v>-1397.2664728702093</v>
      </c>
      <c r="O2192">
        <f>-712.577545158565 -215.710327184391 -524.417720182312</f>
        <v>-1452.705592525268</v>
      </c>
      <c r="P2192">
        <f>-686.189035604442 -264.736513712146 -235.4690817571</f>
        <v>-1186.3946310736881</v>
      </c>
      <c r="Q2192">
        <f>-573.690040059264 -68.8135718694107 -319.189267325329</f>
        <v>-961.69287925400363</v>
      </c>
      <c r="R2192" t="s">
        <v>27350</v>
      </c>
      <c r="S2192" t="s">
        <v>27351</v>
      </c>
      <c r="T2192" t="s">
        <v>27352</v>
      </c>
      <c r="U2192" t="s">
        <v>27353</v>
      </c>
      <c r="V2192">
        <f>-699.100643815862 -125.785378454756 -89.1109380749591</f>
        <v>-913.99696034557712</v>
      </c>
      <c r="W2192" t="s">
        <v>27354</v>
      </c>
      <c r="X2192" t="s">
        <v>27355</v>
      </c>
      <c r="Y2192" t="s">
        <v>27356</v>
      </c>
    </row>
    <row r="2193" spans="1:25" x14ac:dyDescent="0.3">
      <c r="A2193">
        <v>109600</v>
      </c>
      <c r="B2193" t="s">
        <v>27357</v>
      </c>
      <c r="C2193">
        <f>-738.859739805147 -38.7569530685876 -93.1334966623893</f>
        <v>-870.75018953612391</v>
      </c>
      <c r="D2193">
        <f>-755.332536815453 -52.9383495999925 -206.904189549509</f>
        <v>-1015.1750759649544</v>
      </c>
      <c r="E2193">
        <f>-762.174801908172 -59.0412955016136 -305.100917907566</f>
        <v>-1126.3170153173514</v>
      </c>
      <c r="F2193">
        <f>-765.930395881347 -62.4314547157953 -394.05400358556</f>
        <v>-1222.4158541827023</v>
      </c>
      <c r="G2193">
        <f>-766.891605322414 -63.6048496623491 -483.137832935691</f>
        <v>-1313.634287920454</v>
      </c>
      <c r="H2193">
        <f>-765.270941124964 -62.9600928134835 -607.70816097864</f>
        <v>-1435.9391949170874</v>
      </c>
      <c r="I2193">
        <f>-734.782969302935 -54.8381209275267 -684.581739059326</f>
        <v>-1474.2028292897876</v>
      </c>
      <c r="J2193">
        <f>-775.292995808707 -37.1451475399026 -552.876887400558</f>
        <v>-1365.3150307491676</v>
      </c>
      <c r="K2193" t="s">
        <v>27358</v>
      </c>
      <c r="L2193" t="s">
        <v>27359</v>
      </c>
      <c r="M2193" t="s">
        <v>27360</v>
      </c>
      <c r="N2193">
        <f>-756.675258069008 -89.3423615585793 -552.904902448036</f>
        <v>-1398.9225220756234</v>
      </c>
      <c r="O2193">
        <f>-712.927108780098 -216.474301579451 -524.276525675336</f>
        <v>-1453.6779360348851</v>
      </c>
      <c r="P2193">
        <f>-685.939372713734 -265.237475489406 -235.338874153298</f>
        <v>-1186.5157223564381</v>
      </c>
      <c r="Q2193">
        <f>-574.010761240108 -69.0357490889362 -319.170803978478</f>
        <v>-962.2173143075222</v>
      </c>
      <c r="R2193" t="s">
        <v>27361</v>
      </c>
      <c r="S2193" t="s">
        <v>27362</v>
      </c>
      <c r="T2193" t="s">
        <v>27363</v>
      </c>
      <c r="U2193" t="s">
        <v>27364</v>
      </c>
      <c r="V2193">
        <f>-698.958691405678 -126.394128011621 -89.0616339004221</f>
        <v>-914.41445331772104</v>
      </c>
      <c r="W2193" t="s">
        <v>27365</v>
      </c>
      <c r="X2193" t="s">
        <v>27366</v>
      </c>
      <c r="Y2193" t="s">
        <v>27367</v>
      </c>
    </row>
    <row r="2194" spans="1:25" x14ac:dyDescent="0.3">
      <c r="A2194">
        <v>109650</v>
      </c>
      <c r="B2194" t="s">
        <v>27368</v>
      </c>
      <c r="C2194">
        <f>-738.942964618789 -39.0354430629432 -93.0729015730648</f>
        <v>-871.05130925479693</v>
      </c>
      <c r="D2194">
        <f>-755.522251985395 -53.2591933640183 -206.822772651718</f>
        <v>-1015.6042180011312</v>
      </c>
      <c r="E2194">
        <f>-762.463940550141 -59.3976718758449 -305.010272231364</f>
        <v>-1126.8718846573499</v>
      </c>
      <c r="F2194">
        <f>-766.313038631615 -62.8194054022972 -393.958098033749</f>
        <v>-1223.0905420676613</v>
      </c>
      <c r="G2194">
        <f>-767.371800919778 -64.0230955439274 -483.040589239617</f>
        <v>-1314.4354857033225</v>
      </c>
      <c r="H2194">
        <f>-765.891792771842 -63.418631371263 -607.612838372478</f>
        <v>-1436.923262515583</v>
      </c>
      <c r="I2194">
        <f>-735.474029601071 -55.2738709463401 -684.511888086933</f>
        <v>-1475.2597886343442</v>
      </c>
      <c r="J2194">
        <f>-775.894620767078 -37.6012572471134 -552.779241387193</f>
        <v>-1366.2751194013845</v>
      </c>
      <c r="K2194" t="s">
        <v>27369</v>
      </c>
      <c r="L2194" t="s">
        <v>27370</v>
      </c>
      <c r="M2194" t="s">
        <v>27371</v>
      </c>
      <c r="N2194">
        <f>-757.191634404564 -89.767964482483 -552.810124702709</f>
        <v>-1399.7697235897558</v>
      </c>
      <c r="O2194">
        <f>-713.226146116807 -216.830407487935 -524.211809666035</f>
        <v>-1454.2683632707769</v>
      </c>
      <c r="P2194">
        <f>-685.935616217146 -265.455634798227 -235.279309048751</f>
        <v>-1186.6705600641239</v>
      </c>
      <c r="Q2194">
        <f>-574.280673171155 -69.1555432475545 -319.245563312943</f>
        <v>-962.68177973165245</v>
      </c>
      <c r="R2194" t="s">
        <v>27372</v>
      </c>
      <c r="S2194" t="s">
        <v>27373</v>
      </c>
      <c r="T2194" t="s">
        <v>27374</v>
      </c>
      <c r="U2194" t="s">
        <v>27375</v>
      </c>
      <c r="V2194">
        <f>-698.989601176818 -126.632352799182 -89.0278583886765</f>
        <v>-914.64981236467645</v>
      </c>
      <c r="W2194" t="s">
        <v>27376</v>
      </c>
      <c r="X2194" t="s">
        <v>27377</v>
      </c>
      <c r="Y2194" t="s">
        <v>27378</v>
      </c>
    </row>
    <row r="2195" spans="1:25" x14ac:dyDescent="0.3">
      <c r="A2195">
        <v>109700</v>
      </c>
      <c r="B2195" t="s">
        <v>27379</v>
      </c>
      <c r="C2195">
        <f>-739.034375479047 -39.3116600562037 -92.9955203849098</f>
        <v>-871.34155592016043</v>
      </c>
      <c r="D2195">
        <f>-755.777323923296 -53.6206035695993 -206.710713130448</f>
        <v>-1016.1086406233433</v>
      </c>
      <c r="E2195">
        <f>-762.855524540829 -59.8191219244588 -304.88476824706</f>
        <v>-1127.5594147123479</v>
      </c>
      <c r="F2195">
        <f>-766.826349342824 -63.289911346156 -393.825310335977</f>
        <v>-1223.9415710249571</v>
      </c>
      <c r="G2195">
        <f>-768.005160676596 -64.5365861021949 -482.905611910218</f>
        <v>-1315.447358689009</v>
      </c>
      <c r="H2195">
        <f>-766.691855941325 -63.9858819603239 -607.480009379604</f>
        <v>-1438.1577472812528</v>
      </c>
      <c r="I2195">
        <f>-736.352997842536 -55.833549140541 -684.409353545825</f>
        <v>-1476.5959005289019</v>
      </c>
      <c r="J2195">
        <f>-776.66242893843 -38.1596728547786 -552.644700616347</f>
        <v>-1367.4668024095556</v>
      </c>
      <c r="K2195" t="s">
        <v>27380</v>
      </c>
      <c r="L2195" t="s">
        <v>27381</v>
      </c>
      <c r="M2195" t="s">
        <v>27382</v>
      </c>
      <c r="N2195">
        <f>-757.877069423054 -90.2967776114408 -552.677230017349</f>
        <v>-1400.8510770518437</v>
      </c>
      <c r="O2195">
        <f>-713.674828051303 -217.279177770473 -524.092196271932</f>
        <v>-1455.046202093708</v>
      </c>
      <c r="P2195">
        <f>-686.047018017366 -265.796433115316 -235.173628168111</f>
        <v>-1187.0170793007931</v>
      </c>
      <c r="Q2195">
        <f>-574.731506020948 -69.35776529447 -319.266292821833</f>
        <v>-963.35556413725112</v>
      </c>
      <c r="R2195" t="s">
        <v>27383</v>
      </c>
      <c r="S2195" t="s">
        <v>27384</v>
      </c>
      <c r="T2195" t="s">
        <v>27385</v>
      </c>
      <c r="U2195" t="s">
        <v>27386</v>
      </c>
      <c r="V2195">
        <f>-699.004706646805 -126.819166307052 -88.9816560761647</f>
        <v>-914.8055290300216</v>
      </c>
      <c r="W2195" t="s">
        <v>27387</v>
      </c>
      <c r="X2195" t="s">
        <v>27388</v>
      </c>
      <c r="Y2195" t="s">
        <v>27389</v>
      </c>
    </row>
    <row r="2196" spans="1:25" x14ac:dyDescent="0.3">
      <c r="A2196">
        <v>109750</v>
      </c>
      <c r="B2196" t="s">
        <v>27390</v>
      </c>
      <c r="C2196">
        <f>-739.18121522009 -40.1231797832311 -92.8518794571116</f>
        <v>-872.15627446043277</v>
      </c>
      <c r="D2196">
        <f>-756.339199561701 -54.6091139231651 -206.482821076966</f>
        <v>-1017.4311345618321</v>
      </c>
      <c r="E2196">
        <f>-763.775304930895 -60.9566069834457 -304.620817783942</f>
        <v>-1129.3527296982827</v>
      </c>
      <c r="F2196">
        <f>-768.069803922698 -64.5618393871221 -393.5410253298</f>
        <v>-1226.17266863962</v>
      </c>
      <c r="G2196">
        <f>-769.573412744037 -65.9412558995689 -482.614434568328</f>
        <v>-1318.1291032119339</v>
      </c>
      <c r="H2196">
        <f>-768.714512358588 -65.5738029117558 -607.193527595595</f>
        <v>-1441.4818428659387</v>
      </c>
      <c r="I2196">
        <f>-738.548718279652 -57.4294451323478 -684.191649019111</f>
        <v>-1480.1698124311108</v>
      </c>
      <c r="J2196">
        <f>-778.57510268149 -39.6995651880002 -552.361035123364</f>
        <v>-1370.635702992854</v>
      </c>
      <c r="K2196" t="s">
        <v>27391</v>
      </c>
      <c r="L2196" t="s">
        <v>27392</v>
      </c>
      <c r="M2196" t="s">
        <v>27393</v>
      </c>
      <c r="N2196">
        <f>-759.609731476229 -91.7715170368658 -552.383851018504</f>
        <v>-1403.7650995315987</v>
      </c>
      <c r="O2196">
        <f>-714.876736608705 -218.578215442631 -523.816154231571</f>
        <v>-1457.2711062829071</v>
      </c>
      <c r="P2196">
        <f>-686.760466913599 -266.640907861719 -234.868814583429</f>
        <v>-1188.2701893587468</v>
      </c>
      <c r="Q2196">
        <f>-575.875208569533 -70.1112510328676 -319.316798182095</f>
        <v>-965.3032577844956</v>
      </c>
      <c r="R2196" t="s">
        <v>27394</v>
      </c>
      <c r="S2196" t="s">
        <v>27395</v>
      </c>
      <c r="T2196" t="s">
        <v>27396</v>
      </c>
      <c r="U2196" t="s">
        <v>27397</v>
      </c>
      <c r="V2196">
        <f>-698.75351730688 -127.503114861923 -88.8720818368446</f>
        <v>-915.12871400564757</v>
      </c>
      <c r="W2196" t="s">
        <v>27398</v>
      </c>
      <c r="X2196" t="s">
        <v>27399</v>
      </c>
      <c r="Y2196" t="s">
        <v>27400</v>
      </c>
    </row>
    <row r="2197" spans="1:25" x14ac:dyDescent="0.3">
      <c r="A2197">
        <v>109800</v>
      </c>
      <c r="B2197" t="s">
        <v>27401</v>
      </c>
      <c r="C2197">
        <f>-739.238451679969 -41.3790514701091 -92.7352824179937</f>
        <v>-873.35278556807179</v>
      </c>
      <c r="D2197">
        <f>-756.567579200779 -55.829640584376 -206.344734445592</f>
        <v>-1018.7419542307471</v>
      </c>
      <c r="E2197">
        <f>-764.262955904481 -62.2170973418845 -304.460111307878</f>
        <v>-1130.9401645542434</v>
      </c>
      <c r="F2197">
        <f>-768.838835697616 -65.8858936416655 -393.36380336722</f>
        <v>-1228.0885327065014</v>
      </c>
      <c r="G2197">
        <f>-770.672052911553 -67.3537309409942 -482.429523601524</f>
        <v>-1320.4553074540713</v>
      </c>
      <c r="H2197">
        <f>-770.325773685103 -67.1340520969165 -607.011533113323</f>
        <v>-1444.4713588953425</v>
      </c>
      <c r="I2197">
        <f>-740.32531756627 -58.9589629741647 -684.070971807772</f>
        <v>-1483.3552523482067</v>
      </c>
      <c r="J2197">
        <f>-780.074836109451 -41.2366490516156 -552.17006329153</f>
        <v>-1373.4815484525966</v>
      </c>
      <c r="K2197" t="s">
        <v>27402</v>
      </c>
      <c r="L2197" t="s">
        <v>27403</v>
      </c>
      <c r="M2197" t="s">
        <v>27404</v>
      </c>
      <c r="N2197">
        <f>-760.881373310442 -93.2249238658462 -552.208267984556</f>
        <v>-1406.3145651608443</v>
      </c>
      <c r="O2197">
        <f>-715.590344791432 -219.84270743036 -523.649165097988</f>
        <v>-1459.0822173197798</v>
      </c>
      <c r="P2197">
        <f>-687.241250094264 -267.113410388216 -234.593796237796</f>
        <v>-1188.948456720276</v>
      </c>
      <c r="Q2197">
        <f>-576.425559515791 -70.8032416782041 -319.64086459341</f>
        <v>-966.8696657874051</v>
      </c>
      <c r="R2197" t="s">
        <v>27405</v>
      </c>
      <c r="S2197" t="s">
        <v>27406</v>
      </c>
      <c r="T2197" t="s">
        <v>27407</v>
      </c>
      <c r="U2197" t="s">
        <v>27408</v>
      </c>
      <c r="V2197">
        <f>-698.584331779746 -128.621899108008 -88.7848870523929</f>
        <v>-915.99111794014686</v>
      </c>
      <c r="W2197" t="s">
        <v>27409</v>
      </c>
      <c r="X2197" t="s">
        <v>27410</v>
      </c>
      <c r="Y2197" t="s">
        <v>27411</v>
      </c>
    </row>
    <row r="2198" spans="1:25" x14ac:dyDescent="0.3">
      <c r="A2198">
        <v>109850</v>
      </c>
      <c r="B2198" t="s">
        <v>27412</v>
      </c>
      <c r="C2198">
        <f>-739.369108811472 -41.9174284468882 -92.6322304243429</f>
        <v>-873.91876768270299</v>
      </c>
      <c r="D2198">
        <f>-756.542835711074 -56.189896803711 -206.287809750477</f>
        <v>-1019.020542265262</v>
      </c>
      <c r="E2198">
        <f>-764.214231771626 -62.5293351825264 -304.408129138291</f>
        <v>-1131.1516960924434</v>
      </c>
      <c r="F2198">
        <f>-768.814266504948 -66.1957952251823 -393.310667653845</f>
        <v>-1228.3207293839753</v>
      </c>
      <c r="G2198">
        <f>-770.719508652056 -67.700276774794 -482.374320584139</f>
        <v>-1320.794106010989</v>
      </c>
      <c r="H2198">
        <f>-770.52498084297 -67.5715235239859 -606.956627424955</f>
        <v>-1445.0531317919108</v>
      </c>
      <c r="I2198">
        <f>-740.564709177087 -59.3943030191881 -684.031575006655</f>
        <v>-1483.9905872029301</v>
      </c>
      <c r="J2198">
        <f>-780.26439087242 -41.6552879552239 -552.122430226651</f>
        <v>-1374.042109054295</v>
      </c>
      <c r="K2198" t="s">
        <v>27413</v>
      </c>
      <c r="L2198" t="s">
        <v>27414</v>
      </c>
      <c r="M2198" t="s">
        <v>27415</v>
      </c>
      <c r="N2198">
        <f>-760.956765762788 -93.6011087498757 -552.145867082421</f>
        <v>-1406.7037415950847</v>
      </c>
      <c r="O2198">
        <f>-715.375579904735 -220.103935138173 -523.572829516087</f>
        <v>-1459.0523445589952</v>
      </c>
      <c r="P2198">
        <f>-687.03126831025 -266.997235725239 -234.455519493733</f>
        <v>-1188.484023529222</v>
      </c>
      <c r="Q2198">
        <f>-576.336635555858 -70.7542059334512 -319.815245061038</f>
        <v>-966.90608655034725</v>
      </c>
      <c r="R2198" t="s">
        <v>27416</v>
      </c>
      <c r="S2198" t="s">
        <v>27417</v>
      </c>
      <c r="T2198" t="s">
        <v>27418</v>
      </c>
      <c r="U2198" t="s">
        <v>27419</v>
      </c>
      <c r="V2198">
        <f>-698.568062201658 -129.170910059807 -88.7625839431855</f>
        <v>-916.50155620465057</v>
      </c>
      <c r="W2198" t="s">
        <v>27420</v>
      </c>
      <c r="X2198" t="s">
        <v>27421</v>
      </c>
      <c r="Y2198" t="s">
        <v>27422</v>
      </c>
    </row>
    <row r="2199" spans="1:25" x14ac:dyDescent="0.3">
      <c r="A2199">
        <v>109900</v>
      </c>
      <c r="B2199" t="s">
        <v>27423</v>
      </c>
      <c r="C2199">
        <f>-740.3981476251 -42.0717077232655 -92.4625672966088</f>
        <v>-874.93242264497428</v>
      </c>
      <c r="D2199">
        <f>-757.14409552591 -56.0786101347906 -206.215024198002</f>
        <v>-1019.4377298587025</v>
      </c>
      <c r="E2199">
        <f>-764.619324230959 -62.4020022930131 -304.351509107865</f>
        <v>-1131.372835631837</v>
      </c>
      <c r="F2199">
        <f>-769.11416414452 -66.138011283723 -393.256514272597</f>
        <v>-1228.50868970084</v>
      </c>
      <c r="G2199">
        <f>-770.98860689049 -67.7934236586234 -482.318169761637</f>
        <v>-1321.1002003107506</v>
      </c>
      <c r="H2199">
        <f>-770.831144039866 -67.9600462095625 -606.900523366928</f>
        <v>-1445.6917136163565</v>
      </c>
      <c r="I2199">
        <f>-740.94680019106 -59.8375472890741 -684.010702119836</f>
        <v>-1484.7950495999701</v>
      </c>
      <c r="J2199">
        <f>-780.633734728256 -41.9434921940572 -552.124970068369</f>
        <v>-1374.7021969906821</v>
      </c>
      <c r="K2199" t="s">
        <v>27424</v>
      </c>
      <c r="L2199" t="s">
        <v>27425</v>
      </c>
      <c r="M2199" t="s">
        <v>27426</v>
      </c>
      <c r="N2199">
        <f>-761.167015472762 -93.8300948121703 -552.030909113463</f>
        <v>-1407.0280193983954</v>
      </c>
      <c r="O2199">
        <f>-715.164577207121 -220.13505941357 -523.264581814677</f>
        <v>-1458.5642184353678</v>
      </c>
      <c r="P2199">
        <f>-686.919953004533 -266.51896021733 -234.055424584307</f>
        <v>-1187.4943378061701</v>
      </c>
      <c r="Q2199">
        <f>-576.797571872367 -70.1051304500443 -319.761468820448</f>
        <v>-966.66417114285923</v>
      </c>
      <c r="R2199" t="s">
        <v>27427</v>
      </c>
      <c r="S2199" t="s">
        <v>27428</v>
      </c>
      <c r="T2199" t="s">
        <v>27429</v>
      </c>
      <c r="U2199" t="s">
        <v>27430</v>
      </c>
      <c r="V2199">
        <f>-699.672063152623 -129.000975762214 -88.7455666989468</f>
        <v>-917.41860561378382</v>
      </c>
      <c r="W2199" t="s">
        <v>27431</v>
      </c>
      <c r="X2199" t="s">
        <v>27432</v>
      </c>
      <c r="Y2199" t="s">
        <v>27433</v>
      </c>
    </row>
    <row r="2200" spans="1:25" x14ac:dyDescent="0.3">
      <c r="A2200">
        <v>109950</v>
      </c>
      <c r="B2200" t="s">
        <v>27434</v>
      </c>
      <c r="C2200">
        <f>-741.237885698142 -41.8415333795926 -92.3701780185334</f>
        <v>-875.44959709626801</v>
      </c>
      <c r="D2200">
        <f>-757.754595989111 -55.7334911428545 -206.17010545059</f>
        <v>-1019.6581925825554</v>
      </c>
      <c r="E2200">
        <f>-765.078122330534 -62.0682521304877 -304.317356193438</f>
        <v>-1131.4637306544598</v>
      </c>
      <c r="F2200">
        <f>-769.455253409056 -65.8590185183295 -393.225870734784</f>
        <v>-1228.5401426621695</v>
      </c>
      <c r="G2200">
        <f>-771.23196283578 -67.6134835443661 -482.287790087587</f>
        <v>-1321.133236467733</v>
      </c>
      <c r="H2200">
        <f>-770.959769323855 -67.9636832533449 -606.869426780827</f>
        <v>-1445.7928793580268</v>
      </c>
      <c r="I2200">
        <f>-741.049314938026 -59.9091381676967 -683.976537555563</f>
        <v>-1484.9349906612856</v>
      </c>
      <c r="J2200">
        <f>-780.845103330288 -41.8786546169401 -552.141404124587</f>
        <v>-1374.8651620718151</v>
      </c>
      <c r="K2200" t="s">
        <v>27435</v>
      </c>
      <c r="L2200" t="s">
        <v>27436</v>
      </c>
      <c r="M2200" t="s">
        <v>27437</v>
      </c>
      <c r="N2200">
        <f>-761.314018743543 -93.7406139105644 -551.952937649357</f>
        <v>-1407.0075703034645</v>
      </c>
      <c r="O2200">
        <f>-715.144745620152 -219.948237302322 -523.02535102043</f>
        <v>-1458.118333942904</v>
      </c>
      <c r="P2200">
        <f>-687.137929663005 -266.064125598375 -233.750037486274</f>
        <v>-1186.9520927476542</v>
      </c>
      <c r="Q2200">
        <f>-577.224624624912 -69.6182880454649 -319.651034197063</f>
        <v>-966.49394686743994</v>
      </c>
      <c r="R2200" t="s">
        <v>27438</v>
      </c>
      <c r="S2200" t="s">
        <v>27439</v>
      </c>
      <c r="T2200" t="s">
        <v>27440</v>
      </c>
      <c r="U2200" t="s">
        <v>27441</v>
      </c>
      <c r="V2200">
        <f>-700.407817072128 -128.844955544524 -88.6974585719109</f>
        <v>-917.95023118856295</v>
      </c>
      <c r="W2200" t="s">
        <v>27442</v>
      </c>
      <c r="X2200" t="s">
        <v>27443</v>
      </c>
      <c r="Y2200" t="s">
        <v>27444</v>
      </c>
    </row>
    <row r="2201" spans="1:25" x14ac:dyDescent="0.3">
      <c r="A2201">
        <v>110000</v>
      </c>
      <c r="B2201" t="s">
        <v>27445</v>
      </c>
      <c r="C2201">
        <f>-743.012722077466 -40.9677456582322 -92.3147690915102</f>
        <v>-876.29523682720844</v>
      </c>
      <c r="D2201">
        <f>-759.186484646034 -54.7252715117954 -206.180361474938</f>
        <v>-1020.0921176327674</v>
      </c>
      <c r="E2201">
        <f>-766.229161348611 -61.1401044190643 -304.343046300136</f>
        <v>-1131.7123120678114</v>
      </c>
      <c r="F2201">
        <f>-770.359279972718 -65.0828560739901 -393.256603954517</f>
        <v>-1228.6987400012251</v>
      </c>
      <c r="G2201">
        <f>-771.898004379744 -67.0680207408757 -482.318030496557</f>
        <v>-1321.2840556171766</v>
      </c>
      <c r="H2201">
        <f>-771.303704344149 -67.8237319924576 -606.896868799423</f>
        <v>-1446.0243051360296</v>
      </c>
      <c r="I2201">
        <f>-741.214007966801 -59.950107548613 -683.952921619859</f>
        <v>-1485.117037135273</v>
      </c>
      <c r="J2201">
        <f>-781.391007118562 -41.5835597328251 -552.279815635452</f>
        <v>-1375.2543824868389</v>
      </c>
      <c r="K2201" t="s">
        <v>27446</v>
      </c>
      <c r="L2201" t="s">
        <v>27447</v>
      </c>
      <c r="M2201" t="s">
        <v>27448</v>
      </c>
      <c r="N2201">
        <f>-761.739423000139 -93.398845146749 -551.871885792571</f>
        <v>-1407.0101539394591</v>
      </c>
      <c r="O2201">
        <f>-715.306636627374 -219.413550525473 -522.519830526054</f>
        <v>-1457.240017678901</v>
      </c>
      <c r="P2201">
        <f>-688.036680718418 -264.86100914293 -233.068432017406</f>
        <v>-1185.9661218787539</v>
      </c>
      <c r="Q2201">
        <f>-578.216788370115 -68.5134351989457 -319.312715215621</f>
        <v>-966.04293878468161</v>
      </c>
      <c r="R2201" t="s">
        <v>27449</v>
      </c>
      <c r="S2201" t="s">
        <v>27450</v>
      </c>
      <c r="T2201" t="s">
        <v>27451</v>
      </c>
      <c r="U2201" t="s">
        <v>27452</v>
      </c>
      <c r="V2201">
        <f>-701.986451541278 -128.138355597275 -88.6710929527957</f>
        <v>-918.7959000913487</v>
      </c>
      <c r="W2201" t="s">
        <v>27453</v>
      </c>
      <c r="X2201" t="s">
        <v>27454</v>
      </c>
      <c r="Y2201" t="s">
        <v>27455</v>
      </c>
    </row>
    <row r="2202" spans="1:25" x14ac:dyDescent="0.3">
      <c r="A2202">
        <v>110050</v>
      </c>
      <c r="B2202" t="s">
        <v>27456</v>
      </c>
      <c r="C2202">
        <f>-744.591180914857 -39.8411704338373 -92.380584599714</f>
        <v>-876.81293594840827</v>
      </c>
      <c r="D2202">
        <f>-760.660926088676 -53.5959405901733 -206.261119548096</f>
        <v>-1020.5179862269453</v>
      </c>
      <c r="E2202">
        <f>-767.565095082229 -60.1828505967369 -304.422366314671</f>
        <v>-1132.1703119936369</v>
      </c>
      <c r="F2202">
        <f>-771.551753636748 -64.3524840231705 -393.332221424774</f>
        <v>-1229.2364590846926</v>
      </c>
      <c r="G2202">
        <f>-772.929726799135 -66.6364451340976 -482.389038385539</f>
        <v>-1321.9552103187716</v>
      </c>
      <c r="H2202">
        <f>-772.093298500668 -67.8850490028326 -606.962594117629</f>
        <v>-1446.9409416211297</v>
      </c>
      <c r="I2202">
        <f>-741.696453933197 -60.3128360494145 -683.928186207745</f>
        <v>-1485.9374761903564</v>
      </c>
      <c r="J2202">
        <f>-782.320711512624 -41.4420660306064 -552.469610087904</f>
        <v>-1376.2323876311343</v>
      </c>
      <c r="K2202" t="s">
        <v>27457</v>
      </c>
      <c r="L2202" t="s">
        <v>27458</v>
      </c>
      <c r="M2202" t="s">
        <v>27459</v>
      </c>
      <c r="N2202">
        <f>-762.601897325204 -93.2292002938559 -551.818155083287</f>
        <v>-1407.649252702347</v>
      </c>
      <c r="O2202">
        <f>-716.135037434089 -219.129972984743 -522.025698903222</f>
        <v>-1457.2907093220538</v>
      </c>
      <c r="P2202">
        <f>-689.85014627384 -263.695444497245 -232.346127839184</f>
        <v>-1185.891718610269</v>
      </c>
      <c r="Q2202">
        <f>-579.181773336913 -68.0976293595825 -319.207285609792</f>
        <v>-966.48668830628753</v>
      </c>
      <c r="R2202" t="s">
        <v>27460</v>
      </c>
      <c r="S2202" t="s">
        <v>27461</v>
      </c>
      <c r="T2202" t="s">
        <v>27462</v>
      </c>
      <c r="U2202" t="s">
        <v>27463</v>
      </c>
      <c r="V2202">
        <f>-703.43163164239 -127.083382357427 -88.7338307112777</f>
        <v>-919.24884471109476</v>
      </c>
      <c r="W2202" t="s">
        <v>27464</v>
      </c>
      <c r="X2202" t="s">
        <v>27465</v>
      </c>
      <c r="Y2202" t="s">
        <v>27466</v>
      </c>
    </row>
    <row r="2203" spans="1:25" x14ac:dyDescent="0.3">
      <c r="A2203">
        <v>110100</v>
      </c>
      <c r="B2203" t="s">
        <v>27467</v>
      </c>
      <c r="C2203">
        <f>-745.10053721102 -39.2412119308381 -92.435957513857</f>
        <v>-876.77770665571506</v>
      </c>
      <c r="D2203">
        <f>-761.201427049839 -53.0134160703267 -206.310091342065</f>
        <v>-1020.5249344622307</v>
      </c>
      <c r="E2203">
        <f>-768.084919559265 -59.6872097079533 -304.466885046135</f>
        <v>-1132.2390143133534</v>
      </c>
      <c r="F2203">
        <f>-772.034331425672 -63.9652960739886 -393.373072630285</f>
        <v>-1229.3727001299455</v>
      </c>
      <c r="G2203">
        <f>-773.357205412495 -66.3871465108355 -482.427226898557</f>
        <v>-1322.1715788218876</v>
      </c>
      <c r="H2203">
        <f>-772.425451028986 -67.8601443172695 -606.997658159976</f>
        <v>-1447.2832535062316</v>
      </c>
      <c r="I2203">
        <f>-741.871203165754 -60.4514502542957 -683.916985621439</f>
        <v>-1486.2396390414888</v>
      </c>
      <c r="J2203">
        <f>-782.701065190717 -41.321451420592 -552.560185693382</f>
        <v>-1376.5827023046909</v>
      </c>
      <c r="K2203" t="s">
        <v>27468</v>
      </c>
      <c r="L2203" t="s">
        <v>27469</v>
      </c>
      <c r="M2203" t="s">
        <v>27470</v>
      </c>
      <c r="N2203">
        <f>-762.969639284945 -93.1024111345587 -551.800458695228</f>
        <v>-1407.8725091147317</v>
      </c>
      <c r="O2203">
        <f>-716.56725750358 -218.980338005035 -521.80421957013</f>
        <v>-1457.3518150787449</v>
      </c>
      <c r="P2203">
        <f>-690.676212042473 -263.143680383568 -232.027601377221</f>
        <v>-1185.8474938032618</v>
      </c>
      <c r="Q2203">
        <f>-579.620248803905 -67.908829153067 -319.210013146919</f>
        <v>-966.73909110389104</v>
      </c>
      <c r="R2203" t="s">
        <v>27471</v>
      </c>
      <c r="S2203" t="s">
        <v>27472</v>
      </c>
      <c r="T2203" t="s">
        <v>27473</v>
      </c>
      <c r="U2203" t="s">
        <v>27474</v>
      </c>
      <c r="V2203">
        <f>-703.852052052173 -126.410328152432 -88.7963560446254</f>
        <v>-919.05873624923049</v>
      </c>
      <c r="W2203" t="s">
        <v>27475</v>
      </c>
      <c r="X2203" t="s">
        <v>27476</v>
      </c>
      <c r="Y2203" t="s">
        <v>27477</v>
      </c>
    </row>
    <row r="2204" spans="1:25" x14ac:dyDescent="0.3">
      <c r="A2204">
        <v>110150</v>
      </c>
      <c r="B2204" t="s">
        <v>27478</v>
      </c>
      <c r="C2204">
        <f>-745.452300431706 -38.7896095713415 -92.4903441627432</f>
        <v>-876.73225416579078</v>
      </c>
      <c r="D2204">
        <f>-761.63822001884 -52.5666629319805 -206.35179723955</f>
        <v>-1020.5566801903706</v>
      </c>
      <c r="E2204">
        <f>-768.541901221673 -59.3269553274715 -304.501130991027</f>
        <v>-1132.3699875401717</v>
      </c>
      <c r="F2204">
        <f>-772.489521600637 -63.716152072913 -393.402225101472</f>
        <v>-1229.607898775022</v>
      </c>
      <c r="G2204">
        <f>-773.79117172262 -66.2822730620662 -482.452499391244</f>
        <v>-1322.5259441759301</v>
      </c>
      <c r="H2204">
        <f>-772.809734584271 -67.9916396470014 -607.019507313642</f>
        <v>-1447.8208815449143</v>
      </c>
      <c r="I2204">
        <f>-742.102905521294 -60.7594193393622 -683.894773379118</f>
        <v>-1486.7570982397742</v>
      </c>
      <c r="J2204">
        <f>-783.105557910138 -41.3489815591395 -552.636771150295</f>
        <v>-1377.0913106195726</v>
      </c>
      <c r="K2204" t="s">
        <v>27479</v>
      </c>
      <c r="L2204" t="s">
        <v>27480</v>
      </c>
      <c r="M2204" t="s">
        <v>27481</v>
      </c>
      <c r="N2204">
        <f>-763.377773952815 -93.1296755957389 -551.77074795208</f>
        <v>-1408.278197500634</v>
      </c>
      <c r="O2204">
        <f>-717.033194916798 -218.97023874079 -521.58059931791</f>
        <v>-1457.5840329754981</v>
      </c>
      <c r="P2204">
        <f>-691.317381295544 -262.869813729302 -231.748216082101</f>
        <v>-1185.935411106947</v>
      </c>
      <c r="Q2204">
        <f>-580.422965163204 -67.628238084548 -319.121614456727</f>
        <v>-967.17281770447903</v>
      </c>
      <c r="R2204" t="s">
        <v>27482</v>
      </c>
      <c r="S2204" t="s">
        <v>27483</v>
      </c>
      <c r="T2204" t="s">
        <v>27484</v>
      </c>
      <c r="U2204" t="s">
        <v>27485</v>
      </c>
      <c r="V2204">
        <f>-704.281006097176 -126.007160649314 -88.8499786725489</f>
        <v>-919.13814541903889</v>
      </c>
      <c r="W2204" t="s">
        <v>27486</v>
      </c>
      <c r="X2204" t="s">
        <v>27487</v>
      </c>
      <c r="Y2204" t="s">
        <v>27488</v>
      </c>
    </row>
    <row r="2205" spans="1:25" x14ac:dyDescent="0.3">
      <c r="A2205">
        <v>110200</v>
      </c>
      <c r="B2205" t="s">
        <v>27489</v>
      </c>
      <c r="C2205">
        <f>-745.67631637239 -37.9402193091655 -92.5593331328633</f>
        <v>-876.17586881441889</v>
      </c>
      <c r="D2205">
        <f>-762.128234780909 -51.7612555000376 -206.3773067393</f>
        <v>-1020.2667970202466</v>
      </c>
      <c r="E2205">
        <f>-769.22964370138 -58.7189999674797 -304.498783240304</f>
        <v>-1132.4474269091638</v>
      </c>
      <c r="F2205">
        <f>-773.34688443851 -63.3491937678054 -393.379880987319</f>
        <v>-1230.0759591936344</v>
      </c>
      <c r="G2205">
        <f>-774.809923148176 -66.2189818061674 -482.41844676968</f>
        <v>-1323.4473517240235</v>
      </c>
      <c r="H2205">
        <f>-774.046938009931 -68.4177739394095 -606.979191226266</f>
        <v>-1449.4439031756065</v>
      </c>
      <c r="I2205">
        <f>-743.153917790027 -61.5584460758398 -683.814228348078</f>
        <v>-1488.5265922139447</v>
      </c>
      <c r="J2205">
        <f>-784.22258407662 -41.5522612552161 -552.683679762711</f>
        <v>-1378.458525094547</v>
      </c>
      <c r="K2205" t="s">
        <v>27490</v>
      </c>
      <c r="L2205" t="s">
        <v>27491</v>
      </c>
      <c r="M2205" t="s">
        <v>27492</v>
      </c>
      <c r="N2205">
        <f>-764.542768329685 -93.3479685736268 -551.648836646993</f>
        <v>-1409.5395735503048</v>
      </c>
      <c r="O2205">
        <f>-718.411608677208 -219.196023092018 -521.149871172643</f>
        <v>-1458.757502941869</v>
      </c>
      <c r="P2205">
        <f>-692.662140706576 -261.993186057809 -231.155706692317</f>
        <v>-1185.811033456702</v>
      </c>
      <c r="Q2205">
        <f>-582.802844750455 -66.4206228885942 -319.093960701619</f>
        <v>-968.31742834066813</v>
      </c>
      <c r="R2205" t="s">
        <v>27493</v>
      </c>
      <c r="S2205" t="s">
        <v>27494</v>
      </c>
      <c r="T2205" t="s">
        <v>27495</v>
      </c>
      <c r="U2205" t="s">
        <v>27496</v>
      </c>
      <c r="V2205">
        <f>-704.716643756693 -125.182737043526 -88.9350332522398</f>
        <v>-918.83441405245878</v>
      </c>
      <c r="W2205" t="s">
        <v>27497</v>
      </c>
      <c r="X2205" t="s">
        <v>27498</v>
      </c>
      <c r="Y2205" t="s">
        <v>27499</v>
      </c>
    </row>
    <row r="2206" spans="1:25" x14ac:dyDescent="0.3">
      <c r="A2206">
        <v>110250</v>
      </c>
      <c r="B2206" t="s">
        <v>27500</v>
      </c>
      <c r="C2206">
        <f>-745.616621556064 -37.5314174283462 -92.5869768715012</f>
        <v>-875.73501585591146</v>
      </c>
      <c r="D2206">
        <f>-762.253328108124 -51.3932612351605 -206.373122176863</f>
        <v>-1020.0197115201476</v>
      </c>
      <c r="E2206">
        <f>-769.506247885702 -58.4652176520281 -304.475275680523</f>
        <v>-1132.446741218253</v>
      </c>
      <c r="F2206">
        <f>-773.758874237454 -63.2290831197979 -393.34300352712</f>
        <v>-1230.330960884372</v>
      </c>
      <c r="G2206">
        <f>-775.356454767685 -66.263590439569 -482.373824372818</f>
        <v>-1323.993869580072</v>
      </c>
      <c r="H2206">
        <f>-774.780756401161 -68.7247594151147 -606.930660773304</f>
        <v>-1450.4361765895796</v>
      </c>
      <c r="I2206">
        <f>-743.86896666814 -62.0493211609451 -683.774204894358</f>
        <v>-1489.6924927234431</v>
      </c>
      <c r="J2206">
        <f>-784.854416174631 -41.7372415357981 -552.676635191196</f>
        <v>-1379.268292901625</v>
      </c>
      <c r="K2206" t="s">
        <v>27501</v>
      </c>
      <c r="L2206" t="s">
        <v>27502</v>
      </c>
      <c r="M2206" t="s">
        <v>27503</v>
      </c>
      <c r="N2206">
        <f>-765.213740076366 -93.5461810424815 -551.562027651628</f>
        <v>-1410.3219487704755</v>
      </c>
      <c r="O2206">
        <f>-719.189704764937 -219.398591402775 -520.89683389124</f>
        <v>-1459.4851300589521</v>
      </c>
      <c r="P2206">
        <f>-693.44456793066 -261.262549352561 -230.766219794988</f>
        <v>-1185.4733370782089</v>
      </c>
      <c r="Q2206">
        <f>-583.938233951554 -65.7629860575578 -319.305418303765</f>
        <v>-969.00663831287682</v>
      </c>
      <c r="R2206" t="s">
        <v>27504</v>
      </c>
      <c r="S2206" t="s">
        <v>27505</v>
      </c>
      <c r="T2206" t="s">
        <v>27506</v>
      </c>
      <c r="U2206" t="s">
        <v>27507</v>
      </c>
      <c r="V2206">
        <f>-704.730935767643 -124.774571335715 -89.0011290467023</f>
        <v>-918.50663615006033</v>
      </c>
      <c r="W2206" t="s">
        <v>27508</v>
      </c>
      <c r="X2206" t="s">
        <v>27509</v>
      </c>
      <c r="Y2206" t="s">
        <v>27510</v>
      </c>
    </row>
    <row r="2207" spans="1:25" x14ac:dyDescent="0.3">
      <c r="A2207">
        <v>110300</v>
      </c>
      <c r="B2207" t="s">
        <v>27511</v>
      </c>
      <c r="C2207">
        <f>-745.28091220135 -36.5463677327782 -92.7108472410288</f>
        <v>-874.538127175157</v>
      </c>
      <c r="D2207">
        <f>-762.283197077407 -50.5308252407556 -206.427954077001</f>
        <v>-1019.2419763951635</v>
      </c>
      <c r="E2207">
        <f>-769.880413883157 -57.879984961223 -304.483696902578</f>
        <v>-1132.244095746958</v>
      </c>
      <c r="F2207">
        <f>-774.459086140457 -62.9622641411788 -393.317474795249</f>
        <v>-1230.7388250768847</v>
      </c>
      <c r="G2207">
        <f>-776.397602547945 -66.384011569394 -482.327417835153</f>
        <v>-1325.1090319524919</v>
      </c>
      <c r="H2207">
        <f>-776.315187387906 -69.458526557871 -606.872082277795</f>
        <v>-1452.645796223572</v>
      </c>
      <c r="I2207">
        <f>-745.486159771177 -63.1903866429375 -683.783064455515</f>
        <v>-1492.4596108696296</v>
      </c>
      <c r="J2207">
        <f>-786.094688578433 -42.1740364602433 -552.71268138438</f>
        <v>-1380.9814064230563</v>
      </c>
      <c r="K2207" t="s">
        <v>27512</v>
      </c>
      <c r="L2207" t="s">
        <v>27513</v>
      </c>
      <c r="M2207" t="s">
        <v>27514</v>
      </c>
      <c r="N2207">
        <f>-766.608498717504 -94.0370885383677 -551.419445814725</f>
        <v>-1412.0650330705967</v>
      </c>
      <c r="O2207">
        <f>-720.93385862829 -219.91870746028 -520.349861840257</f>
        <v>-1461.2024279288269</v>
      </c>
      <c r="P2207">
        <f>-694.957613857912 -259.540253125811 -229.924929932718</f>
        <v>-1184.4227969164408</v>
      </c>
      <c r="Q2207">
        <f>-584.939328789968 -65.0320385493819 -319.999253773408</f>
        <v>-969.97062111275795</v>
      </c>
      <c r="R2207" t="s">
        <v>27515</v>
      </c>
      <c r="S2207" t="s">
        <v>27516</v>
      </c>
      <c r="T2207" t="s">
        <v>27517</v>
      </c>
      <c r="U2207" t="s">
        <v>27518</v>
      </c>
      <c r="V2207">
        <f>-704.565327106404 -123.736144551141 -89.1352648301555</f>
        <v>-917.4367364877005</v>
      </c>
      <c r="W2207" t="s">
        <v>27519</v>
      </c>
      <c r="X2207" t="s">
        <v>27520</v>
      </c>
      <c r="Y2207" t="s">
        <v>27521</v>
      </c>
    </row>
    <row r="2208" spans="1:25" x14ac:dyDescent="0.3">
      <c r="A2208">
        <v>110350</v>
      </c>
      <c r="B2208" t="s">
        <v>27522</v>
      </c>
      <c r="C2208">
        <f>-745.085884654251 -35.986078720397 -92.8128958018187</f>
        <v>-873.88485917646676</v>
      </c>
      <c r="D2208">
        <f>-762.217022350194 -49.9979493159626 -206.50729799051</f>
        <v>-1018.7222696566666</v>
      </c>
      <c r="E2208">
        <f>-769.95075873866 -57.4649052779157 -304.543421063608</f>
        <v>-1131.9590850801837</v>
      </c>
      <c r="F2208">
        <f>-774.664312761725 -62.6910393032981 -393.36188753152</f>
        <v>-1230.7172395965431</v>
      </c>
      <c r="G2208">
        <f>-776.75015835394 -66.2943105580462 -482.361395859139</f>
        <v>-1325.4058647711252</v>
      </c>
      <c r="H2208">
        <f>-776.886392636589 -69.6620647895409 -606.898348038348</f>
        <v>-1453.4468054644778</v>
      </c>
      <c r="I2208">
        <f>-746.163676083751 -63.5954946066447 -683.868138681692</f>
        <v>-1493.6273093720879</v>
      </c>
      <c r="J2208">
        <f>-786.525120017853 -42.2330095297759 -552.786737618661</f>
        <v>-1381.54486716629</v>
      </c>
      <c r="K2208" t="s">
        <v>27523</v>
      </c>
      <c r="L2208" t="s">
        <v>27524</v>
      </c>
      <c r="M2208" t="s">
        <v>27525</v>
      </c>
      <c r="N2208">
        <f>-767.12758572971 -94.1271411890348 -551.404729576852</f>
        <v>-1412.6594564955967</v>
      </c>
      <c r="O2208">
        <f>-721.726089620244 -220.057619559135 -520.118411073553</f>
        <v>-1461.902120252932</v>
      </c>
      <c r="P2208">
        <f>-695.636854992853 -258.892038616655 -229.597393998029</f>
        <v>-1184.1262876075371</v>
      </c>
      <c r="Q2208">
        <f>-584.705958563599 -65.3153643501096 -320.555071980215</f>
        <v>-970.57639489392363</v>
      </c>
      <c r="R2208" t="s">
        <v>27526</v>
      </c>
      <c r="S2208" t="s">
        <v>27527</v>
      </c>
      <c r="T2208" t="s">
        <v>27528</v>
      </c>
      <c r="U2208" t="s">
        <v>27529</v>
      </c>
      <c r="V2208">
        <f>-704.471788946541 -123.225955863823 -89.2122008776638</f>
        <v>-916.90994568802773</v>
      </c>
      <c r="W2208" t="s">
        <v>27530</v>
      </c>
      <c r="X2208" t="s">
        <v>27531</v>
      </c>
      <c r="Y2208" t="s">
        <v>27532</v>
      </c>
    </row>
    <row r="2209" spans="1:25" x14ac:dyDescent="0.3">
      <c r="A2209">
        <v>110400</v>
      </c>
      <c r="B2209" t="s">
        <v>27533</v>
      </c>
      <c r="C2209">
        <f>-745.370438256368 -35.1861687689211 -93.1135769716078</f>
        <v>-873.67018399689687</v>
      </c>
      <c r="D2209">
        <f>-762.323834024689 -49.1880755451648 -206.835753755009</f>
        <v>-1018.3476633248628</v>
      </c>
      <c r="E2209">
        <f>-769.988229657524 -56.8098352356008 -304.865511237916</f>
        <v>-1131.6635761310408</v>
      </c>
      <c r="F2209">
        <f>-774.675386904694 -62.2392299895726 -393.673095886825</f>
        <v>-1230.5877127810916</v>
      </c>
      <c r="G2209">
        <f>-776.771352568514 -66.1094589636662 -482.661212864168</f>
        <v>-1325.5420243963481</v>
      </c>
      <c r="H2209">
        <f>-776.961681010104 -69.9168177164966 -607.185420961777</f>
        <v>-1454.0639196883776</v>
      </c>
      <c r="I2209">
        <f>-746.47785606076 -64.2000463235788 -684.276756032918</f>
        <v>-1494.9546584172567</v>
      </c>
      <c r="J2209">
        <f>-786.505678574391 -42.2703924520561 -553.167709567184</f>
        <v>-1381.9437805936311</v>
      </c>
      <c r="K2209" t="s">
        <v>27534</v>
      </c>
      <c r="L2209" t="s">
        <v>27535</v>
      </c>
      <c r="M2209" t="s">
        <v>27536</v>
      </c>
      <c r="N2209">
        <f>-767.250138891027 -94.2122170587058 -551.609132874998</f>
        <v>-1413.0714888247307</v>
      </c>
      <c r="O2209">
        <f>-722.441828685139 -220.237905366429 -519.89351034728</f>
        <v>-1462.5732443988479</v>
      </c>
      <c r="P2209">
        <f>-696.65982004476 -258.127642274221 -229.220363969893</f>
        <v>-1184.007826288874</v>
      </c>
      <c r="Q2209">
        <f>-582.930687397866 -67.1618229567762 -322.218297163097</f>
        <v>-972.31080751773925</v>
      </c>
      <c r="R2209" t="s">
        <v>27537</v>
      </c>
      <c r="S2209" t="s">
        <v>27538</v>
      </c>
      <c r="T2209" t="s">
        <v>27539</v>
      </c>
      <c r="U2209" t="s">
        <v>27540</v>
      </c>
      <c r="V2209">
        <f>-705.050186119541 -122.753698366691 -89.3203242818616</f>
        <v>-917.12420876809358</v>
      </c>
      <c r="W2209" t="s">
        <v>27541</v>
      </c>
      <c r="X2209" t="s">
        <v>27542</v>
      </c>
      <c r="Y2209" t="s">
        <v>27543</v>
      </c>
    </row>
    <row r="2210" spans="1:25" x14ac:dyDescent="0.3">
      <c r="A2210">
        <v>110450</v>
      </c>
      <c r="B2210" t="s">
        <v>27544</v>
      </c>
      <c r="C2210">
        <f>-746.701535129674 -34.7418145359334 -93.3821438995462</f>
        <v>-874.82549356515358</v>
      </c>
      <c r="D2210">
        <f>-763.103348229229 -48.6182177100482 -207.200577770058</f>
        <v>-1018.9221437093352</v>
      </c>
      <c r="E2210">
        <f>-770.389106916495 -56.2536342408544 -305.258138474447</f>
        <v>-1131.9008796317964</v>
      </c>
      <c r="F2210">
        <f>-774.774371078379 -61.7419206253601 -394.077644508296</f>
        <v>-1230.593936212035</v>
      </c>
      <c r="G2210">
        <f>-776.609675311953 -65.7167894434601 -483.066694819512</f>
        <v>-1325.393159574925</v>
      </c>
      <c r="H2210">
        <f>-776.479900514277 -69.7179047483194 -607.585017795956</f>
        <v>-1453.7828230585524</v>
      </c>
      <c r="I2210">
        <f>-746.137819842002 -64.1914730441292 -684.746171112111</f>
        <v>-1495.0754639982424</v>
      </c>
      <c r="J2210">
        <f>-786.138090434627 -41.9784524721363 -553.635474854852</f>
        <v>-1381.7520177616152</v>
      </c>
      <c r="K2210" t="s">
        <v>27545</v>
      </c>
      <c r="L2210" t="s">
        <v>27546</v>
      </c>
      <c r="M2210" t="s">
        <v>27547</v>
      </c>
      <c r="N2210">
        <f>-766.936117165182 -93.9360284431737 -551.945862952259</f>
        <v>-1412.8180085606145</v>
      </c>
      <c r="O2210">
        <f>-722.409472993853 -219.996659010489 -519.941338798331</f>
        <v>-1462.3474708026729</v>
      </c>
      <c r="P2210">
        <f>-697.274002122744 -257.536058813228 -229.166060674405</f>
        <v>-1183.976121610377</v>
      </c>
      <c r="Q2210">
        <f>-581.950196424059 -68.0185377078631 -323.157776836112</f>
        <v>-973.12651096803404</v>
      </c>
      <c r="R2210" t="s">
        <v>27548</v>
      </c>
      <c r="S2210" t="s">
        <v>27549</v>
      </c>
      <c r="T2210" t="s">
        <v>27550</v>
      </c>
      <c r="U2210" t="s">
        <v>27551</v>
      </c>
      <c r="V2210">
        <f>-706.923920374669 -122.356081521093 -89.364746616028</f>
        <v>-918.64474851179</v>
      </c>
      <c r="W2210" t="s">
        <v>27552</v>
      </c>
      <c r="X2210" t="s">
        <v>27553</v>
      </c>
      <c r="Y2210" t="s">
        <v>27554</v>
      </c>
    </row>
    <row r="2211" spans="1:25" x14ac:dyDescent="0.3">
      <c r="A2211">
        <v>110500</v>
      </c>
      <c r="B2211" t="s">
        <v>27555</v>
      </c>
      <c r="C2211">
        <f>-751.805625919406 -32.8336482633383 -94.5941863378223</f>
        <v>-879.23346052056661</v>
      </c>
      <c r="D2211">
        <f>-766.328153800661 -46.6217836945025 -208.678314290794</f>
        <v>-1021.6282517859574</v>
      </c>
      <c r="E2211">
        <f>-772.128406921815 -54.3328302754494 -306.829065895637</f>
        <v>-1133.2903030929015</v>
      </c>
      <c r="F2211">
        <f>-775.223561001766 -59.947726630236 -395.694837086356</f>
        <v>-1230.8661247183582</v>
      </c>
      <c r="G2211">
        <f>-775.822734354195 -64.1081470132988 -484.692494587276</f>
        <v>-1324.6233759547697</v>
      </c>
      <c r="H2211">
        <f>-774.022813014678 -68.4293186529371 -609.187077198971</f>
        <v>-1451.6392088665862</v>
      </c>
      <c r="I2211">
        <f>-743.856537532443 -63.2356170609992 -686.440262377917</f>
        <v>-1493.532416971359</v>
      </c>
      <c r="J2211">
        <f>-784.346592350028 -40.5305575663569 -555.443345868922</f>
        <v>-1380.320495785307</v>
      </c>
      <c r="K2211" t="s">
        <v>27556</v>
      </c>
      <c r="L2211" t="s">
        <v>27557</v>
      </c>
      <c r="M2211" t="s">
        <v>27558</v>
      </c>
      <c r="N2211">
        <f>-765.282854317774 -92.524946942938 -553.363012156095</f>
        <v>-1411.1708134168071</v>
      </c>
      <c r="O2211">
        <f>-721.522684778736 -218.597408211341 -520.52257739233</f>
        <v>-1460.642670382407</v>
      </c>
      <c r="P2211">
        <f>-699.61131023993 -255.539241581026 -229.410365097973</f>
        <v>-1184.560916918929</v>
      </c>
      <c r="Q2211">
        <f>-580.415025167094 -69.3548054796199 -325.214825113964</f>
        <v>-974.98465576067792</v>
      </c>
      <c r="R2211" t="s">
        <v>27559</v>
      </c>
      <c r="S2211" t="s">
        <v>27560</v>
      </c>
      <c r="T2211" t="s">
        <v>27561</v>
      </c>
      <c r="U2211" t="s">
        <v>27562</v>
      </c>
      <c r="V2211">
        <f>-713.620992845488 -120.115058497196 -89.6930442405767</f>
        <v>-923.42909558326073</v>
      </c>
      <c r="W2211" t="s">
        <v>27563</v>
      </c>
      <c r="X2211" t="s">
        <v>27564</v>
      </c>
      <c r="Y2211" t="s">
        <v>27565</v>
      </c>
    </row>
    <row r="2212" spans="1:25" x14ac:dyDescent="0.3">
      <c r="A2212">
        <v>110550</v>
      </c>
      <c r="B2212" t="s">
        <v>27566</v>
      </c>
      <c r="C2212">
        <f>-755.372659495602 -31.3157408096731 -95.3558820464907</f>
        <v>-882.04428235176579</v>
      </c>
      <c r="D2212">
        <f>-768.995980404826 -45.3089194431554 -209.526049369173</f>
        <v>-1023.8309492171545</v>
      </c>
      <c r="E2212">
        <f>-773.920621425591 -53.1562191735986 -307.713723103383</f>
        <v>-1134.7905637025726</v>
      </c>
      <c r="F2212">
        <f>-776.179972298118 -58.8822269708071 -396.597678536227</f>
        <v>-1231.6598778051521</v>
      </c>
      <c r="G2212">
        <f>-775.897476072847 -63.1441432737663 -485.592021098738</f>
        <v>-1324.6336404453514</v>
      </c>
      <c r="H2212">
        <f>-772.816525404514 -67.5993190966892 -610.056740916832</f>
        <v>-1450.4725854180351</v>
      </c>
      <c r="I2212">
        <f>-742.663694905516 -62.5836830087071 -687.326857569146</f>
        <v>-1492.5742354833692</v>
      </c>
      <c r="J2212">
        <f>-783.638654597365 -39.6229395084874 -556.451561287442</f>
        <v>-1379.7131553932945</v>
      </c>
      <c r="K2212" t="s">
        <v>27567</v>
      </c>
      <c r="L2212" t="s">
        <v>27568</v>
      </c>
      <c r="M2212" t="s">
        <v>27569</v>
      </c>
      <c r="N2212">
        <f>-764.706076513977 -91.6545863334377 -554.120395217106</f>
        <v>-1410.4810580645208</v>
      </c>
      <c r="O2212">
        <f>-721.554006589719 -217.852658433629 -520.863443987242</f>
        <v>-1460.2701090105902</v>
      </c>
      <c r="P2212">
        <f>-702.048611419552 -255.071813435322 -229.615305927546</f>
        <v>-1186.73573078242</v>
      </c>
      <c r="Q2212">
        <f>-580.962880247268 -70.4408022812831 -326.054250436158</f>
        <v>-977.45793296470913</v>
      </c>
      <c r="R2212" t="s">
        <v>27570</v>
      </c>
      <c r="S2212" t="s">
        <v>27571</v>
      </c>
      <c r="T2212" t="s">
        <v>27572</v>
      </c>
      <c r="U2212" t="s">
        <v>27573</v>
      </c>
      <c r="V2212">
        <f>-717.192684128695 -118.009173410878 -90.0331108349113</f>
        <v>-925.23496837448431</v>
      </c>
      <c r="W2212" t="s">
        <v>27574</v>
      </c>
      <c r="X2212" t="s">
        <v>27575</v>
      </c>
      <c r="Y2212" t="s">
        <v>27576</v>
      </c>
    </row>
    <row r="2213" spans="1:25" x14ac:dyDescent="0.3">
      <c r="A2213">
        <v>110600</v>
      </c>
      <c r="B2213" t="s">
        <v>27577</v>
      </c>
      <c r="C2213">
        <f>-764.317470112868 -27.6118255510467 -95.4538024754941</f>
        <v>-887.38309813940873</v>
      </c>
      <c r="D2213">
        <f>-776.363599097398 -41.4819987066342 -209.816055270559</f>
        <v>-1027.6616530745912</v>
      </c>
      <c r="E2213">
        <f>-779.484836278932 -49.3168157289006 -308.078656346961</f>
        <v>-1136.8803083547937</v>
      </c>
      <c r="F2213">
        <f>-779.93080319748 -55.0773345718364 -396.987990348303</f>
        <v>-1231.9961281176195</v>
      </c>
      <c r="G2213">
        <f>-777.650671807601 -59.4264807028078 -485.949328489002</f>
        <v>-1323.026480999411</v>
      </c>
      <c r="H2213">
        <f>-771.583936867709 -64.0653395562774 -610.297512072144</f>
        <v>-1445.9467884961305</v>
      </c>
      <c r="I2213">
        <f>-741.076109201528 -59.3857073052552 -687.449405089333</f>
        <v>-1487.9112215961163</v>
      </c>
      <c r="J2213">
        <f>-783.506057645365 -35.9442697971499 -557.002345627424</f>
        <v>-1376.452673069939</v>
      </c>
      <c r="K2213" t="s">
        <v>27578</v>
      </c>
      <c r="L2213" t="s">
        <v>27579</v>
      </c>
      <c r="M2213" t="s">
        <v>27580</v>
      </c>
      <c r="N2213">
        <f>-765.000905345172 -88.1038523279165 -554.153766650942</f>
        <v>-1407.2585243240305</v>
      </c>
      <c r="O2213">
        <f>-723.218777937725 -214.54292273626 -520.044242515131</f>
        <v>-1457.8059431891161</v>
      </c>
      <c r="P2213">
        <f>-708.737903306216 -253.000432567643 -228.663857333354</f>
        <v>-1190.402193207213</v>
      </c>
      <c r="Q2213">
        <f>-584.328647056702 -71.0722201993838 -326.005288531174</f>
        <v>-981.40615578725988</v>
      </c>
      <c r="R2213" t="s">
        <v>27581</v>
      </c>
      <c r="S2213" t="s">
        <v>27582</v>
      </c>
      <c r="T2213" t="s">
        <v>27583</v>
      </c>
      <c r="U2213" t="s">
        <v>27584</v>
      </c>
      <c r="V2213">
        <f>-724.499799862153 -115.109352376668 -89.9508998442008</f>
        <v>-929.56005208302179</v>
      </c>
      <c r="W2213" t="s">
        <v>27585</v>
      </c>
      <c r="X2213" t="s">
        <v>27586</v>
      </c>
      <c r="Y2213" t="s">
        <v>27587</v>
      </c>
    </row>
    <row r="2214" spans="1:25" x14ac:dyDescent="0.3">
      <c r="A2214">
        <v>110650</v>
      </c>
      <c r="B2214" t="s">
        <v>27588</v>
      </c>
      <c r="C2214">
        <f>-767.113037000655 -25.691975891503 -95.215682486783</f>
        <v>-888.02069537894101</v>
      </c>
      <c r="D2214">
        <f>-778.531899457431 -39.3118912684811 -209.672307243525</f>
        <v>-1027.5160979694372</v>
      </c>
      <c r="E2214">
        <f>-780.892769173946 -47.0839157011826 -307.961055451596</f>
        <v>-1135.9377403267247</v>
      </c>
      <c r="F2214">
        <f>-780.564038155397 -52.8496140144518 -396.870575203597</f>
        <v>-1230.2842273734459</v>
      </c>
      <c r="G2214">
        <f>-777.421970717758 -57.2696745562353 -485.802142118048</f>
        <v>-1320.4937873920412</v>
      </c>
      <c r="H2214">
        <f>-770.060515221503 -62.0785762443438 -610.073999233102</f>
        <v>-1442.2130906989487</v>
      </c>
      <c r="I2214">
        <f>-739.227510365858 -57.6156472032735 -687.109294660446</f>
        <v>-1483.9524522295776</v>
      </c>
      <c r="J2214">
        <f>-782.391858695062 -33.8333261836995 -556.937885583475</f>
        <v>-1373.1630704622364</v>
      </c>
      <c r="K2214" t="s">
        <v>27589</v>
      </c>
      <c r="L2214" t="s">
        <v>27590</v>
      </c>
      <c r="M2214" t="s">
        <v>27591</v>
      </c>
      <c r="N2214">
        <f>-764.207975577395 -86.091457307268 -553.838521247057</f>
        <v>-1404.1379541317201</v>
      </c>
      <c r="O2214">
        <f>-723.258129126641 -212.666111093179 -519.263106509637</f>
        <v>-1455.1873467294572</v>
      </c>
      <c r="P2214">
        <f>-710.766509574254 -251.713411804634 -227.869067892654</f>
        <v>-1190.348989271542</v>
      </c>
      <c r="Q2214">
        <f>-584.822867078787 -70.9660613304923 -325.436519274624</f>
        <v>-981.22544768390321</v>
      </c>
      <c r="R2214" t="s">
        <v>27592</v>
      </c>
      <c r="S2214" t="s">
        <v>27593</v>
      </c>
      <c r="T2214" t="s">
        <v>27594</v>
      </c>
      <c r="U2214" t="s">
        <v>27595</v>
      </c>
      <c r="V2214">
        <f>-727.563193836154 -113.041530316038 -89.829642438855</f>
        <v>-930.43436659104702</v>
      </c>
      <c r="W2214" t="s">
        <v>27596</v>
      </c>
      <c r="X2214" t="s">
        <v>27597</v>
      </c>
      <c r="Y2214" t="s">
        <v>27598</v>
      </c>
    </row>
    <row r="2215" spans="1:25" x14ac:dyDescent="0.3">
      <c r="A2215">
        <v>110700</v>
      </c>
      <c r="B2215" t="s">
        <v>27599</v>
      </c>
      <c r="C2215">
        <f>-768.918612303395 -22.9925353302131 -94.888051565178</f>
        <v>-886.79919919878603</v>
      </c>
      <c r="D2215">
        <f>-780.021291687068 -36.2301516148978 -209.420588643632</f>
        <v>-1025.6720319455978</v>
      </c>
      <c r="E2215">
        <f>-781.901599912723 -43.9147081519354 -307.726675791009</f>
        <v>-1133.5429838556674</v>
      </c>
      <c r="F2215">
        <f>-781.057956307331 -49.6970331757491 -396.631667181046</f>
        <v>-1227.3866566641261</v>
      </c>
      <c r="G2215">
        <f>-777.321244220755 -54.2342013430714 -485.534236033354</f>
        <v>-1317.0896815971805</v>
      </c>
      <c r="H2215">
        <f>-769.046753993814 -59.313714037861 -609.737922047348</f>
        <v>-1438.0983900790229</v>
      </c>
      <c r="I2215">
        <f>-737.997613979329 -55.180732794207 -686.704782294869</f>
        <v>-1479.883129068405</v>
      </c>
      <c r="J2215">
        <f>-781.578741992126 -30.8873651523086 -556.745469249719</f>
        <v>-1369.2115763941536</v>
      </c>
      <c r="K2215" t="s">
        <v>27600</v>
      </c>
      <c r="L2215" t="s">
        <v>27601</v>
      </c>
      <c r="M2215" t="s">
        <v>27602</v>
      </c>
      <c r="N2215">
        <f>-763.797324788071 -83.2697980507176 -553.418611320063</f>
        <v>-1400.4857341588515</v>
      </c>
      <c r="O2215">
        <f>-723.876398147979 -210.072121199006 -518.418036822678</f>
        <v>-1452.366556169663</v>
      </c>
      <c r="P2215">
        <f>-713.416855297745 -249.096676350246 -226.940963017178</f>
        <v>-1189.454494665169</v>
      </c>
      <c r="Q2215">
        <f>-585.413711050532 -69.9947216723169 -324.862280289682</f>
        <v>-980.2707130125309</v>
      </c>
      <c r="R2215" t="s">
        <v>27603</v>
      </c>
      <c r="S2215" t="s">
        <v>27604</v>
      </c>
      <c r="T2215" t="s">
        <v>27605</v>
      </c>
      <c r="U2215" t="s">
        <v>27606</v>
      </c>
      <c r="V2215">
        <f>-730.102388408664 -110.302406194272 -89.762211176328</f>
        <v>-930.16700577926395</v>
      </c>
      <c r="W2215" t="s">
        <v>27607</v>
      </c>
      <c r="X2215" t="s">
        <v>27608</v>
      </c>
      <c r="Y2215" t="s">
        <v>27609</v>
      </c>
    </row>
    <row r="2216" spans="1:25" x14ac:dyDescent="0.3">
      <c r="A2216">
        <v>110750</v>
      </c>
      <c r="B2216" t="s">
        <v>27610</v>
      </c>
      <c r="C2216">
        <f>-770.781989396804 -15.4155997717253 -94.3246121342797</f>
        <v>-880.52220130280898</v>
      </c>
      <c r="D2216">
        <f>-781.900830521592 -27.8845501656958 -208.941876953012</f>
        <v>-1018.7272576402997</v>
      </c>
      <c r="E2216">
        <f>-783.500523598664 -35.4037520225654 -307.265593778002</f>
        <v>-1126.1698693992314</v>
      </c>
      <c r="F2216">
        <f>-782.291938141538 -41.2346863486305 -396.163212401238</f>
        <v>-1219.6898368914065</v>
      </c>
      <c r="G2216">
        <f>-778.079530752718 -46.0300203508054 -485.031015981531</f>
        <v>-1309.1405670850545</v>
      </c>
      <c r="H2216">
        <f>-769.02622001588 -51.6953863390536 -609.155122806243</f>
        <v>-1429.8767291611766</v>
      </c>
      <c r="I2216">
        <f>-737.66880423654 -48.4197235052902 -686.038150700353</f>
        <v>-1472.1266784421832</v>
      </c>
      <c r="J2216">
        <f>-781.343575794494 -22.8382800688448 -556.345385731077</f>
        <v>-1360.527241594416</v>
      </c>
      <c r="K2216" t="s">
        <v>27611</v>
      </c>
      <c r="L2216" t="s">
        <v>27612</v>
      </c>
      <c r="M2216" t="s">
        <v>27613</v>
      </c>
      <c r="N2216">
        <f>-764.676613339752 -75.5663895341909 -552.723119508785</f>
        <v>-1392.9661223827279</v>
      </c>
      <c r="O2216">
        <f>-727.446366264556 -203.041940997869 -517.137539385853</f>
        <v>-1447.625846648278</v>
      </c>
      <c r="P2216">
        <f>-720.506506142041 -240.986022160074 -225.412839980679</f>
        <v>-1186.9053682827939</v>
      </c>
      <c r="Q2216">
        <f>-587.526578701035 -65.9012726754772 -323.965058559693</f>
        <v>-977.39290993620511</v>
      </c>
      <c r="R2216" t="s">
        <v>27614</v>
      </c>
      <c r="S2216" t="s">
        <v>27615</v>
      </c>
      <c r="T2216" t="s">
        <v>27616</v>
      </c>
      <c r="U2216" t="s">
        <v>27617</v>
      </c>
      <c r="V2216">
        <f>-733.34522981722 -103.310281134896 -89.740051524098</f>
        <v>-926.39556247621397</v>
      </c>
      <c r="W2216" t="s">
        <v>27618</v>
      </c>
      <c r="X2216" t="s">
        <v>27619</v>
      </c>
      <c r="Y2216" t="s">
        <v>27620</v>
      </c>
    </row>
    <row r="2217" spans="1:25" x14ac:dyDescent="0.3">
      <c r="A2217">
        <v>110800</v>
      </c>
      <c r="B2217" t="s">
        <v>27621</v>
      </c>
      <c r="C2217">
        <f>-770.623658299282 -7.46556220801176 -94.0648214173556</f>
        <v>-872.15404192464939</v>
      </c>
      <c r="D2217">
        <f>-782.470655423506 -19.0559112816841 -208.701305677181</f>
        <v>-1010.2278723823711</v>
      </c>
      <c r="E2217">
        <f>-784.481090836533 -26.313147094851 -307.037225206938</f>
        <v>-1117.8314631383221</v>
      </c>
      <c r="F2217">
        <f>-783.566543655895 -32.1012118782139 -395.941010769892</f>
        <v>-1211.6087663040009</v>
      </c>
      <c r="G2217">
        <f>-779.570896021999 -37.0604973875043 -484.810066830521</f>
        <v>-1301.4414602400243</v>
      </c>
      <c r="H2217">
        <f>-770.741821507285 -43.1776626874425 -608.928626613824</f>
        <v>-1422.8481108085516</v>
      </c>
      <c r="I2217">
        <f>-739.396642403285 -40.7604384228887 -685.848673142417</f>
        <v>-1466.0057539685909</v>
      </c>
      <c r="J2217">
        <f>-782.301117631498 -13.9253637157428 -556.165044403488</f>
        <v>-1352.3915257507288</v>
      </c>
      <c r="K2217" t="s">
        <v>27622</v>
      </c>
      <c r="L2217" t="s">
        <v>27623</v>
      </c>
      <c r="M2217" t="s">
        <v>27624</v>
      </c>
      <c r="N2217">
        <f>-766.952874414262 -67.046292047688 -552.455342184646</f>
        <v>-1386.454508646596</v>
      </c>
      <c r="O2217">
        <f>-732.881468385287 -195.355821290476 -516.741835252087</f>
        <v>-1444.9791249278501</v>
      </c>
      <c r="P2217">
        <f>-728.587691798809 -232.187200569829 -224.823548418632</f>
        <v>-1185.59844078727</v>
      </c>
      <c r="Q2217">
        <f>-590.432485947348 -61.7741903430328 -324.439799212593</f>
        <v>-976.64647550297389</v>
      </c>
      <c r="R2217" t="s">
        <v>27625</v>
      </c>
      <c r="S2217" t="s">
        <v>27626</v>
      </c>
      <c r="T2217" t="s">
        <v>27627</v>
      </c>
      <c r="U2217" t="s">
        <v>27628</v>
      </c>
      <c r="V2217">
        <f>-734.55978271416 -96.7156009508226 -89.972719932072</f>
        <v>-921.24810359705452</v>
      </c>
      <c r="W2217" t="s">
        <v>27629</v>
      </c>
      <c r="X2217" t="s">
        <v>27630</v>
      </c>
      <c r="Y2217" t="s">
        <v>27631</v>
      </c>
    </row>
    <row r="2218" spans="1:25" x14ac:dyDescent="0.3">
      <c r="A2218">
        <v>110850</v>
      </c>
      <c r="B2218" t="s">
        <v>27632</v>
      </c>
      <c r="C2218">
        <f>-769.9417543232 -4.2040874171289 -94.0818865501271</f>
        <v>-868.22772829045607</v>
      </c>
      <c r="D2218">
        <f>-782.164345732104 -15.3979547666961 -208.718346680586</f>
        <v>-1006.2806471793862</v>
      </c>
      <c r="E2218">
        <f>-784.463868393193 -22.5368624783739 -307.056583565569</f>
        <v>-1114.057314437136</v>
      </c>
      <c r="F2218">
        <f>-783.801723368902 -28.3044577063395 -395.964023031948</f>
        <v>-1208.0702041071895</v>
      </c>
      <c r="G2218">
        <f>-780.049373821382 -33.3354540156747 -484.839443672936</f>
        <v>-1298.2242715099928</v>
      </c>
      <c r="H2218">
        <f>-771.552430622217 -39.651219630505 -608.971361895423</f>
        <v>-1420.175012148145</v>
      </c>
      <c r="I2218">
        <f>-740.380847390805 -37.6173407873259 -685.972873905214</f>
        <v>-1463.9710620833448</v>
      </c>
      <c r="J2218">
        <f>-782.641309788144 -10.22018868551 -556.206221309772</f>
        <v>-1349.0677197834261</v>
      </c>
      <c r="K2218" t="s">
        <v>27633</v>
      </c>
      <c r="L2218" t="s">
        <v>27634</v>
      </c>
      <c r="M2218" t="s">
        <v>27635</v>
      </c>
      <c r="N2218">
        <f>-767.94166384232 -63.5236345829965 -552.487971373724</f>
        <v>-1383.9532697990405</v>
      </c>
      <c r="O2218">
        <f>-735.46987814437 -192.218385690479 -516.753150842045</f>
        <v>-1444.4414146768941</v>
      </c>
      <c r="P2218">
        <f>-732.08679639909 -228.87706516414 -224.801271179341</f>
        <v>-1185.765132742571</v>
      </c>
      <c r="Q2218">
        <f>-591.467721402947 -60.854249919332 -325.028436408221</f>
        <v>-977.35040773049991</v>
      </c>
      <c r="R2218" t="s">
        <v>27636</v>
      </c>
      <c r="S2218" t="s">
        <v>27637</v>
      </c>
      <c r="T2218" t="s">
        <v>27638</v>
      </c>
      <c r="U2218" t="s">
        <v>27639</v>
      </c>
      <c r="V2218">
        <f>-734.693926457874 -93.9020918937022 -90.1961629938902</f>
        <v>-918.79218134546636</v>
      </c>
      <c r="W2218" t="s">
        <v>27640</v>
      </c>
      <c r="X2218" t="s">
        <v>27641</v>
      </c>
      <c r="Y2218" t="s">
        <v>27642</v>
      </c>
    </row>
    <row r="2219" spans="1:25" x14ac:dyDescent="0.3">
      <c r="A2219">
        <v>110900</v>
      </c>
      <c r="B2219" t="s">
        <v>27643</v>
      </c>
      <c r="C2219" t="s">
        <v>27644</v>
      </c>
      <c r="D2219">
        <f>-780.652655485104 -7.91379801218613 -209.588482606583</f>
        <v>-998.15493610387307</v>
      </c>
      <c r="E2219">
        <f>-783.281383666853 -14.8939181490239 -307.929844531488</f>
        <v>-1106.105146347365</v>
      </c>
      <c r="F2219">
        <f>-782.965228584756 -20.5798227287446 -396.844416043807</f>
        <v>-1200.3894673573077</v>
      </c>
      <c r="G2219">
        <f>-779.605385538714 -25.5999475627614 -485.736199133906</f>
        <v>-1290.9415322353814</v>
      </c>
      <c r="H2219">
        <f>-771.70595448266 -31.9783257217168 -609.904479427685</f>
        <v>-1413.5887596320617</v>
      </c>
      <c r="I2219">
        <f>-741.075166762736 -30.4602008815409 -687.134383333205</f>
        <v>-1458.669750977482</v>
      </c>
      <c r="J2219">
        <f>-781.962454270207 -2.36579599725246 -557.07254429559</f>
        <v>-1341.4007945630494</v>
      </c>
      <c r="K2219" t="s">
        <v>27645</v>
      </c>
      <c r="L2219" t="s">
        <v>27646</v>
      </c>
      <c r="M2219" t="s">
        <v>27647</v>
      </c>
      <c r="N2219">
        <f>-768.401796226741 -55.97726297341 -553.455670294361</f>
        <v>-1377.834729494512</v>
      </c>
      <c r="O2219">
        <f>-738.88313775621 -185.44374024963 -517.897920113561</f>
        <v>-1442.2247981194009</v>
      </c>
      <c r="P2219">
        <f>-737.155339078993 -222.571155515483 -225.990752902513</f>
        <v>-1185.7172474969891</v>
      </c>
      <c r="Q2219">
        <f>-592.274410171362 -58.7110415893881 -327.036546805986</f>
        <v>-978.0219985667361</v>
      </c>
      <c r="R2219" t="s">
        <v>27648</v>
      </c>
      <c r="S2219" t="s">
        <v>27649</v>
      </c>
      <c r="T2219" t="s">
        <v>27650</v>
      </c>
      <c r="U2219" t="s">
        <v>27651</v>
      </c>
      <c r="V2219">
        <f>-734.295864994152 -87.0781568093616 -90.9694825448014</f>
        <v>-912.34350434831504</v>
      </c>
      <c r="W2219" t="s">
        <v>27652</v>
      </c>
      <c r="X2219" t="s">
        <v>27653</v>
      </c>
      <c r="Y2219" t="s">
        <v>27654</v>
      </c>
    </row>
    <row r="2220" spans="1:25" x14ac:dyDescent="0.3">
      <c r="A2220">
        <v>110950</v>
      </c>
      <c r="B2220" t="s">
        <v>27655</v>
      </c>
      <c r="C2220" t="s">
        <v>27656</v>
      </c>
      <c r="D2220">
        <f>-780.16356628366 -3.80791122799837 -209.991099358603</f>
        <v>-993.96257687026139</v>
      </c>
      <c r="E2220">
        <f>-782.848275935784 -10.6473850993532 -308.340658601563</f>
        <v>-1101.8363196367002</v>
      </c>
      <c r="F2220">
        <f>-782.596544680612 -16.2105698577102 -397.263305716803</f>
        <v>-1196.0704202551253</v>
      </c>
      <c r="G2220">
        <f>-779.314615362023 -21.115863949143 -486.164577529132</f>
        <v>-1286.595056840298</v>
      </c>
      <c r="H2220">
        <f>-771.537500349838 -27.3433214392492 -610.348029473112</f>
        <v>-1409.228851262199</v>
      </c>
      <c r="I2220">
        <f>-741.198258109247 -25.9352897128992 -687.695181375138</f>
        <v>-1454.8287291972842</v>
      </c>
      <c r="J2220" t="s">
        <v>27657</v>
      </c>
      <c r="K2220" t="s">
        <v>27658</v>
      </c>
      <c r="L2220" t="s">
        <v>27659</v>
      </c>
      <c r="M2220" t="s">
        <v>27660</v>
      </c>
      <c r="N2220">
        <f>-768.365792715362 -51.4582609582519 -553.941365865881</f>
        <v>-1373.7654195394948</v>
      </c>
      <c r="O2220">
        <f>-739.898328716783 -181.241618760204 -518.679789662089</f>
        <v>-1439.8197371390761</v>
      </c>
      <c r="P2220">
        <f>-739.540287302788 -219.014912145558 -226.850722570258</f>
        <v>-1185.4059220186041</v>
      </c>
      <c r="Q2220">
        <f>-593.25791882228 -56.4165432975014 -327.915295171502</f>
        <v>-977.58975729128338</v>
      </c>
      <c r="R2220" t="s">
        <v>27661</v>
      </c>
      <c r="S2220" t="s">
        <v>27662</v>
      </c>
      <c r="T2220" t="s">
        <v>27663</v>
      </c>
      <c r="U2220" t="s">
        <v>27664</v>
      </c>
      <c r="V2220">
        <f>-734.416565460377 -83.3136970461223 -91.3811270837016</f>
        <v>-909.11138959020093</v>
      </c>
      <c r="W2220" t="s">
        <v>27665</v>
      </c>
      <c r="X2220" t="s">
        <v>27666</v>
      </c>
      <c r="Y2220" t="s">
        <v>27667</v>
      </c>
    </row>
    <row r="2221" spans="1:25" x14ac:dyDescent="0.3">
      <c r="A2221">
        <v>111000</v>
      </c>
      <c r="B2221" t="s">
        <v>27668</v>
      </c>
      <c r="C2221" t="s">
        <v>27669</v>
      </c>
      <c r="D2221" t="s">
        <v>27670</v>
      </c>
      <c r="E2221">
        <f>-784.976888555459 -0.768074635247558 -308.861902909119</f>
        <v>-1094.6068660998255</v>
      </c>
      <c r="F2221">
        <f>-784.715604772044 -6.06597153487905 -397.800645843479</f>
        <v>-1188.582222150402</v>
      </c>
      <c r="G2221">
        <f>-781.395996529614 -10.7328442146104 -486.71308662184</f>
        <v>-1278.8419273660643</v>
      </c>
      <c r="H2221">
        <f>-773.537426025261 -16.6561630207798 -610.906442975597</f>
        <v>-1401.1000320216376</v>
      </c>
      <c r="I2221">
        <f>-743.635092624158 -15.3927806759311 -688.426010502627</f>
        <v>-1447.4538838027161</v>
      </c>
      <c r="J2221" t="s">
        <v>27671</v>
      </c>
      <c r="K2221" t="s">
        <v>27672</v>
      </c>
      <c r="L2221" t="s">
        <v>27673</v>
      </c>
      <c r="M2221" t="s">
        <v>27674</v>
      </c>
      <c r="N2221">
        <f>-770.631414169577 -40.9650392188596 -554.568599702553</f>
        <v>-1366.1650530909897</v>
      </c>
      <c r="O2221">
        <f>-743.472320748843 -171.184974445081 -519.936328632409</f>
        <v>-1434.593623826333</v>
      </c>
      <c r="P2221">
        <f>-745.778973224164 -211.725291515545 -228.487497365782</f>
        <v>-1185.991762105491</v>
      </c>
      <c r="Q2221">
        <f>-598.205973030321 -50.0819194000849 -329.207677328276</f>
        <v>-977.495569758682</v>
      </c>
      <c r="R2221" t="s">
        <v>27675</v>
      </c>
      <c r="S2221" t="s">
        <v>27676</v>
      </c>
      <c r="T2221" t="s">
        <v>27677</v>
      </c>
      <c r="U2221" t="s">
        <v>27678</v>
      </c>
      <c r="V2221">
        <f>-736.078030084534 -74.6407258756828 -92.2216391393297</f>
        <v>-902.94039509954655</v>
      </c>
      <c r="W2221" t="s">
        <v>27679</v>
      </c>
      <c r="X2221" t="s">
        <v>27680</v>
      </c>
      <c r="Y2221" t="s">
        <v>27681</v>
      </c>
    </row>
    <row r="2222" spans="1:25" x14ac:dyDescent="0.3">
      <c r="A2222">
        <v>111050</v>
      </c>
      <c r="B2222" t="s">
        <v>27682</v>
      </c>
      <c r="C2222" t="s">
        <v>27683</v>
      </c>
      <c r="D2222" t="s">
        <v>27684</v>
      </c>
      <c r="E2222" t="s">
        <v>27685</v>
      </c>
      <c r="F2222">
        <f>-785.432776388371 -0.130369262668864 -398.173524418205</f>
        <v>-1183.7366700692448</v>
      </c>
      <c r="G2222">
        <f>-782.099778139233 -4.67908175933326 -487.091639069423</f>
        <v>-1273.8704989679893</v>
      </c>
      <c r="H2222">
        <f>-774.2157205687 -10.4509615472405 -611.290438233182</f>
        <v>-1395.9571203491225</v>
      </c>
      <c r="I2222">
        <f>-744.417226940843 -9.23609513110227 -688.850888713635</f>
        <v>-1442.5042107855802</v>
      </c>
      <c r="J2222" t="s">
        <v>27686</v>
      </c>
      <c r="K2222" t="s">
        <v>27687</v>
      </c>
      <c r="L2222" t="s">
        <v>27688</v>
      </c>
      <c r="M2222" t="s">
        <v>27689</v>
      </c>
      <c r="N2222">
        <f>-771.422123255903 -34.8526019576195 -554.987088664092</f>
        <v>-1361.2618138776145</v>
      </c>
      <c r="O2222">
        <f>-744.7789215123 -165.242077647738 -520.56442986129</f>
        <v>-1430.5854290213281</v>
      </c>
      <c r="P2222">
        <f>-747.537340200937 -207.622727685646 -229.381598593407</f>
        <v>-1184.54166647999</v>
      </c>
      <c r="Q2222">
        <f>-599.839594740795 -45.8269964652568 -329.67318142469</f>
        <v>-975.33977263074166</v>
      </c>
      <c r="R2222" t="s">
        <v>27690</v>
      </c>
      <c r="S2222" t="s">
        <v>27691</v>
      </c>
      <c r="T2222" t="s">
        <v>27692</v>
      </c>
      <c r="U2222" t="s">
        <v>27693</v>
      </c>
      <c r="V2222">
        <f>-736.949845559199 -69.1976812372461 -92.6246792168937</f>
        <v>-898.77220601333886</v>
      </c>
      <c r="W2222" t="s">
        <v>27694</v>
      </c>
      <c r="X2222" t="s">
        <v>27695</v>
      </c>
      <c r="Y2222" t="s">
        <v>27696</v>
      </c>
    </row>
    <row r="2223" spans="1:25" x14ac:dyDescent="0.3">
      <c r="A2223">
        <v>111100</v>
      </c>
      <c r="B2223" t="s">
        <v>27697</v>
      </c>
      <c r="C2223" t="s">
        <v>27698</v>
      </c>
      <c r="D2223" t="s">
        <v>27699</v>
      </c>
      <c r="E2223" t="s">
        <v>27700</v>
      </c>
      <c r="F2223" t="s">
        <v>27701</v>
      </c>
      <c r="G2223" t="s">
        <v>27702</v>
      </c>
      <c r="H2223" t="s">
        <v>27703</v>
      </c>
      <c r="I2223" t="s">
        <v>27704</v>
      </c>
      <c r="J2223" t="s">
        <v>27705</v>
      </c>
      <c r="K2223" t="s">
        <v>27706</v>
      </c>
      <c r="L2223" t="s">
        <v>27707</v>
      </c>
      <c r="M2223" t="s">
        <v>27708</v>
      </c>
      <c r="N2223">
        <f>-773.889324025619 -23.9501221778801 -555.792110949958</f>
        <v>-1353.6315571534569</v>
      </c>
      <c r="O2223">
        <f>-748.458509762109 -154.671197265519 -521.77497333469</f>
        <v>-1424.904680362318</v>
      </c>
      <c r="P2223">
        <f>-751.773705910713 -199.30757692453 -230.935234745538</f>
        <v>-1182.0165175807811</v>
      </c>
      <c r="Q2223">
        <f>-603.698317190294 -37.2383734634623 -330.22317786106</f>
        <v>-971.15986851481625</v>
      </c>
      <c r="R2223" t="s">
        <v>27709</v>
      </c>
      <c r="S2223" t="s">
        <v>27710</v>
      </c>
      <c r="T2223" t="s">
        <v>27711</v>
      </c>
      <c r="U2223" t="s">
        <v>27712</v>
      </c>
      <c r="V2223">
        <f>-739.010988578843 -61.0065595957117 -93.3210078745382</f>
        <v>-893.33855604909286</v>
      </c>
      <c r="W2223" t="s">
        <v>27713</v>
      </c>
      <c r="X2223" t="s">
        <v>27714</v>
      </c>
      <c r="Y2223" t="s">
        <v>27715</v>
      </c>
    </row>
    <row r="2224" spans="1:25" x14ac:dyDescent="0.3">
      <c r="A2224">
        <v>111150</v>
      </c>
      <c r="B2224" t="s">
        <v>27716</v>
      </c>
      <c r="C2224" t="s">
        <v>27717</v>
      </c>
      <c r="D2224" t="s">
        <v>27718</v>
      </c>
      <c r="E2224" t="s">
        <v>27719</v>
      </c>
      <c r="F2224" t="s">
        <v>27720</v>
      </c>
      <c r="G2224" t="s">
        <v>27721</v>
      </c>
      <c r="H2224" t="s">
        <v>27722</v>
      </c>
      <c r="I2224" t="s">
        <v>27723</v>
      </c>
      <c r="J2224" t="s">
        <v>27724</v>
      </c>
      <c r="K2224" t="s">
        <v>27725</v>
      </c>
      <c r="L2224" t="s">
        <v>27726</v>
      </c>
      <c r="M2224" t="s">
        <v>27727</v>
      </c>
      <c r="N2224">
        <f>-775.524408778258 -19.4116025986314 -556.057634441837</f>
        <v>-1350.9936458187262</v>
      </c>
      <c r="O2224">
        <f>-750.775930825417 -150.349805707436 -522.346741011225</f>
        <v>-1423.4724775440782</v>
      </c>
      <c r="P2224">
        <f>-754.682716790962 -195.307206093571 -231.563654250502</f>
        <v>-1181.5535771350351</v>
      </c>
      <c r="Q2224">
        <f>-606.021971668477 -33.4672754689534 -330.350116536538</f>
        <v>-969.83936367396836</v>
      </c>
      <c r="R2224" t="s">
        <v>27728</v>
      </c>
      <c r="S2224" t="s">
        <v>27729</v>
      </c>
      <c r="T2224" t="s">
        <v>27730</v>
      </c>
      <c r="U2224" t="s">
        <v>27731</v>
      </c>
      <c r="V2224">
        <f>-740.408117916335 -57.7737634779071 -93.5690184950761</f>
        <v>-891.75089988931813</v>
      </c>
      <c r="W2224" t="s">
        <v>27732</v>
      </c>
      <c r="X2224" t="s">
        <v>27733</v>
      </c>
      <c r="Y2224" t="s">
        <v>27734</v>
      </c>
    </row>
    <row r="2225" spans="1:25" x14ac:dyDescent="0.3">
      <c r="A2225">
        <v>111200</v>
      </c>
      <c r="B2225" t="s">
        <v>27735</v>
      </c>
      <c r="C2225" t="s">
        <v>27736</v>
      </c>
      <c r="D2225" t="s">
        <v>27737</v>
      </c>
      <c r="E2225" t="s">
        <v>27738</v>
      </c>
      <c r="F2225" t="s">
        <v>27739</v>
      </c>
      <c r="G2225" t="s">
        <v>27740</v>
      </c>
      <c r="H2225" t="s">
        <v>27741</v>
      </c>
      <c r="I2225" t="s">
        <v>27742</v>
      </c>
      <c r="J2225" t="s">
        <v>27743</v>
      </c>
      <c r="K2225" t="s">
        <v>27744</v>
      </c>
      <c r="L2225" t="s">
        <v>27745</v>
      </c>
      <c r="M2225" t="s">
        <v>27746</v>
      </c>
      <c r="N2225">
        <f>-779.568476919625 -8.02845829393823 -556.284382039768</f>
        <v>-1343.8813172533314</v>
      </c>
      <c r="O2225">
        <f>-756.44442180541 -139.47309315913 -523.364886033227</f>
        <v>-1419.2824009977671</v>
      </c>
      <c r="P2225">
        <f>-761.353811154944 -185.314061875549 -232.735103202767</f>
        <v>-1179.40297623326</v>
      </c>
      <c r="Q2225">
        <f>-611.108254781821 -24.3387857918069 -330.531467761515</f>
        <v>-965.97850833514281</v>
      </c>
      <c r="R2225" t="s">
        <v>27747</v>
      </c>
      <c r="S2225" t="s">
        <v>27748</v>
      </c>
      <c r="T2225" t="s">
        <v>27749</v>
      </c>
      <c r="U2225" t="s">
        <v>27750</v>
      </c>
      <c r="V2225">
        <f>-743.798478470392 -49.4082263506702 -93.9092143752703</f>
        <v>-887.11591919633247</v>
      </c>
      <c r="W2225" t="s">
        <v>27751</v>
      </c>
      <c r="X2225" t="s">
        <v>27752</v>
      </c>
      <c r="Y2225" t="s">
        <v>27753</v>
      </c>
    </row>
    <row r="2226" spans="1:25" x14ac:dyDescent="0.3">
      <c r="A2226">
        <v>111250</v>
      </c>
      <c r="B2226" t="s">
        <v>27754</v>
      </c>
      <c r="C2226" t="s">
        <v>27755</v>
      </c>
      <c r="D2226" t="s">
        <v>27756</v>
      </c>
      <c r="E2226" t="s">
        <v>27757</v>
      </c>
      <c r="F2226" t="s">
        <v>27758</v>
      </c>
      <c r="G2226" t="s">
        <v>27759</v>
      </c>
      <c r="H2226" t="s">
        <v>27760</v>
      </c>
      <c r="I2226" t="s">
        <v>27761</v>
      </c>
      <c r="J2226" t="s">
        <v>27762</v>
      </c>
      <c r="K2226" t="s">
        <v>27763</v>
      </c>
      <c r="L2226" t="s">
        <v>27764</v>
      </c>
      <c r="M2226" t="s">
        <v>27765</v>
      </c>
      <c r="N2226">
        <f>-780.253994604055 -5.83050706963945 -556.274009771426</f>
        <v>-1342.3585114451205</v>
      </c>
      <c r="O2226">
        <f>-757.435505659872 -137.379546357625 -523.547040854582</f>
        <v>-1418.3620928720788</v>
      </c>
      <c r="P2226">
        <f>-762.554999982 -183.456319064456 -232.958041830789</f>
        <v>-1178.969360877245</v>
      </c>
      <c r="Q2226">
        <f>-611.850136568816 -22.7487550388169 -330.487546492751</f>
        <v>-965.08643810038382</v>
      </c>
      <c r="R2226" t="s">
        <v>27766</v>
      </c>
      <c r="S2226" t="s">
        <v>27767</v>
      </c>
      <c r="T2226" t="s">
        <v>27768</v>
      </c>
      <c r="U2226" t="s">
        <v>27769</v>
      </c>
      <c r="V2226">
        <f>-744.443941298084 -47.7923548307697 -93.9027706917049</f>
        <v>-886.13906682055858</v>
      </c>
      <c r="W2226" t="s">
        <v>27770</v>
      </c>
      <c r="X2226" t="s">
        <v>27771</v>
      </c>
      <c r="Y2226" t="s">
        <v>27772</v>
      </c>
    </row>
    <row r="2227" spans="1:25" x14ac:dyDescent="0.3">
      <c r="A2227">
        <v>111300</v>
      </c>
      <c r="B2227" t="s">
        <v>27773</v>
      </c>
      <c r="C2227" t="s">
        <v>27774</v>
      </c>
      <c r="D2227" t="s">
        <v>27775</v>
      </c>
      <c r="E2227" t="s">
        <v>27776</v>
      </c>
      <c r="F2227" t="s">
        <v>27777</v>
      </c>
      <c r="G2227" t="s">
        <v>27778</v>
      </c>
      <c r="H2227" t="s">
        <v>27779</v>
      </c>
      <c r="I2227" t="s">
        <v>27780</v>
      </c>
      <c r="J2227" t="s">
        <v>27781</v>
      </c>
      <c r="K2227" t="s">
        <v>27782</v>
      </c>
      <c r="L2227" t="s">
        <v>27783</v>
      </c>
      <c r="M2227" t="s">
        <v>27784</v>
      </c>
      <c r="N2227" t="s">
        <v>27785</v>
      </c>
      <c r="O2227">
        <f>-761.342136532542 -129.479538731413 -524.250583702826</f>
        <v>-1415.072258966781</v>
      </c>
      <c r="P2227">
        <f>-766.905064390052 -177.041783882412 -233.909292372172</f>
        <v>-1177.8561406446361</v>
      </c>
      <c r="Q2227">
        <f>-614.488201356434 -17.1451458067147 -330.101962573757</f>
        <v>-961.73530973690572</v>
      </c>
      <c r="R2227" t="s">
        <v>27786</v>
      </c>
      <c r="S2227" t="s">
        <v>27787</v>
      </c>
      <c r="T2227" t="s">
        <v>27788</v>
      </c>
      <c r="U2227" t="s">
        <v>27789</v>
      </c>
      <c r="V2227">
        <f>-746.555930374032 -42.1358952220471 -93.8281392397054</f>
        <v>-882.51996483578444</v>
      </c>
      <c r="W2227" t="s">
        <v>27790</v>
      </c>
      <c r="X2227" t="s">
        <v>27791</v>
      </c>
      <c r="Y2227" t="s">
        <v>27792</v>
      </c>
    </row>
    <row r="2228" spans="1:25" x14ac:dyDescent="0.3">
      <c r="A2228">
        <v>111350</v>
      </c>
      <c r="B2228" t="s">
        <v>27793</v>
      </c>
      <c r="C2228" t="s">
        <v>27794</v>
      </c>
      <c r="D2228" t="s">
        <v>27795</v>
      </c>
      <c r="E2228" t="s">
        <v>27796</v>
      </c>
      <c r="F2228" t="s">
        <v>27797</v>
      </c>
      <c r="G2228" t="s">
        <v>27798</v>
      </c>
      <c r="H2228" t="s">
        <v>27799</v>
      </c>
      <c r="I2228" t="s">
        <v>27800</v>
      </c>
      <c r="J2228" t="s">
        <v>27801</v>
      </c>
      <c r="K2228" t="s">
        <v>27802</v>
      </c>
      <c r="L2228" t="s">
        <v>27803</v>
      </c>
      <c r="M2228" t="s">
        <v>27804</v>
      </c>
      <c r="N2228" t="s">
        <v>27805</v>
      </c>
      <c r="O2228">
        <f>-763.244678171437 -126.20080712017 -524.513761361898</f>
        <v>-1413.959246653505</v>
      </c>
      <c r="P2228">
        <f>-768.917781285315 -174.534704515062 -234.302020224643</f>
        <v>-1177.75450602502</v>
      </c>
      <c r="Q2228">
        <f>-615.527333596109 -15.1497978803911 -329.79376020157</f>
        <v>-960.47089167807007</v>
      </c>
      <c r="R2228" t="s">
        <v>27806</v>
      </c>
      <c r="S2228" t="s">
        <v>27807</v>
      </c>
      <c r="T2228" t="s">
        <v>27808</v>
      </c>
      <c r="U2228" t="s">
        <v>27809</v>
      </c>
      <c r="V2228">
        <f>-747.442314305422 -40.0410556838176 -93.6971683493867</f>
        <v>-881.18053833862632</v>
      </c>
      <c r="W2228" t="s">
        <v>27810</v>
      </c>
      <c r="X2228" t="s">
        <v>27811</v>
      </c>
      <c r="Y2228" t="s">
        <v>27812</v>
      </c>
    </row>
    <row r="2229" spans="1:25" x14ac:dyDescent="0.3">
      <c r="A2229">
        <v>111400</v>
      </c>
      <c r="B2229" t="s">
        <v>27813</v>
      </c>
      <c r="C2229" t="s">
        <v>27814</v>
      </c>
      <c r="D2229" t="s">
        <v>27815</v>
      </c>
      <c r="E2229" t="s">
        <v>27816</v>
      </c>
      <c r="F2229" t="s">
        <v>27817</v>
      </c>
      <c r="G2229" t="s">
        <v>27818</v>
      </c>
      <c r="H2229" t="s">
        <v>27819</v>
      </c>
      <c r="I2229" t="s">
        <v>27820</v>
      </c>
      <c r="J2229" t="s">
        <v>27821</v>
      </c>
      <c r="K2229" t="s">
        <v>27822</v>
      </c>
      <c r="L2229" t="s">
        <v>27823</v>
      </c>
      <c r="M2229" t="s">
        <v>27824</v>
      </c>
      <c r="N2229" t="s">
        <v>27825</v>
      </c>
      <c r="O2229">
        <f>-765.234435130698 -123.277723694731 -524.685302866485</f>
        <v>-1413.197461691914</v>
      </c>
      <c r="P2229">
        <f>-770.901195742648 -172.359022917571 -234.598856123569</f>
        <v>-1177.8590747837879</v>
      </c>
      <c r="Q2229">
        <f>-616.606064468793 -13.5176535418452 -329.537131220359</f>
        <v>-959.6608492309972</v>
      </c>
      <c r="R2229" t="s">
        <v>27826</v>
      </c>
      <c r="S2229" t="s">
        <v>27827</v>
      </c>
      <c r="T2229" t="s">
        <v>27828</v>
      </c>
      <c r="U2229" t="s">
        <v>27829</v>
      </c>
      <c r="V2229">
        <f>-748.271524221966 -38.0519425347868 -93.5206515799597</f>
        <v>-879.84411833671254</v>
      </c>
      <c r="W2229" t="s">
        <v>27830</v>
      </c>
      <c r="X2229" t="s">
        <v>27831</v>
      </c>
      <c r="Y2229" t="s">
        <v>27832</v>
      </c>
    </row>
    <row r="2230" spans="1:25" x14ac:dyDescent="0.3">
      <c r="A2230">
        <v>111450</v>
      </c>
      <c r="B2230" t="s">
        <v>27833</v>
      </c>
      <c r="C2230" t="s">
        <v>27834</v>
      </c>
      <c r="D2230" t="s">
        <v>27835</v>
      </c>
      <c r="E2230" t="s">
        <v>27836</v>
      </c>
      <c r="F2230" t="s">
        <v>27837</v>
      </c>
      <c r="G2230" t="s">
        <v>27838</v>
      </c>
      <c r="H2230" t="s">
        <v>27839</v>
      </c>
      <c r="I2230" t="s">
        <v>27840</v>
      </c>
      <c r="J2230" t="s">
        <v>27841</v>
      </c>
      <c r="K2230" t="s">
        <v>27842</v>
      </c>
      <c r="L2230" t="s">
        <v>27843</v>
      </c>
      <c r="M2230" t="s">
        <v>27844</v>
      </c>
      <c r="N2230" t="s">
        <v>27845</v>
      </c>
      <c r="O2230">
        <f>-769.488838014619 -117.874201340291 -525.031066883764</f>
        <v>-1412.3941062386739</v>
      </c>
      <c r="P2230">
        <f>-775.025657326121 -168.055503761464 -235.130381620403</f>
        <v>-1178.211542707988</v>
      </c>
      <c r="Q2230">
        <f>-618.751172358006 -10.6770067933026 -329.264067730374</f>
        <v>-958.69224688168254</v>
      </c>
      <c r="R2230" t="s">
        <v>27846</v>
      </c>
      <c r="S2230" t="s">
        <v>27847</v>
      </c>
      <c r="T2230" t="s">
        <v>27848</v>
      </c>
      <c r="U2230" t="s">
        <v>27849</v>
      </c>
      <c r="V2230">
        <f>-749.664173362327 -34.2164587202951 -93.2400698912845</f>
        <v>-877.12070197390665</v>
      </c>
      <c r="W2230" t="s">
        <v>27850</v>
      </c>
      <c r="X2230" t="s">
        <v>27851</v>
      </c>
      <c r="Y2230" t="s">
        <v>27852</v>
      </c>
    </row>
    <row r="2231" spans="1:25" x14ac:dyDescent="0.3">
      <c r="A2231">
        <v>111500</v>
      </c>
      <c r="B2231" t="s">
        <v>27853</v>
      </c>
      <c r="C2231" t="s">
        <v>27854</v>
      </c>
      <c r="D2231" t="s">
        <v>27855</v>
      </c>
      <c r="E2231" t="s">
        <v>27856</v>
      </c>
      <c r="F2231" t="s">
        <v>27857</v>
      </c>
      <c r="G2231" t="s">
        <v>27858</v>
      </c>
      <c r="H2231" t="s">
        <v>27859</v>
      </c>
      <c r="I2231" t="s">
        <v>27860</v>
      </c>
      <c r="J2231" t="s">
        <v>27861</v>
      </c>
      <c r="K2231" t="s">
        <v>27862</v>
      </c>
      <c r="L2231" t="s">
        <v>27863</v>
      </c>
      <c r="M2231" t="s">
        <v>27864</v>
      </c>
      <c r="N2231" t="s">
        <v>27865</v>
      </c>
      <c r="O2231">
        <f>-772.677887064364 -112.927438090114 -525.510914652412</f>
        <v>-1411.11623980689</v>
      </c>
      <c r="P2231">
        <f>-778.312171079806 -164.073664653638 -235.780834737118</f>
        <v>-1178.1666704705622</v>
      </c>
      <c r="Q2231">
        <f>-620.292581646353 -7.89478913366725 -328.994911213865</f>
        <v>-957.18228199388523</v>
      </c>
      <c r="R2231" t="s">
        <v>27866</v>
      </c>
      <c r="S2231" t="s">
        <v>27867</v>
      </c>
      <c r="T2231" t="s">
        <v>27868</v>
      </c>
      <c r="U2231" t="s">
        <v>27869</v>
      </c>
      <c r="V2231">
        <f>-750.737171705616 -30.6729231966904 -93.0125862273446</f>
        <v>-874.42268112965098</v>
      </c>
      <c r="W2231" t="s">
        <v>27870</v>
      </c>
      <c r="X2231" t="s">
        <v>27871</v>
      </c>
      <c r="Y2231" t="s">
        <v>27872</v>
      </c>
    </row>
    <row r="2232" spans="1:25" x14ac:dyDescent="0.3">
      <c r="A2232">
        <v>111550</v>
      </c>
      <c r="B2232" t="s">
        <v>27873</v>
      </c>
      <c r="C2232" t="s">
        <v>27874</v>
      </c>
      <c r="D2232" t="s">
        <v>27875</v>
      </c>
      <c r="E2232" t="s">
        <v>27876</v>
      </c>
      <c r="F2232" t="s">
        <v>27877</v>
      </c>
      <c r="G2232" t="s">
        <v>27878</v>
      </c>
      <c r="H2232" t="s">
        <v>27879</v>
      </c>
      <c r="I2232" t="s">
        <v>27880</v>
      </c>
      <c r="J2232" t="s">
        <v>27881</v>
      </c>
      <c r="K2232" t="s">
        <v>27882</v>
      </c>
      <c r="L2232" t="s">
        <v>27883</v>
      </c>
      <c r="M2232" t="s">
        <v>27884</v>
      </c>
      <c r="N2232" t="s">
        <v>27885</v>
      </c>
      <c r="O2232">
        <f>-773.768491313757 -110.762090709944 -525.734596925237</f>
        <v>-1410.265178948938</v>
      </c>
      <c r="P2232">
        <f>-779.716273810224 -162.412639395349 -236.100133247518</f>
        <v>-1178.2290464530911</v>
      </c>
      <c r="Q2232">
        <f>-620.930223862984 -6.64880223280079 -328.704314769838</f>
        <v>-956.28334086562279</v>
      </c>
      <c r="R2232" t="s">
        <v>27886</v>
      </c>
      <c r="S2232" t="s">
        <v>27887</v>
      </c>
      <c r="T2232" t="s">
        <v>27888</v>
      </c>
      <c r="U2232" t="s">
        <v>27889</v>
      </c>
      <c r="V2232">
        <f>-751.181469156303 -29.157906598625 -92.896592467193</f>
        <v>-873.23596822212107</v>
      </c>
      <c r="W2232" t="s">
        <v>27890</v>
      </c>
      <c r="X2232" t="s">
        <v>27891</v>
      </c>
      <c r="Y2232" t="s">
        <v>27892</v>
      </c>
    </row>
    <row r="2233" spans="1:25" x14ac:dyDescent="0.3">
      <c r="A2233">
        <v>111600</v>
      </c>
      <c r="B2233" t="s">
        <v>27893</v>
      </c>
      <c r="C2233" t="s">
        <v>27894</v>
      </c>
      <c r="D2233" t="s">
        <v>27895</v>
      </c>
      <c r="E2233" t="s">
        <v>27896</v>
      </c>
      <c r="F2233" t="s">
        <v>27897</v>
      </c>
      <c r="G2233" t="s">
        <v>27898</v>
      </c>
      <c r="H2233" t="s">
        <v>27899</v>
      </c>
      <c r="I2233" t="s">
        <v>27900</v>
      </c>
      <c r="J2233" t="s">
        <v>27901</v>
      </c>
      <c r="K2233" t="s">
        <v>27902</v>
      </c>
      <c r="L2233" t="s">
        <v>27903</v>
      </c>
      <c r="M2233" t="s">
        <v>27904</v>
      </c>
      <c r="N2233" t="s">
        <v>27905</v>
      </c>
      <c r="O2233">
        <f>-775.094343539944 -106.744140195821 -526.155586861471</f>
        <v>-1407.994070597236</v>
      </c>
      <c r="P2233">
        <f>-781.541042253235 -159.761833201468 -236.778944411964</f>
        <v>-1178.081819866667</v>
      </c>
      <c r="Q2233">
        <f>-621.831431853482 -4.08363984692596 -327.927339417027</f>
        <v>-953.84241111743495</v>
      </c>
      <c r="R2233" t="s">
        <v>27906</v>
      </c>
      <c r="S2233" t="s">
        <v>27907</v>
      </c>
      <c r="T2233" t="s">
        <v>27908</v>
      </c>
      <c r="U2233" t="s">
        <v>27909</v>
      </c>
      <c r="V2233">
        <f>-752.007878939907 -26.3296483933304 -92.6563539241733</f>
        <v>-870.99388125741075</v>
      </c>
      <c r="W2233" t="s">
        <v>27910</v>
      </c>
      <c r="X2233" t="s">
        <v>27911</v>
      </c>
      <c r="Y2233" t="s">
        <v>27912</v>
      </c>
    </row>
    <row r="2234" spans="1:25" x14ac:dyDescent="0.3">
      <c r="A2234">
        <v>111650</v>
      </c>
      <c r="B2234" t="s">
        <v>27913</v>
      </c>
      <c r="C2234" t="s">
        <v>27914</v>
      </c>
      <c r="D2234" t="s">
        <v>27915</v>
      </c>
      <c r="E2234" t="s">
        <v>27916</v>
      </c>
      <c r="F2234" t="s">
        <v>27917</v>
      </c>
      <c r="G2234" t="s">
        <v>27918</v>
      </c>
      <c r="H2234" t="s">
        <v>27919</v>
      </c>
      <c r="I2234" t="s">
        <v>27920</v>
      </c>
      <c r="J2234" t="s">
        <v>27921</v>
      </c>
      <c r="K2234" t="s">
        <v>27922</v>
      </c>
      <c r="L2234" t="s">
        <v>27923</v>
      </c>
      <c r="M2234" t="s">
        <v>27924</v>
      </c>
      <c r="N2234" t="s">
        <v>27925</v>
      </c>
      <c r="O2234">
        <f>-775.593430965221 -105.020261661091 -526.356416419518</f>
        <v>-1406.9701090458302</v>
      </c>
      <c r="P2234">
        <f>-782.205899556045 -158.626068932402 -237.092068768798</f>
        <v>-1177.9240372572451</v>
      </c>
      <c r="Q2234">
        <f>-622.204931540121 -2.87695308546722 -327.605915393948</f>
        <v>-952.68780001953633</v>
      </c>
      <c r="R2234" t="s">
        <v>27926</v>
      </c>
      <c r="S2234" t="s">
        <v>27927</v>
      </c>
      <c r="T2234" t="s">
        <v>27928</v>
      </c>
      <c r="U2234" t="s">
        <v>27929</v>
      </c>
      <c r="V2234">
        <f>-752.40432769527 -25.3678156094131 -92.5494817472696</f>
        <v>-870.32162505195276</v>
      </c>
      <c r="W2234" t="s">
        <v>27930</v>
      </c>
      <c r="X2234" t="s">
        <v>27931</v>
      </c>
      <c r="Y2234" t="s">
        <v>27932</v>
      </c>
    </row>
    <row r="2235" spans="1:25" x14ac:dyDescent="0.3">
      <c r="A2235">
        <v>111700</v>
      </c>
      <c r="B2235" t="s">
        <v>27933</v>
      </c>
      <c r="C2235" t="s">
        <v>27934</v>
      </c>
      <c r="D2235" t="s">
        <v>27935</v>
      </c>
      <c r="E2235" t="s">
        <v>27936</v>
      </c>
      <c r="F2235" t="s">
        <v>27937</v>
      </c>
      <c r="G2235" t="s">
        <v>27938</v>
      </c>
      <c r="H2235" t="s">
        <v>27939</v>
      </c>
      <c r="I2235" t="s">
        <v>27940</v>
      </c>
      <c r="J2235" t="s">
        <v>27941</v>
      </c>
      <c r="K2235" t="s">
        <v>27942</v>
      </c>
      <c r="L2235" t="s">
        <v>27943</v>
      </c>
      <c r="M2235" t="s">
        <v>27944</v>
      </c>
      <c r="N2235" t="s">
        <v>27945</v>
      </c>
      <c r="O2235">
        <f>-776.488007537381 -102.266216280492 -526.698453824011</f>
        <v>-1405.4526776418841</v>
      </c>
      <c r="P2235">
        <f>-783.039222825963 -157.090237591794 -237.661132757944</f>
        <v>-1177.7905931757009</v>
      </c>
      <c r="Q2235">
        <f>-622.84902154285 -0.857357622992595 -326.999080583665</f>
        <v>-950.70545974950755</v>
      </c>
      <c r="R2235" t="s">
        <v>27946</v>
      </c>
      <c r="S2235" t="s">
        <v>27947</v>
      </c>
      <c r="T2235" t="s">
        <v>27948</v>
      </c>
      <c r="U2235" t="s">
        <v>27949</v>
      </c>
      <c r="V2235">
        <f>-753.016379240013 -23.8536436381294 -92.3420788126649</f>
        <v>-869.21210169080723</v>
      </c>
      <c r="W2235" t="s">
        <v>27950</v>
      </c>
      <c r="X2235" t="s">
        <v>27951</v>
      </c>
      <c r="Y2235" t="s">
        <v>27952</v>
      </c>
    </row>
    <row r="2236" spans="1:25" x14ac:dyDescent="0.3">
      <c r="A2236">
        <v>111750</v>
      </c>
      <c r="B2236" t="s">
        <v>27953</v>
      </c>
      <c r="C2236" t="s">
        <v>27954</v>
      </c>
      <c r="D2236" t="s">
        <v>27955</v>
      </c>
      <c r="E2236" t="s">
        <v>27956</v>
      </c>
      <c r="F2236" t="s">
        <v>27957</v>
      </c>
      <c r="G2236" t="s">
        <v>27958</v>
      </c>
      <c r="H2236" t="s">
        <v>27959</v>
      </c>
      <c r="I2236" t="s">
        <v>27960</v>
      </c>
      <c r="J2236" t="s">
        <v>27961</v>
      </c>
      <c r="K2236" t="s">
        <v>27962</v>
      </c>
      <c r="L2236" t="s">
        <v>27963</v>
      </c>
      <c r="M2236" t="s">
        <v>27964</v>
      </c>
      <c r="N2236" t="s">
        <v>27965</v>
      </c>
      <c r="O2236">
        <f>-776.743462524919 -101.053109798323 -526.935525031927</f>
        <v>-1404.7320973551691</v>
      </c>
      <c r="P2236">
        <f>-783.298051539093 -156.467702199265 -238.010859522525</f>
        <v>-1177.7766132608829</v>
      </c>
      <c r="Q2236" t="s">
        <v>27966</v>
      </c>
      <c r="R2236" t="s">
        <v>27967</v>
      </c>
      <c r="S2236" t="s">
        <v>27968</v>
      </c>
      <c r="T2236" t="s">
        <v>27969</v>
      </c>
      <c r="U2236" t="s">
        <v>27970</v>
      </c>
      <c r="V2236">
        <f>-753.18166114119 -23.1318696759138 -92.2340027408143</f>
        <v>-868.54753355791809</v>
      </c>
      <c r="W2236" t="s">
        <v>27971</v>
      </c>
      <c r="X2236" t="s">
        <v>27972</v>
      </c>
      <c r="Y2236" t="s">
        <v>27973</v>
      </c>
    </row>
    <row r="2237" spans="1:25" x14ac:dyDescent="0.3">
      <c r="A2237">
        <v>111800</v>
      </c>
      <c r="B2237" t="s">
        <v>27974</v>
      </c>
      <c r="C2237" t="s">
        <v>27975</v>
      </c>
      <c r="D2237" t="s">
        <v>27976</v>
      </c>
      <c r="E2237" t="s">
        <v>27977</v>
      </c>
      <c r="F2237" t="s">
        <v>27978</v>
      </c>
      <c r="G2237" t="s">
        <v>27979</v>
      </c>
      <c r="H2237" t="s">
        <v>27980</v>
      </c>
      <c r="I2237" t="s">
        <v>27981</v>
      </c>
      <c r="J2237" t="s">
        <v>27982</v>
      </c>
      <c r="K2237" t="s">
        <v>27983</v>
      </c>
      <c r="L2237" t="s">
        <v>27984</v>
      </c>
      <c r="M2237" t="s">
        <v>27985</v>
      </c>
      <c r="N2237" t="s">
        <v>27986</v>
      </c>
      <c r="O2237">
        <f>-776.92523156139 -99.1212289776615 -527.309889608762</f>
        <v>-1403.3563501478134</v>
      </c>
      <c r="P2237">
        <f>-783.117468405033 -155.854213370996 -238.633155281857</f>
        <v>-1177.604837057886</v>
      </c>
      <c r="Q2237" t="s">
        <v>27987</v>
      </c>
      <c r="R2237" t="s">
        <v>27988</v>
      </c>
      <c r="S2237" t="s">
        <v>27989</v>
      </c>
      <c r="T2237" t="s">
        <v>27990</v>
      </c>
      <c r="U2237" t="s">
        <v>27991</v>
      </c>
      <c r="V2237">
        <f>-753.352517189353 -22.2228866758937 -92.0389716638468</f>
        <v>-867.61437552909354</v>
      </c>
      <c r="W2237" t="s">
        <v>27992</v>
      </c>
      <c r="X2237" t="s">
        <v>27993</v>
      </c>
      <c r="Y2237" t="s">
        <v>27994</v>
      </c>
    </row>
    <row r="2238" spans="1:25" x14ac:dyDescent="0.3">
      <c r="A2238">
        <v>111850</v>
      </c>
      <c r="B2238" t="s">
        <v>27995</v>
      </c>
      <c r="C2238" t="s">
        <v>27996</v>
      </c>
      <c r="D2238" t="s">
        <v>27997</v>
      </c>
      <c r="E2238" t="s">
        <v>27998</v>
      </c>
      <c r="F2238" t="s">
        <v>27999</v>
      </c>
      <c r="G2238" t="s">
        <v>28000</v>
      </c>
      <c r="H2238" t="s">
        <v>28001</v>
      </c>
      <c r="I2238" t="s">
        <v>28002</v>
      </c>
      <c r="J2238" t="s">
        <v>28003</v>
      </c>
      <c r="K2238" t="s">
        <v>28004</v>
      </c>
      <c r="L2238" t="s">
        <v>28005</v>
      </c>
      <c r="M2238" t="s">
        <v>28006</v>
      </c>
      <c r="N2238" t="s">
        <v>28007</v>
      </c>
      <c r="O2238">
        <f>-777.02249873225 -98.3437688210563 -527.481373529429</f>
        <v>-1402.8476410827352</v>
      </c>
      <c r="P2238">
        <f>-783.000284469043 -155.561091155724 -238.895854564324</f>
        <v>-1177.457230189091</v>
      </c>
      <c r="Q2238" t="s">
        <v>28008</v>
      </c>
      <c r="R2238" t="s">
        <v>28009</v>
      </c>
      <c r="S2238" t="s">
        <v>28010</v>
      </c>
      <c r="T2238" t="s">
        <v>28011</v>
      </c>
      <c r="U2238" t="s">
        <v>28012</v>
      </c>
      <c r="V2238">
        <f>-753.355401709783 -21.9113517148344 -91.9775659537427</f>
        <v>-867.24431937836005</v>
      </c>
      <c r="W2238" t="s">
        <v>28013</v>
      </c>
      <c r="X2238" t="s">
        <v>28014</v>
      </c>
      <c r="Y2238" t="s">
        <v>28015</v>
      </c>
    </row>
    <row r="2239" spans="1:25" x14ac:dyDescent="0.3">
      <c r="A2239">
        <v>111900</v>
      </c>
      <c r="B2239" t="s">
        <v>28016</v>
      </c>
      <c r="C2239" t="s">
        <v>28017</v>
      </c>
      <c r="D2239" t="s">
        <v>28018</v>
      </c>
      <c r="E2239" t="s">
        <v>28019</v>
      </c>
      <c r="F2239" t="s">
        <v>28020</v>
      </c>
      <c r="G2239" t="s">
        <v>28021</v>
      </c>
      <c r="H2239" t="s">
        <v>28022</v>
      </c>
      <c r="I2239" t="s">
        <v>28023</v>
      </c>
      <c r="J2239" t="s">
        <v>28024</v>
      </c>
      <c r="K2239" t="s">
        <v>28025</v>
      </c>
      <c r="L2239" t="s">
        <v>28026</v>
      </c>
      <c r="M2239" t="s">
        <v>28027</v>
      </c>
      <c r="N2239" t="s">
        <v>28028</v>
      </c>
      <c r="O2239">
        <f>-777.042245796808 -97.6046977379406 -527.720240315179</f>
        <v>-1402.3671838499276</v>
      </c>
      <c r="P2239">
        <f>-782.499675460579 -155.470783561933 -239.253626958765</f>
        <v>-1177.2240859812771</v>
      </c>
      <c r="Q2239" t="s">
        <v>28029</v>
      </c>
      <c r="R2239" t="s">
        <v>28030</v>
      </c>
      <c r="S2239" t="s">
        <v>28031</v>
      </c>
      <c r="T2239" t="s">
        <v>28032</v>
      </c>
      <c r="U2239" t="s">
        <v>28033</v>
      </c>
      <c r="V2239">
        <f>-753.3168444861 -22.0451317486436 -91.8960463478619</f>
        <v>-867.25802258260546</v>
      </c>
      <c r="W2239" t="s">
        <v>28034</v>
      </c>
      <c r="X2239" t="s">
        <v>28035</v>
      </c>
      <c r="Y2239" t="s">
        <v>28036</v>
      </c>
    </row>
    <row r="2240" spans="1:25" x14ac:dyDescent="0.3">
      <c r="A2240">
        <v>111950</v>
      </c>
      <c r="B2240" t="s">
        <v>28037</v>
      </c>
      <c r="C2240" t="s">
        <v>28038</v>
      </c>
      <c r="D2240" t="s">
        <v>28039</v>
      </c>
      <c r="E2240" t="s">
        <v>28040</v>
      </c>
      <c r="F2240" t="s">
        <v>28041</v>
      </c>
      <c r="G2240" t="s">
        <v>28042</v>
      </c>
      <c r="H2240" t="s">
        <v>28043</v>
      </c>
      <c r="I2240" t="s">
        <v>28044</v>
      </c>
      <c r="J2240" t="s">
        <v>28045</v>
      </c>
      <c r="K2240" t="s">
        <v>28046</v>
      </c>
      <c r="L2240" t="s">
        <v>28047</v>
      </c>
      <c r="M2240" t="s">
        <v>28048</v>
      </c>
      <c r="N2240" t="s">
        <v>28049</v>
      </c>
      <c r="O2240">
        <f>-776.952327745334 -97.4213930968447 -527.829511869861</f>
        <v>-1402.2032327120396</v>
      </c>
      <c r="P2240">
        <f>-782.148849976478 -155.45008889739 -239.390771293275</f>
        <v>-1176.9897101671431</v>
      </c>
      <c r="Q2240" t="s">
        <v>28050</v>
      </c>
      <c r="R2240" t="s">
        <v>28051</v>
      </c>
      <c r="S2240" t="s">
        <v>28052</v>
      </c>
      <c r="T2240" t="s">
        <v>28053</v>
      </c>
      <c r="U2240" t="s">
        <v>28054</v>
      </c>
      <c r="V2240">
        <f>-753.167798359259 -21.9842507225483 -91.8474536548557</f>
        <v>-866.99950273666298</v>
      </c>
      <c r="W2240" t="s">
        <v>28055</v>
      </c>
      <c r="X2240" t="s">
        <v>28056</v>
      </c>
      <c r="Y2240" t="s">
        <v>28057</v>
      </c>
    </row>
    <row r="2241" spans="1:25" x14ac:dyDescent="0.3">
      <c r="A2241">
        <v>112000</v>
      </c>
      <c r="B2241" t="s">
        <v>28058</v>
      </c>
      <c r="C2241" t="s">
        <v>28059</v>
      </c>
      <c r="D2241" t="s">
        <v>28060</v>
      </c>
      <c r="E2241" t="s">
        <v>28061</v>
      </c>
      <c r="F2241" t="s">
        <v>28062</v>
      </c>
      <c r="G2241" t="s">
        <v>28063</v>
      </c>
      <c r="H2241" t="s">
        <v>28064</v>
      </c>
      <c r="I2241" t="s">
        <v>28065</v>
      </c>
      <c r="J2241" t="s">
        <v>28066</v>
      </c>
      <c r="K2241" t="s">
        <v>28067</v>
      </c>
      <c r="L2241" t="s">
        <v>28068</v>
      </c>
      <c r="M2241" t="s">
        <v>28069</v>
      </c>
      <c r="N2241" t="s">
        <v>28070</v>
      </c>
      <c r="O2241">
        <f>-776.807236458094 -97.0184348913747 -527.987737317597</f>
        <v>-1401.8134086670657</v>
      </c>
      <c r="P2241">
        <f>-781.288610877035 -155.478846353284 -239.624292863993</f>
        <v>-1176.3917500943121</v>
      </c>
      <c r="Q2241" t="s">
        <v>28071</v>
      </c>
      <c r="R2241" t="s">
        <v>28072</v>
      </c>
      <c r="S2241" t="s">
        <v>28073</v>
      </c>
      <c r="T2241" t="s">
        <v>28074</v>
      </c>
      <c r="U2241" t="s">
        <v>28075</v>
      </c>
      <c r="V2241">
        <f>-752.79558746769 -21.8837678896257 -91.7489787032582</f>
        <v>-866.42833406057389</v>
      </c>
      <c r="W2241" t="s">
        <v>28076</v>
      </c>
      <c r="X2241" t="s">
        <v>28077</v>
      </c>
      <c r="Y2241" t="s">
        <v>28078</v>
      </c>
    </row>
    <row r="2242" spans="1:25" x14ac:dyDescent="0.3">
      <c r="A2242">
        <v>112050</v>
      </c>
      <c r="B2242" t="s">
        <v>28079</v>
      </c>
      <c r="C2242" t="s">
        <v>28080</v>
      </c>
      <c r="D2242" t="s">
        <v>28081</v>
      </c>
      <c r="E2242" t="s">
        <v>28082</v>
      </c>
      <c r="F2242" t="s">
        <v>28083</v>
      </c>
      <c r="G2242" t="s">
        <v>28084</v>
      </c>
      <c r="H2242" t="s">
        <v>28085</v>
      </c>
      <c r="I2242" t="s">
        <v>28086</v>
      </c>
      <c r="J2242" t="s">
        <v>28087</v>
      </c>
      <c r="K2242" t="s">
        <v>28088</v>
      </c>
      <c r="L2242" t="s">
        <v>28089</v>
      </c>
      <c r="M2242" t="s">
        <v>28090</v>
      </c>
      <c r="N2242" t="s">
        <v>28091</v>
      </c>
      <c r="O2242">
        <f>-776.734643588041 -96.8716089072832 -528.059225158763</f>
        <v>-1401.6654776540872</v>
      </c>
      <c r="P2242">
        <f>-780.806061508104 -155.509538951212 -239.725687510315</f>
        <v>-1176.041287969631</v>
      </c>
      <c r="Q2242" t="s">
        <v>28092</v>
      </c>
      <c r="R2242" t="s">
        <v>28093</v>
      </c>
      <c r="S2242" t="s">
        <v>28094</v>
      </c>
      <c r="T2242" t="s">
        <v>28095</v>
      </c>
      <c r="U2242" t="s">
        <v>28096</v>
      </c>
      <c r="V2242">
        <f>-752.468329299332 -21.7439380476144 -91.7173375391053</f>
        <v>-865.92960488605172</v>
      </c>
      <c r="W2242" t="s">
        <v>28097</v>
      </c>
      <c r="X2242" t="s">
        <v>28098</v>
      </c>
      <c r="Y2242" t="s">
        <v>28099</v>
      </c>
    </row>
    <row r="2243" spans="1:25" x14ac:dyDescent="0.3">
      <c r="A2243">
        <v>112100</v>
      </c>
      <c r="B2243" t="s">
        <v>28100</v>
      </c>
      <c r="C2243" t="s">
        <v>28101</v>
      </c>
      <c r="D2243" t="s">
        <v>28102</v>
      </c>
      <c r="E2243" t="s">
        <v>28103</v>
      </c>
      <c r="F2243" t="s">
        <v>28104</v>
      </c>
      <c r="G2243" t="s">
        <v>28105</v>
      </c>
      <c r="H2243" t="s">
        <v>28106</v>
      </c>
      <c r="I2243" t="s">
        <v>28107</v>
      </c>
      <c r="J2243" t="s">
        <v>28108</v>
      </c>
      <c r="K2243" t="s">
        <v>28109</v>
      </c>
      <c r="L2243" t="s">
        <v>28110</v>
      </c>
      <c r="M2243" t="s">
        <v>28111</v>
      </c>
      <c r="N2243" t="s">
        <v>28112</v>
      </c>
      <c r="O2243">
        <f>-776.715531484391 -96.7620789052546 -528.217126018157</f>
        <v>-1401.6947364078028</v>
      </c>
      <c r="P2243">
        <f>-779.966692137196 -155.517036144771 -239.897053003304</f>
        <v>-1175.380781285271</v>
      </c>
      <c r="Q2243" t="s">
        <v>28113</v>
      </c>
      <c r="R2243" t="s">
        <v>28114</v>
      </c>
      <c r="S2243" t="s">
        <v>28115</v>
      </c>
      <c r="T2243" t="s">
        <v>28116</v>
      </c>
      <c r="U2243" t="s">
        <v>28117</v>
      </c>
      <c r="V2243">
        <f>-751.959130338319 -21.7949615953366 -91.6641802647833</f>
        <v>-865.41827219843901</v>
      </c>
      <c r="W2243" t="s">
        <v>28118</v>
      </c>
      <c r="X2243" t="s">
        <v>28119</v>
      </c>
      <c r="Y2243" t="s">
        <v>28120</v>
      </c>
    </row>
    <row r="2244" spans="1:25" x14ac:dyDescent="0.3">
      <c r="A2244">
        <v>112150</v>
      </c>
      <c r="B2244" t="s">
        <v>28121</v>
      </c>
      <c r="C2244" t="s">
        <v>28122</v>
      </c>
      <c r="D2244" t="s">
        <v>28123</v>
      </c>
      <c r="E2244" t="s">
        <v>28124</v>
      </c>
      <c r="F2244" t="s">
        <v>28125</v>
      </c>
      <c r="G2244" t="s">
        <v>28126</v>
      </c>
      <c r="H2244" t="s">
        <v>28127</v>
      </c>
      <c r="I2244" t="s">
        <v>28128</v>
      </c>
      <c r="J2244" t="s">
        <v>28129</v>
      </c>
      <c r="K2244" t="s">
        <v>28130</v>
      </c>
      <c r="L2244" t="s">
        <v>28131</v>
      </c>
      <c r="M2244" t="s">
        <v>28132</v>
      </c>
      <c r="N2244" t="s">
        <v>28133</v>
      </c>
      <c r="O2244">
        <f>-776.807112783816 -96.8816289214083 -528.305209134333</f>
        <v>-1401.9939508395573</v>
      </c>
      <c r="P2244">
        <f>-779.692400146465 -155.653203778397 -239.984685945012</f>
        <v>-1175.3302898698742</v>
      </c>
      <c r="Q2244" t="s">
        <v>28134</v>
      </c>
      <c r="R2244" t="s">
        <v>28135</v>
      </c>
      <c r="S2244" t="s">
        <v>28136</v>
      </c>
      <c r="T2244" t="s">
        <v>28137</v>
      </c>
      <c r="U2244" t="s">
        <v>28138</v>
      </c>
      <c r="V2244">
        <f>-751.749145750813 -21.8201269097467 -91.6516597735342</f>
        <v>-865.22093243409392</v>
      </c>
      <c r="W2244" t="s">
        <v>28139</v>
      </c>
      <c r="X2244" t="s">
        <v>28140</v>
      </c>
      <c r="Y2244" t="s">
        <v>28141</v>
      </c>
    </row>
    <row r="2245" spans="1:25" x14ac:dyDescent="0.3">
      <c r="A2245">
        <v>112200</v>
      </c>
      <c r="B2245" t="s">
        <v>28142</v>
      </c>
      <c r="C2245" t="s">
        <v>28143</v>
      </c>
      <c r="D2245" t="s">
        <v>28144</v>
      </c>
      <c r="E2245" t="s">
        <v>28145</v>
      </c>
      <c r="F2245" t="s">
        <v>28146</v>
      </c>
      <c r="G2245" t="s">
        <v>28147</v>
      </c>
      <c r="H2245" t="s">
        <v>28148</v>
      </c>
      <c r="I2245" t="s">
        <v>28149</v>
      </c>
      <c r="J2245" t="s">
        <v>28150</v>
      </c>
      <c r="K2245" t="s">
        <v>28151</v>
      </c>
      <c r="L2245" t="s">
        <v>28152</v>
      </c>
      <c r="M2245" t="s">
        <v>28153</v>
      </c>
      <c r="N2245" t="s">
        <v>28154</v>
      </c>
      <c r="O2245">
        <f>-777.19893601528 -96.9532032430661 -528.542196846359</f>
        <v>-1402.6943361047051</v>
      </c>
      <c r="P2245">
        <f>-779.177800475941 -155.944523563639 -240.258855972175</f>
        <v>-1175.3811800117551</v>
      </c>
      <c r="Q2245" t="s">
        <v>28155</v>
      </c>
      <c r="R2245" t="s">
        <v>28156</v>
      </c>
      <c r="S2245" t="s">
        <v>28157</v>
      </c>
      <c r="T2245" t="s">
        <v>28158</v>
      </c>
      <c r="U2245" t="s">
        <v>28159</v>
      </c>
      <c r="V2245">
        <f>-751.32772451969 -21.6275379541903 -91.6597850404258</f>
        <v>-864.61504751430618</v>
      </c>
      <c r="W2245" t="s">
        <v>28160</v>
      </c>
      <c r="X2245" t="s">
        <v>28161</v>
      </c>
      <c r="Y2245" t="s">
        <v>28162</v>
      </c>
    </row>
    <row r="2246" spans="1:25" x14ac:dyDescent="0.3">
      <c r="A2246">
        <v>112250</v>
      </c>
      <c r="B2246" t="s">
        <v>28163</v>
      </c>
      <c r="C2246" t="s">
        <v>28164</v>
      </c>
      <c r="D2246" t="s">
        <v>28165</v>
      </c>
      <c r="E2246" t="s">
        <v>28166</v>
      </c>
      <c r="F2246" t="s">
        <v>28167</v>
      </c>
      <c r="G2246" t="s">
        <v>28168</v>
      </c>
      <c r="H2246" t="s">
        <v>28169</v>
      </c>
      <c r="I2246" t="s">
        <v>28170</v>
      </c>
      <c r="J2246" t="s">
        <v>28171</v>
      </c>
      <c r="K2246" t="s">
        <v>28172</v>
      </c>
      <c r="L2246" t="s">
        <v>28173</v>
      </c>
      <c r="M2246" t="s">
        <v>28174</v>
      </c>
      <c r="N2246" t="s">
        <v>28175</v>
      </c>
      <c r="O2246">
        <f>-777.318316628084 -96.9570517634352 -528.683204838856</f>
        <v>-1402.9585732303751</v>
      </c>
      <c r="P2246">
        <f>-779.024146641585 -156.108978324769 -240.431019574726</f>
        <v>-1175.5641445410799</v>
      </c>
      <c r="Q2246" t="s">
        <v>28176</v>
      </c>
      <c r="R2246" t="s">
        <v>28177</v>
      </c>
      <c r="S2246" t="s">
        <v>28178</v>
      </c>
      <c r="T2246" t="s">
        <v>28179</v>
      </c>
      <c r="U2246" t="s">
        <v>28180</v>
      </c>
      <c r="V2246">
        <f>-751.10981781069 -21.5887619032483 -91.6671851290902</f>
        <v>-864.36576484302839</v>
      </c>
      <c r="W2246" t="s">
        <v>28181</v>
      </c>
      <c r="X2246" t="s">
        <v>28182</v>
      </c>
      <c r="Y2246" t="s">
        <v>28183</v>
      </c>
    </row>
    <row r="2247" spans="1:25" x14ac:dyDescent="0.3">
      <c r="A2247">
        <v>112300</v>
      </c>
      <c r="B2247" t="s">
        <v>28184</v>
      </c>
      <c r="C2247" t="s">
        <v>28185</v>
      </c>
      <c r="D2247" t="s">
        <v>28186</v>
      </c>
      <c r="E2247" t="s">
        <v>28187</v>
      </c>
      <c r="F2247" t="s">
        <v>28188</v>
      </c>
      <c r="G2247" t="s">
        <v>28189</v>
      </c>
      <c r="H2247" t="s">
        <v>28190</v>
      </c>
      <c r="I2247" t="s">
        <v>28191</v>
      </c>
      <c r="J2247" t="s">
        <v>28192</v>
      </c>
      <c r="K2247" t="s">
        <v>28193</v>
      </c>
      <c r="L2247" t="s">
        <v>28194</v>
      </c>
      <c r="M2247" t="s">
        <v>28195</v>
      </c>
      <c r="N2247" t="s">
        <v>28196</v>
      </c>
      <c r="O2247">
        <f>-777.475574522403 -96.8586756239422 -528.982876348618</f>
        <v>-1403.3171264949633</v>
      </c>
      <c r="P2247">
        <f>-778.721407121644 -156.292914230696 -240.78642369627</f>
        <v>-1175.80074504861</v>
      </c>
      <c r="Q2247" t="s">
        <v>28197</v>
      </c>
      <c r="R2247" t="s">
        <v>28198</v>
      </c>
      <c r="S2247" t="s">
        <v>28199</v>
      </c>
      <c r="T2247" t="s">
        <v>28200</v>
      </c>
      <c r="U2247" t="s">
        <v>28201</v>
      </c>
      <c r="V2247">
        <f>-750.782727622144 -21.527954683253 -91.6926835690798</f>
        <v>-864.0033658744768</v>
      </c>
      <c r="W2247" t="s">
        <v>28202</v>
      </c>
      <c r="X2247" t="s">
        <v>28203</v>
      </c>
      <c r="Y2247" t="s">
        <v>28204</v>
      </c>
    </row>
    <row r="2248" spans="1:25" x14ac:dyDescent="0.3">
      <c r="A2248">
        <v>112350</v>
      </c>
      <c r="B2248" t="s">
        <v>28205</v>
      </c>
      <c r="C2248" t="s">
        <v>28206</v>
      </c>
      <c r="D2248" t="s">
        <v>28207</v>
      </c>
      <c r="E2248" t="s">
        <v>28208</v>
      </c>
      <c r="F2248" t="s">
        <v>28209</v>
      </c>
      <c r="G2248" t="s">
        <v>28210</v>
      </c>
      <c r="H2248" t="s">
        <v>28211</v>
      </c>
      <c r="I2248" t="s">
        <v>28212</v>
      </c>
      <c r="J2248" t="s">
        <v>28213</v>
      </c>
      <c r="K2248" t="s">
        <v>28214</v>
      </c>
      <c r="L2248" t="s">
        <v>28215</v>
      </c>
      <c r="M2248" t="s">
        <v>28216</v>
      </c>
      <c r="N2248" t="s">
        <v>28217</v>
      </c>
      <c r="O2248">
        <f>-777.531688769237 -96.7593512415017 -529.130812963891</f>
        <v>-1403.4218529746297</v>
      </c>
      <c r="P2248">
        <f>-778.58595471192 -156.280698319156 -240.95163445605</f>
        <v>-1175.8182874871259</v>
      </c>
      <c r="Q2248" t="s">
        <v>28218</v>
      </c>
      <c r="R2248" t="s">
        <v>28219</v>
      </c>
      <c r="S2248" t="s">
        <v>28220</v>
      </c>
      <c r="T2248" t="s">
        <v>28221</v>
      </c>
      <c r="U2248" t="s">
        <v>28222</v>
      </c>
      <c r="V2248">
        <f>-750.632080170639 -21.5407038704166 -91.7127257019007</f>
        <v>-863.88550974295629</v>
      </c>
      <c r="W2248" t="s">
        <v>28223</v>
      </c>
      <c r="X2248" t="s">
        <v>28224</v>
      </c>
      <c r="Y2248" t="s">
        <v>28225</v>
      </c>
    </row>
    <row r="2249" spans="1:25" x14ac:dyDescent="0.3">
      <c r="A2249">
        <v>112400</v>
      </c>
      <c r="B2249" t="s">
        <v>28226</v>
      </c>
      <c r="C2249" t="s">
        <v>28227</v>
      </c>
      <c r="D2249" t="s">
        <v>28228</v>
      </c>
      <c r="E2249" t="s">
        <v>28229</v>
      </c>
      <c r="F2249" t="s">
        <v>28230</v>
      </c>
      <c r="G2249" t="s">
        <v>28231</v>
      </c>
      <c r="H2249" t="s">
        <v>28232</v>
      </c>
      <c r="I2249" t="s">
        <v>28233</v>
      </c>
      <c r="J2249" t="s">
        <v>28234</v>
      </c>
      <c r="K2249" t="s">
        <v>28235</v>
      </c>
      <c r="L2249" t="s">
        <v>28236</v>
      </c>
      <c r="M2249" t="s">
        <v>28237</v>
      </c>
      <c r="N2249" t="s">
        <v>28238</v>
      </c>
      <c r="O2249">
        <f>-777.811056363278 -96.560552994024 -529.319439227129</f>
        <v>-1403.691048584431</v>
      </c>
      <c r="P2249">
        <f>-778.561396023182 -156.23578172812 -241.171071573548</f>
        <v>-1175.9682493248501</v>
      </c>
      <c r="Q2249" t="s">
        <v>28239</v>
      </c>
      <c r="R2249" t="s">
        <v>28240</v>
      </c>
      <c r="S2249" t="s">
        <v>28241</v>
      </c>
      <c r="T2249" t="s">
        <v>28242</v>
      </c>
      <c r="U2249" t="s">
        <v>28243</v>
      </c>
      <c r="V2249">
        <f>-750.652798947831 -21.5360288634606 -91.7604996026315</f>
        <v>-863.94932741392313</v>
      </c>
      <c r="W2249" t="s">
        <v>28244</v>
      </c>
      <c r="X2249" t="s">
        <v>28245</v>
      </c>
      <c r="Y2249" t="s">
        <v>28246</v>
      </c>
    </row>
    <row r="2250" spans="1:25" x14ac:dyDescent="0.3">
      <c r="A2250">
        <v>112450</v>
      </c>
      <c r="B2250" t="s">
        <v>28247</v>
      </c>
      <c r="C2250" t="s">
        <v>28248</v>
      </c>
      <c r="D2250" t="s">
        <v>28249</v>
      </c>
      <c r="E2250" t="s">
        <v>28250</v>
      </c>
      <c r="F2250" t="s">
        <v>28251</v>
      </c>
      <c r="G2250" t="s">
        <v>28252</v>
      </c>
      <c r="H2250" t="s">
        <v>28253</v>
      </c>
      <c r="I2250" t="s">
        <v>28254</v>
      </c>
      <c r="J2250" t="s">
        <v>28255</v>
      </c>
      <c r="K2250" t="s">
        <v>28256</v>
      </c>
      <c r="L2250" t="s">
        <v>28257</v>
      </c>
      <c r="M2250" t="s">
        <v>28258</v>
      </c>
      <c r="N2250" t="s">
        <v>28259</v>
      </c>
      <c r="O2250">
        <f>-778.111179042845 -96.4332002831948 -529.398687598939</f>
        <v>-1403.9430669249787</v>
      </c>
      <c r="P2250">
        <f>-778.78662791481 -156.190182799992 -241.267068937924</f>
        <v>-1176.243879652726</v>
      </c>
      <c r="Q2250" t="s">
        <v>28260</v>
      </c>
      <c r="R2250" t="s">
        <v>28261</v>
      </c>
      <c r="S2250" t="s">
        <v>28262</v>
      </c>
      <c r="T2250" t="s">
        <v>28263</v>
      </c>
      <c r="U2250" t="s">
        <v>28264</v>
      </c>
      <c r="V2250">
        <f>-750.714505702395 -21.529390562062 -91.7799482646066</f>
        <v>-864.02384452906347</v>
      </c>
      <c r="W2250" t="s">
        <v>28265</v>
      </c>
      <c r="X2250" t="s">
        <v>28266</v>
      </c>
      <c r="Y2250" t="s">
        <v>28267</v>
      </c>
    </row>
    <row r="2251" spans="1:25" x14ac:dyDescent="0.3">
      <c r="A2251">
        <v>112500</v>
      </c>
      <c r="B2251" t="s">
        <v>28268</v>
      </c>
      <c r="C2251" t="s">
        <v>28269</v>
      </c>
      <c r="D2251" t="s">
        <v>28270</v>
      </c>
      <c r="E2251" t="s">
        <v>28271</v>
      </c>
      <c r="F2251" t="s">
        <v>28272</v>
      </c>
      <c r="G2251" t="s">
        <v>28273</v>
      </c>
      <c r="H2251" t="s">
        <v>28274</v>
      </c>
      <c r="I2251" t="s">
        <v>28275</v>
      </c>
      <c r="J2251" t="s">
        <v>28276</v>
      </c>
      <c r="K2251" t="s">
        <v>28277</v>
      </c>
      <c r="L2251" t="s">
        <v>28278</v>
      </c>
      <c r="M2251" t="s">
        <v>28279</v>
      </c>
      <c r="N2251" t="s">
        <v>28280</v>
      </c>
      <c r="O2251">
        <f>-778.994177104329 -96.5265205023679 -529.443384703073</f>
        <v>-1404.9640823097698</v>
      </c>
      <c r="P2251">
        <f>-779.570999428833 -156.517025772457 -241.359972311111</f>
        <v>-1177.4479975124011</v>
      </c>
      <c r="Q2251" t="s">
        <v>28281</v>
      </c>
      <c r="R2251" t="s">
        <v>28282</v>
      </c>
      <c r="S2251" t="s">
        <v>28283</v>
      </c>
      <c r="T2251" t="s">
        <v>28284</v>
      </c>
      <c r="U2251" t="s">
        <v>28285</v>
      </c>
      <c r="V2251">
        <f>-751.213931864189 -22.1396686117628 -91.728355309824</f>
        <v>-865.08195578577579</v>
      </c>
      <c r="W2251" t="s">
        <v>28286</v>
      </c>
      <c r="X2251" t="s">
        <v>28287</v>
      </c>
      <c r="Y2251" t="s">
        <v>28288</v>
      </c>
    </row>
    <row r="2252" spans="1:25" x14ac:dyDescent="0.3">
      <c r="A2252">
        <v>112550</v>
      </c>
      <c r="B2252" t="s">
        <v>28289</v>
      </c>
      <c r="C2252" t="s">
        <v>28290</v>
      </c>
      <c r="D2252" t="s">
        <v>28291</v>
      </c>
      <c r="E2252" t="s">
        <v>28292</v>
      </c>
      <c r="F2252" t="s">
        <v>28293</v>
      </c>
      <c r="G2252" t="s">
        <v>28294</v>
      </c>
      <c r="H2252" t="s">
        <v>28295</v>
      </c>
      <c r="I2252" t="s">
        <v>28296</v>
      </c>
      <c r="J2252" t="s">
        <v>28297</v>
      </c>
      <c r="K2252" t="s">
        <v>28298</v>
      </c>
      <c r="L2252" t="s">
        <v>28299</v>
      </c>
      <c r="M2252" t="s">
        <v>28300</v>
      </c>
      <c r="N2252" t="s">
        <v>28301</v>
      </c>
      <c r="O2252">
        <f>-779.725329751656 -96.8636242249231 -529.400199021736</f>
        <v>-1405.9891529983151</v>
      </c>
      <c r="P2252">
        <f>-780.181856594268 -156.947385127212 -241.335941019831</f>
        <v>-1178.4651827413109</v>
      </c>
      <c r="Q2252" t="s">
        <v>28302</v>
      </c>
      <c r="R2252" t="s">
        <v>28303</v>
      </c>
      <c r="S2252" t="s">
        <v>28304</v>
      </c>
      <c r="T2252" t="s">
        <v>28305</v>
      </c>
      <c r="U2252" t="s">
        <v>28306</v>
      </c>
      <c r="V2252">
        <f>-751.436700422457 -22.3658229707648 -91.6713094422083</f>
        <v>-865.47383283543013</v>
      </c>
      <c r="W2252" t="s">
        <v>28307</v>
      </c>
      <c r="X2252" t="s">
        <v>28308</v>
      </c>
      <c r="Y2252" t="s">
        <v>28309</v>
      </c>
    </row>
    <row r="2253" spans="1:25" x14ac:dyDescent="0.3">
      <c r="A2253">
        <v>112600</v>
      </c>
      <c r="B2253" t="s">
        <v>28310</v>
      </c>
      <c r="C2253" t="s">
        <v>28311</v>
      </c>
      <c r="D2253" t="s">
        <v>28312</v>
      </c>
      <c r="E2253" t="s">
        <v>28313</v>
      </c>
      <c r="F2253" t="s">
        <v>28314</v>
      </c>
      <c r="G2253" t="s">
        <v>28315</v>
      </c>
      <c r="H2253" t="s">
        <v>28316</v>
      </c>
      <c r="I2253" t="s">
        <v>28317</v>
      </c>
      <c r="J2253" t="s">
        <v>28318</v>
      </c>
      <c r="K2253" t="s">
        <v>28319</v>
      </c>
      <c r="L2253" t="s">
        <v>28320</v>
      </c>
      <c r="M2253" t="s">
        <v>28321</v>
      </c>
      <c r="N2253" t="s">
        <v>28322</v>
      </c>
      <c r="O2253">
        <f>-781.590260068816 -97.6694258431107 -529.295324626744</f>
        <v>-1408.5550105386706</v>
      </c>
      <c r="P2253">
        <f>-781.818425511123 -157.69058095609 -241.217726607124</f>
        <v>-1180.7267330743371</v>
      </c>
      <c r="Q2253" t="s">
        <v>28323</v>
      </c>
      <c r="R2253" t="s">
        <v>28324</v>
      </c>
      <c r="S2253" t="s">
        <v>28325</v>
      </c>
      <c r="T2253" t="s">
        <v>28326</v>
      </c>
      <c r="U2253" t="s">
        <v>28327</v>
      </c>
      <c r="V2253">
        <f>-751.58436868706 -22.801213598075 -91.5630295636314</f>
        <v>-865.9486118487664</v>
      </c>
      <c r="W2253" t="s">
        <v>28328</v>
      </c>
      <c r="X2253" t="s">
        <v>28329</v>
      </c>
      <c r="Y2253" t="s">
        <v>28330</v>
      </c>
    </row>
    <row r="2254" spans="1:25" x14ac:dyDescent="0.3">
      <c r="A2254">
        <v>112650</v>
      </c>
      <c r="B2254" t="s">
        <v>28331</v>
      </c>
      <c r="C2254" t="s">
        <v>28332</v>
      </c>
      <c r="D2254" t="s">
        <v>28333</v>
      </c>
      <c r="E2254" t="s">
        <v>28334</v>
      </c>
      <c r="F2254" t="s">
        <v>28335</v>
      </c>
      <c r="G2254" t="s">
        <v>28336</v>
      </c>
      <c r="H2254" t="s">
        <v>28337</v>
      </c>
      <c r="I2254" t="s">
        <v>28338</v>
      </c>
      <c r="J2254" t="s">
        <v>28339</v>
      </c>
      <c r="K2254" t="s">
        <v>28340</v>
      </c>
      <c r="L2254" t="s">
        <v>28341</v>
      </c>
      <c r="M2254" t="s">
        <v>28342</v>
      </c>
      <c r="N2254" t="s">
        <v>28343</v>
      </c>
      <c r="O2254">
        <f>-782.554171456761 -97.9614976187904 -529.241684034631</f>
        <v>-1409.7573531101825</v>
      </c>
      <c r="P2254">
        <f>-783.05753330159 -157.7312917913 -241.112344687793</f>
        <v>-1181.9011697806829</v>
      </c>
      <c r="Q2254" t="s">
        <v>28344</v>
      </c>
      <c r="R2254" t="s">
        <v>28345</v>
      </c>
      <c r="S2254" t="s">
        <v>28346</v>
      </c>
      <c r="T2254" t="s">
        <v>28347</v>
      </c>
      <c r="U2254" t="s">
        <v>28348</v>
      </c>
      <c r="V2254">
        <f>-751.507511286248 -22.7907375961199 -91.5046970428956</f>
        <v>-865.80294592526354</v>
      </c>
      <c r="W2254" t="s">
        <v>28349</v>
      </c>
      <c r="X2254" t="s">
        <v>28350</v>
      </c>
      <c r="Y2254" t="s">
        <v>28351</v>
      </c>
    </row>
    <row r="2255" spans="1:25" x14ac:dyDescent="0.3">
      <c r="A2255">
        <v>112700</v>
      </c>
      <c r="B2255" t="s">
        <v>28352</v>
      </c>
      <c r="C2255" t="s">
        <v>28353</v>
      </c>
      <c r="D2255" t="s">
        <v>28354</v>
      </c>
      <c r="E2255" t="s">
        <v>28355</v>
      </c>
      <c r="F2255" t="s">
        <v>28356</v>
      </c>
      <c r="G2255" t="s">
        <v>28357</v>
      </c>
      <c r="H2255" t="s">
        <v>28358</v>
      </c>
      <c r="I2255" t="s">
        <v>28359</v>
      </c>
      <c r="J2255" t="s">
        <v>28360</v>
      </c>
      <c r="K2255" t="s">
        <v>28361</v>
      </c>
      <c r="L2255" t="s">
        <v>28362</v>
      </c>
      <c r="M2255" t="s">
        <v>28363</v>
      </c>
      <c r="N2255" t="s">
        <v>28364</v>
      </c>
      <c r="O2255">
        <f>-783.597492220414 -98.5385839768437 -529.140801231368</f>
        <v>-1411.2768774286255</v>
      </c>
      <c r="P2255">
        <f>-784.285577171837 -157.861616879508 -240.919512695188</f>
        <v>-1183.0667067465329</v>
      </c>
      <c r="Q2255" t="s">
        <v>28365</v>
      </c>
      <c r="R2255" t="s">
        <v>28366</v>
      </c>
      <c r="S2255" t="s">
        <v>28367</v>
      </c>
      <c r="T2255" t="s">
        <v>28368</v>
      </c>
      <c r="U2255" t="s">
        <v>28369</v>
      </c>
      <c r="V2255">
        <f>-751.519102130707 -23.1365344388255 -91.4474666271391</f>
        <v>-866.10310319667155</v>
      </c>
      <c r="W2255" t="s">
        <v>28370</v>
      </c>
      <c r="X2255" t="s">
        <v>28371</v>
      </c>
      <c r="Y2255" t="s">
        <v>28372</v>
      </c>
    </row>
    <row r="2256" spans="1:25" x14ac:dyDescent="0.3">
      <c r="A2256">
        <v>112750</v>
      </c>
      <c r="B2256" t="s">
        <v>28373</v>
      </c>
      <c r="C2256" t="s">
        <v>28374</v>
      </c>
      <c r="D2256" t="s">
        <v>28375</v>
      </c>
      <c r="E2256" t="s">
        <v>28376</v>
      </c>
      <c r="F2256" t="s">
        <v>28377</v>
      </c>
      <c r="G2256" t="s">
        <v>28378</v>
      </c>
      <c r="H2256" t="s">
        <v>28379</v>
      </c>
      <c r="I2256" t="s">
        <v>28380</v>
      </c>
      <c r="J2256" t="s">
        <v>28381</v>
      </c>
      <c r="K2256" t="s">
        <v>28382</v>
      </c>
      <c r="L2256" t="s">
        <v>28383</v>
      </c>
      <c r="M2256" t="s">
        <v>28384</v>
      </c>
      <c r="N2256" t="s">
        <v>28385</v>
      </c>
      <c r="O2256">
        <f>-786.061697782725 -100.164964561117 -528.699642668991</f>
        <v>-1414.9263050128329</v>
      </c>
      <c r="P2256">
        <f>-786.684609041426 -158.418474140081 -240.260179308838</f>
        <v>-1185.3632624903451</v>
      </c>
      <c r="Q2256">
        <f>-625.094360062299 -3.56328228929601 -329.475473337011</f>
        <v>-958.13311568860604</v>
      </c>
      <c r="R2256" t="s">
        <v>28386</v>
      </c>
      <c r="S2256" t="s">
        <v>28387</v>
      </c>
      <c r="T2256" t="s">
        <v>28388</v>
      </c>
      <c r="U2256" t="s">
        <v>28389</v>
      </c>
      <c r="V2256">
        <f>-751.518345613788 -23.5172428038989 -91.36977768144</f>
        <v>-866.40536609912692</v>
      </c>
      <c r="W2256" t="s">
        <v>28390</v>
      </c>
      <c r="X2256" t="s">
        <v>28391</v>
      </c>
      <c r="Y2256" t="s">
        <v>28392</v>
      </c>
    </row>
    <row r="2257" spans="1:25" x14ac:dyDescent="0.3">
      <c r="A2257">
        <v>112800</v>
      </c>
      <c r="B2257" t="s">
        <v>28393</v>
      </c>
      <c r="C2257" t="s">
        <v>28394</v>
      </c>
      <c r="D2257" t="s">
        <v>28395</v>
      </c>
      <c r="E2257" t="s">
        <v>28396</v>
      </c>
      <c r="F2257" t="s">
        <v>28397</v>
      </c>
      <c r="G2257" t="s">
        <v>28398</v>
      </c>
      <c r="H2257" t="s">
        <v>28399</v>
      </c>
      <c r="I2257" t="s">
        <v>28400</v>
      </c>
      <c r="J2257" t="s">
        <v>28401</v>
      </c>
      <c r="K2257" t="s">
        <v>28402</v>
      </c>
      <c r="L2257" t="s">
        <v>28403</v>
      </c>
      <c r="M2257" t="s">
        <v>28404</v>
      </c>
      <c r="N2257" t="s">
        <v>28405</v>
      </c>
      <c r="O2257">
        <f>-788.972129108132 -101.735731718413 -528.223967446131</f>
        <v>-1418.9318282726761</v>
      </c>
      <c r="P2257">
        <f>-788.5803983868 -158.705234090413 -239.527645751726</f>
        <v>-1186.813278228939</v>
      </c>
      <c r="Q2257">
        <f>-625.510884733595 -6.67883143941367 -330.89037774318</f>
        <v>-963.08009391618873</v>
      </c>
      <c r="R2257" t="s">
        <v>28406</v>
      </c>
      <c r="S2257" t="s">
        <v>28407</v>
      </c>
      <c r="T2257" t="s">
        <v>28408</v>
      </c>
      <c r="U2257" t="s">
        <v>28409</v>
      </c>
      <c r="V2257">
        <f>-751.567993008511 -23.61738298668 -91.2931448082827</f>
        <v>-866.47852080347377</v>
      </c>
      <c r="W2257" t="s">
        <v>28410</v>
      </c>
      <c r="X2257" t="s">
        <v>28411</v>
      </c>
      <c r="Y2257" t="s">
        <v>28412</v>
      </c>
    </row>
    <row r="2258" spans="1:25" x14ac:dyDescent="0.3">
      <c r="A2258">
        <v>112850</v>
      </c>
      <c r="B2258" t="s">
        <v>28413</v>
      </c>
      <c r="C2258" t="s">
        <v>28414</v>
      </c>
      <c r="D2258" t="s">
        <v>28415</v>
      </c>
      <c r="E2258" t="s">
        <v>28416</v>
      </c>
      <c r="F2258" t="s">
        <v>28417</v>
      </c>
      <c r="G2258" t="s">
        <v>28418</v>
      </c>
      <c r="H2258" t="s">
        <v>28419</v>
      </c>
      <c r="I2258" t="s">
        <v>28420</v>
      </c>
      <c r="J2258" t="s">
        <v>28421</v>
      </c>
      <c r="K2258" t="s">
        <v>28422</v>
      </c>
      <c r="L2258" t="s">
        <v>28423</v>
      </c>
      <c r="M2258" t="s">
        <v>28424</v>
      </c>
      <c r="N2258" t="s">
        <v>28425</v>
      </c>
      <c r="O2258">
        <f>-790.217680443941 -102.313121225572 -528.017654971763</f>
        <v>-1420.5484566412761</v>
      </c>
      <c r="P2258">
        <f>-788.842071550034 -158.494683177419 -239.170172162155</f>
        <v>-1186.5069268896079</v>
      </c>
      <c r="Q2258">
        <f>-625.567213613019 -7.68660910338417 -332.17077925314</f>
        <v>-965.42460196954312</v>
      </c>
      <c r="R2258" t="s">
        <v>28426</v>
      </c>
      <c r="S2258" t="s">
        <v>28427</v>
      </c>
      <c r="T2258" t="s">
        <v>28428</v>
      </c>
      <c r="U2258" t="s">
        <v>28429</v>
      </c>
      <c r="V2258">
        <f>-751.542729695928 -23.4392227576466 -91.283043119938</f>
        <v>-866.26499557351258</v>
      </c>
      <c r="W2258" t="s">
        <v>28430</v>
      </c>
      <c r="X2258" t="s">
        <v>28431</v>
      </c>
      <c r="Y2258" t="s">
        <v>28432</v>
      </c>
    </row>
    <row r="2259" spans="1:25" x14ac:dyDescent="0.3">
      <c r="A2259">
        <v>112900</v>
      </c>
      <c r="B2259" t="s">
        <v>28433</v>
      </c>
      <c r="C2259" t="s">
        <v>28434</v>
      </c>
      <c r="D2259" t="s">
        <v>28435</v>
      </c>
      <c r="E2259" t="s">
        <v>28436</v>
      </c>
      <c r="F2259" t="s">
        <v>28437</v>
      </c>
      <c r="G2259" t="s">
        <v>28438</v>
      </c>
      <c r="H2259" t="s">
        <v>28439</v>
      </c>
      <c r="I2259" t="s">
        <v>28440</v>
      </c>
      <c r="J2259" t="s">
        <v>28441</v>
      </c>
      <c r="K2259" t="s">
        <v>28442</v>
      </c>
      <c r="L2259" t="s">
        <v>28443</v>
      </c>
      <c r="M2259" t="s">
        <v>28444</v>
      </c>
      <c r="N2259" t="s">
        <v>28445</v>
      </c>
      <c r="O2259">
        <f>-792.389842965208 -102.667652166086 -527.418838846877</f>
        <v>-1422.4763339781709</v>
      </c>
      <c r="P2259">
        <f>-788.184271937562 -156.715045743367 -238.191586735899</f>
        <v>-1183.0909044168279</v>
      </c>
      <c r="Q2259">
        <f>-625.377826674007 -8.53938524750447 -336.114515217783</f>
        <v>-970.03172713929439</v>
      </c>
      <c r="R2259" t="s">
        <v>28446</v>
      </c>
      <c r="S2259" t="s">
        <v>28447</v>
      </c>
      <c r="T2259" t="s">
        <v>28448</v>
      </c>
      <c r="U2259" t="s">
        <v>28449</v>
      </c>
      <c r="V2259">
        <f>-751.904694515545 -22.6536547290991 -91.2462593998323</f>
        <v>-865.80460864447639</v>
      </c>
      <c r="W2259" t="s">
        <v>28450</v>
      </c>
      <c r="X2259" t="s">
        <v>28451</v>
      </c>
      <c r="Y2259" t="s">
        <v>28452</v>
      </c>
    </row>
    <row r="2260" spans="1:25" x14ac:dyDescent="0.3">
      <c r="A2260">
        <v>112950</v>
      </c>
      <c r="B2260" t="s">
        <v>28453</v>
      </c>
      <c r="C2260" t="s">
        <v>28454</v>
      </c>
      <c r="D2260" t="s">
        <v>28455</v>
      </c>
      <c r="E2260" t="s">
        <v>28456</v>
      </c>
      <c r="F2260" t="s">
        <v>28457</v>
      </c>
      <c r="G2260" t="s">
        <v>28458</v>
      </c>
      <c r="H2260" t="s">
        <v>28459</v>
      </c>
      <c r="I2260" t="s">
        <v>28460</v>
      </c>
      <c r="J2260" t="s">
        <v>28461</v>
      </c>
      <c r="K2260" t="s">
        <v>28462</v>
      </c>
      <c r="L2260" t="s">
        <v>28463</v>
      </c>
      <c r="M2260" t="s">
        <v>28464</v>
      </c>
      <c r="N2260" t="s">
        <v>28465</v>
      </c>
      <c r="O2260">
        <f>-792.916220111596 -102.554758742351 -527.041056946717</f>
        <v>-1422.5120358006639</v>
      </c>
      <c r="P2260">
        <f>-787.368070374198 -155.516523393817 -237.635649456126</f>
        <v>-1180.520243224141</v>
      </c>
      <c r="Q2260">
        <f>-625.100373054737 -8.57838143129084 -338.27975560765</f>
        <v>-971.95851009367789</v>
      </c>
      <c r="R2260" t="s">
        <v>28466</v>
      </c>
      <c r="S2260" t="s">
        <v>28467</v>
      </c>
      <c r="T2260" t="s">
        <v>28468</v>
      </c>
      <c r="U2260" t="s">
        <v>28469</v>
      </c>
      <c r="V2260">
        <f>-752.285088848688 -22.4888411374534 -91.2265444530153</f>
        <v>-866.00047443915673</v>
      </c>
      <c r="W2260" t="s">
        <v>28470</v>
      </c>
      <c r="X2260" t="s">
        <v>28471</v>
      </c>
      <c r="Y2260" t="s">
        <v>28472</v>
      </c>
    </row>
    <row r="2261" spans="1:25" x14ac:dyDescent="0.3">
      <c r="A2261">
        <v>113000</v>
      </c>
      <c r="B2261" t="s">
        <v>28473</v>
      </c>
      <c r="C2261" t="s">
        <v>28474</v>
      </c>
      <c r="D2261" t="s">
        <v>28475</v>
      </c>
      <c r="E2261" t="s">
        <v>28476</v>
      </c>
      <c r="F2261" t="s">
        <v>28477</v>
      </c>
      <c r="G2261" t="s">
        <v>28478</v>
      </c>
      <c r="H2261" t="s">
        <v>28479</v>
      </c>
      <c r="I2261" t="s">
        <v>28480</v>
      </c>
      <c r="J2261" t="s">
        <v>28481</v>
      </c>
      <c r="K2261" t="s">
        <v>28482</v>
      </c>
      <c r="L2261" t="s">
        <v>28483</v>
      </c>
      <c r="M2261" t="s">
        <v>28484</v>
      </c>
      <c r="N2261" t="s">
        <v>28485</v>
      </c>
      <c r="O2261">
        <f>-793.249994235669 -102.228853292296 -526.3984648423</f>
        <v>-1421.8773123702649</v>
      </c>
      <c r="P2261">
        <f>-785.654929240357 -152.787083444937 -236.60997417816</f>
        <v>-1175.051986863454</v>
      </c>
      <c r="Q2261">
        <f>-625.029868579941 -7.28942843634582 -341.875754903498</f>
        <v>-974.19505191978476</v>
      </c>
      <c r="R2261" t="s">
        <v>28486</v>
      </c>
      <c r="S2261" t="s">
        <v>28487</v>
      </c>
      <c r="T2261" t="s">
        <v>28488</v>
      </c>
      <c r="U2261" t="s">
        <v>28489</v>
      </c>
      <c r="V2261">
        <f>-753.021378933934 -21.7992354062294 -91.2086711342317</f>
        <v>-866.02928547439512</v>
      </c>
      <c r="W2261" t="s">
        <v>28490</v>
      </c>
      <c r="X2261" t="s">
        <v>28491</v>
      </c>
      <c r="Y2261" t="s">
        <v>28492</v>
      </c>
    </row>
    <row r="2262" spans="1:25" x14ac:dyDescent="0.3">
      <c r="A2262">
        <v>113050</v>
      </c>
      <c r="B2262" t="s">
        <v>28493</v>
      </c>
      <c r="C2262" t="s">
        <v>28494</v>
      </c>
      <c r="D2262" t="s">
        <v>28495</v>
      </c>
      <c r="E2262" t="s">
        <v>28496</v>
      </c>
      <c r="F2262" t="s">
        <v>28497</v>
      </c>
      <c r="G2262" t="s">
        <v>28498</v>
      </c>
      <c r="H2262" t="s">
        <v>28499</v>
      </c>
      <c r="I2262" t="s">
        <v>28500</v>
      </c>
      <c r="J2262" t="s">
        <v>28501</v>
      </c>
      <c r="K2262" t="s">
        <v>28502</v>
      </c>
      <c r="L2262" t="s">
        <v>28503</v>
      </c>
      <c r="M2262" t="s">
        <v>28504</v>
      </c>
      <c r="N2262" t="s">
        <v>28505</v>
      </c>
      <c r="O2262">
        <f>-793.148244115773 -102.17713968982 -526.114324246022</f>
        <v>-1421.4397080516151</v>
      </c>
      <c r="P2262">
        <f>-784.53862476888 -151.745048365756 -236.183128559781</f>
        <v>-1172.466801694417</v>
      </c>
      <c r="Q2262">
        <f>-624.976783773581 -5.88982884747452 -342.565201970626</f>
        <v>-973.43181459168159</v>
      </c>
      <c r="R2262" t="s">
        <v>28506</v>
      </c>
      <c r="S2262" t="s">
        <v>28507</v>
      </c>
      <c r="T2262" t="s">
        <v>28508</v>
      </c>
      <c r="U2262" t="s">
        <v>28509</v>
      </c>
      <c r="V2262">
        <f>-753.148887327223 -21.2910766326133 -91.2174151293226</f>
        <v>-865.65737908915889</v>
      </c>
      <c r="W2262" t="s">
        <v>28510</v>
      </c>
      <c r="X2262" t="s">
        <v>28511</v>
      </c>
      <c r="Y2262" t="s">
        <v>28512</v>
      </c>
    </row>
    <row r="2263" spans="1:25" x14ac:dyDescent="0.3">
      <c r="A2263">
        <v>113100</v>
      </c>
      <c r="B2263" t="s">
        <v>28513</v>
      </c>
      <c r="C2263" t="s">
        <v>28514</v>
      </c>
      <c r="D2263" t="s">
        <v>28515</v>
      </c>
      <c r="E2263" t="s">
        <v>28516</v>
      </c>
      <c r="F2263" t="s">
        <v>28517</v>
      </c>
      <c r="G2263" t="s">
        <v>28518</v>
      </c>
      <c r="H2263" t="s">
        <v>28519</v>
      </c>
      <c r="I2263" t="s">
        <v>28520</v>
      </c>
      <c r="J2263" t="s">
        <v>28521</v>
      </c>
      <c r="K2263" t="s">
        <v>28522</v>
      </c>
      <c r="L2263" t="s">
        <v>28523</v>
      </c>
      <c r="M2263" t="s">
        <v>28524</v>
      </c>
      <c r="N2263" t="s">
        <v>28525</v>
      </c>
      <c r="O2263">
        <f>-792.986100819857 -102.136567917585 -525.545995847306</f>
        <v>-1420.6686645847481</v>
      </c>
      <c r="P2263">
        <f>-782.931866318949 -150.049658561312 -235.383118096532</f>
        <v>-1168.364642976793</v>
      </c>
      <c r="Q2263">
        <f>-625.083579374364 -2.63662510153108 -342.173545216574</f>
        <v>-969.8937496924691</v>
      </c>
      <c r="R2263" t="s">
        <v>28526</v>
      </c>
      <c r="S2263" t="s">
        <v>28527</v>
      </c>
      <c r="T2263" t="s">
        <v>28528</v>
      </c>
      <c r="U2263" t="s">
        <v>28529</v>
      </c>
      <c r="V2263">
        <f>-753.06946002764 -20.2668262359414 -91.2506928805668</f>
        <v>-864.58697914414824</v>
      </c>
      <c r="W2263" t="s">
        <v>28530</v>
      </c>
      <c r="X2263" t="s">
        <v>28531</v>
      </c>
      <c r="Y2263" t="s">
        <v>28532</v>
      </c>
    </row>
    <row r="2264" spans="1:25" x14ac:dyDescent="0.3">
      <c r="A2264">
        <v>113150</v>
      </c>
      <c r="B2264" t="s">
        <v>28533</v>
      </c>
      <c r="C2264" t="s">
        <v>28534</v>
      </c>
      <c r="D2264" t="s">
        <v>28535</v>
      </c>
      <c r="E2264" t="s">
        <v>28536</v>
      </c>
      <c r="F2264" t="s">
        <v>28537</v>
      </c>
      <c r="G2264" t="s">
        <v>28538</v>
      </c>
      <c r="H2264" t="s">
        <v>28539</v>
      </c>
      <c r="I2264" t="s">
        <v>28540</v>
      </c>
      <c r="J2264" t="s">
        <v>28541</v>
      </c>
      <c r="K2264" t="s">
        <v>28542</v>
      </c>
      <c r="L2264" t="s">
        <v>28543</v>
      </c>
      <c r="M2264" t="s">
        <v>28544</v>
      </c>
      <c r="N2264" t="s">
        <v>28545</v>
      </c>
      <c r="O2264">
        <f>-792.789205705679 -102.327123989544 -525.310581602446</f>
        <v>-1420.426911297669</v>
      </c>
      <c r="P2264">
        <f>-782.678582575903 -149.281797226111 -234.993098446818</f>
        <v>-1166.953478248832</v>
      </c>
      <c r="Q2264">
        <f>-624.899337988634 -1.4078281611994 -341.246826636248</f>
        <v>-967.55399278608138</v>
      </c>
      <c r="R2264" t="s">
        <v>28546</v>
      </c>
      <c r="S2264" t="s">
        <v>28547</v>
      </c>
      <c r="T2264" t="s">
        <v>28548</v>
      </c>
      <c r="U2264" t="s">
        <v>28549</v>
      </c>
      <c r="V2264">
        <f>-752.752809507843 -20.2082689827068 -91.2844464682771</f>
        <v>-864.24552495882699</v>
      </c>
      <c r="W2264" t="s">
        <v>28550</v>
      </c>
      <c r="X2264" t="s">
        <v>28551</v>
      </c>
      <c r="Y2264" t="s">
        <v>28552</v>
      </c>
    </row>
    <row r="2265" spans="1:25" x14ac:dyDescent="0.3">
      <c r="A2265">
        <v>113200</v>
      </c>
      <c r="B2265" t="s">
        <v>28553</v>
      </c>
      <c r="C2265" t="s">
        <v>28554</v>
      </c>
      <c r="D2265" t="s">
        <v>28555</v>
      </c>
      <c r="E2265" t="s">
        <v>28556</v>
      </c>
      <c r="F2265" t="s">
        <v>28557</v>
      </c>
      <c r="G2265" t="s">
        <v>28558</v>
      </c>
      <c r="H2265" t="s">
        <v>28559</v>
      </c>
      <c r="I2265" t="s">
        <v>28560</v>
      </c>
      <c r="J2265" t="s">
        <v>28561</v>
      </c>
      <c r="K2265" t="s">
        <v>28562</v>
      </c>
      <c r="L2265" t="s">
        <v>28563</v>
      </c>
      <c r="M2265" t="s">
        <v>28564</v>
      </c>
      <c r="N2265" t="s">
        <v>28565</v>
      </c>
      <c r="O2265">
        <f>-791.836093974901 -103.242257805348 -524.854080139629</f>
        <v>-1419.9324319198781</v>
      </c>
      <c r="P2265">
        <f>-783.001627620852 -148.444762040416 -234.216986019326</f>
        <v>-1165.6633756805941</v>
      </c>
      <c r="Q2265" t="s">
        <v>28566</v>
      </c>
      <c r="R2265" t="s">
        <v>28567</v>
      </c>
      <c r="S2265" t="s">
        <v>28568</v>
      </c>
      <c r="T2265" t="s">
        <v>28569</v>
      </c>
      <c r="U2265" t="s">
        <v>28570</v>
      </c>
      <c r="V2265">
        <f>-751.916346406849 -19.9384593736797 -91.3676064100292</f>
        <v>-863.22241219055798</v>
      </c>
      <c r="W2265" t="s">
        <v>28571</v>
      </c>
      <c r="X2265" t="s">
        <v>28572</v>
      </c>
      <c r="Y2265" t="s">
        <v>28573</v>
      </c>
    </row>
    <row r="2266" spans="1:25" x14ac:dyDescent="0.3">
      <c r="A2266">
        <v>113250</v>
      </c>
      <c r="B2266" t="s">
        <v>28574</v>
      </c>
      <c r="C2266" t="s">
        <v>28575</v>
      </c>
      <c r="D2266" t="s">
        <v>28576</v>
      </c>
      <c r="E2266" t="s">
        <v>28577</v>
      </c>
      <c r="F2266" t="s">
        <v>28578</v>
      </c>
      <c r="G2266" t="s">
        <v>28579</v>
      </c>
      <c r="H2266" t="s">
        <v>28580</v>
      </c>
      <c r="I2266" t="s">
        <v>28581</v>
      </c>
      <c r="J2266" t="s">
        <v>28582</v>
      </c>
      <c r="K2266" t="s">
        <v>28583</v>
      </c>
      <c r="L2266" t="s">
        <v>28584</v>
      </c>
      <c r="M2266" t="s">
        <v>28585</v>
      </c>
      <c r="N2266" t="s">
        <v>28586</v>
      </c>
      <c r="O2266">
        <f>-791.278327880224 -103.232452093872 -524.746496481379</f>
        <v>-1419.257276455475</v>
      </c>
      <c r="P2266">
        <f>-783.024590593409 -147.708047032751 -233.980398207983</f>
        <v>-1164.7130358341431</v>
      </c>
      <c r="Q2266" t="s">
        <v>28587</v>
      </c>
      <c r="R2266" t="s">
        <v>28588</v>
      </c>
      <c r="S2266" t="s">
        <v>28589</v>
      </c>
      <c r="T2266" t="s">
        <v>28590</v>
      </c>
      <c r="U2266" t="s">
        <v>28591</v>
      </c>
      <c r="V2266">
        <f>-751.309902211852 -19.3007670292966 -91.4149332213816</f>
        <v>-862.02560246253017</v>
      </c>
      <c r="W2266" t="s">
        <v>28592</v>
      </c>
      <c r="X2266" t="s">
        <v>28593</v>
      </c>
      <c r="Y2266" t="s">
        <v>28594</v>
      </c>
    </row>
    <row r="2267" spans="1:25" x14ac:dyDescent="0.3">
      <c r="A2267">
        <v>113300</v>
      </c>
      <c r="B2267" t="s">
        <v>28595</v>
      </c>
      <c r="C2267" t="s">
        <v>28596</v>
      </c>
      <c r="D2267" t="s">
        <v>28597</v>
      </c>
      <c r="E2267" t="s">
        <v>28598</v>
      </c>
      <c r="F2267" t="s">
        <v>28599</v>
      </c>
      <c r="G2267" t="s">
        <v>28600</v>
      </c>
      <c r="H2267" t="s">
        <v>28601</v>
      </c>
      <c r="I2267" t="s">
        <v>28602</v>
      </c>
      <c r="J2267" t="s">
        <v>28603</v>
      </c>
      <c r="K2267" t="s">
        <v>28604</v>
      </c>
      <c r="L2267" t="s">
        <v>28605</v>
      </c>
      <c r="M2267" t="s">
        <v>28606</v>
      </c>
      <c r="N2267" t="s">
        <v>28607</v>
      </c>
      <c r="O2267">
        <f>-790.203125641091 -102.902684309666 -524.443045501733</f>
        <v>-1417.54885545249</v>
      </c>
      <c r="P2267">
        <f>-782.060489064708 -146.478444993462 -233.537418338756</f>
        <v>-1162.076352396926</v>
      </c>
      <c r="Q2267" t="s">
        <v>28608</v>
      </c>
      <c r="R2267" t="s">
        <v>28609</v>
      </c>
      <c r="S2267" t="s">
        <v>28610</v>
      </c>
      <c r="T2267" t="s">
        <v>28611</v>
      </c>
      <c r="U2267" t="s">
        <v>28612</v>
      </c>
      <c r="V2267">
        <f>-750.4777987911 -18.3055312426668 -91.5153446259284</f>
        <v>-860.29867465969517</v>
      </c>
      <c r="W2267" t="s">
        <v>28613</v>
      </c>
      <c r="X2267" t="s">
        <v>28614</v>
      </c>
      <c r="Y2267" t="s">
        <v>28615</v>
      </c>
    </row>
    <row r="2268" spans="1:25" x14ac:dyDescent="0.3">
      <c r="A2268">
        <v>113350</v>
      </c>
      <c r="B2268" t="s">
        <v>28616</v>
      </c>
      <c r="C2268" t="s">
        <v>28617</v>
      </c>
      <c r="D2268" t="s">
        <v>28618</v>
      </c>
      <c r="E2268" t="s">
        <v>28619</v>
      </c>
      <c r="F2268" t="s">
        <v>28620</v>
      </c>
      <c r="G2268" t="s">
        <v>28621</v>
      </c>
      <c r="H2268" t="s">
        <v>28622</v>
      </c>
      <c r="I2268" t="s">
        <v>28623</v>
      </c>
      <c r="J2268" t="s">
        <v>28624</v>
      </c>
      <c r="K2268" t="s">
        <v>28625</v>
      </c>
      <c r="L2268" t="s">
        <v>28626</v>
      </c>
      <c r="M2268" t="s">
        <v>28627</v>
      </c>
      <c r="N2268" t="s">
        <v>28628</v>
      </c>
      <c r="O2268">
        <f>-789.811536312498 -102.877604437696 -524.219331961203</f>
        <v>-1416.9084727113968</v>
      </c>
      <c r="P2268">
        <f>-781.235359924728 -145.897499911287 -233.243456911803</f>
        <v>-1160.376316747818</v>
      </c>
      <c r="Q2268" t="s">
        <v>28629</v>
      </c>
      <c r="R2268" t="s">
        <v>28630</v>
      </c>
      <c r="S2268" t="s">
        <v>28631</v>
      </c>
      <c r="T2268" t="s">
        <v>28632</v>
      </c>
      <c r="U2268" t="s">
        <v>28633</v>
      </c>
      <c r="V2268">
        <f>-750.164190631275 -17.8890653071801 -91.5768505981121</f>
        <v>-859.63010653656715</v>
      </c>
      <c r="W2268" t="s">
        <v>28634</v>
      </c>
      <c r="X2268" t="s">
        <v>28635</v>
      </c>
      <c r="Y2268" t="s">
        <v>28636</v>
      </c>
    </row>
    <row r="2269" spans="1:25" x14ac:dyDescent="0.3">
      <c r="A2269">
        <v>113400</v>
      </c>
      <c r="B2269" t="s">
        <v>28637</v>
      </c>
      <c r="C2269" t="s">
        <v>28638</v>
      </c>
      <c r="D2269" t="s">
        <v>28639</v>
      </c>
      <c r="E2269" t="s">
        <v>28640</v>
      </c>
      <c r="F2269" t="s">
        <v>28641</v>
      </c>
      <c r="G2269" t="s">
        <v>28642</v>
      </c>
      <c r="H2269" t="s">
        <v>28643</v>
      </c>
      <c r="I2269" t="s">
        <v>28644</v>
      </c>
      <c r="J2269" t="s">
        <v>28645</v>
      </c>
      <c r="K2269" t="s">
        <v>28646</v>
      </c>
      <c r="L2269" t="s">
        <v>28647</v>
      </c>
      <c r="M2269" t="s">
        <v>28648</v>
      </c>
      <c r="N2269" t="s">
        <v>28649</v>
      </c>
      <c r="O2269">
        <f>-789.128019941185 -102.814753187677 -523.64080858702</f>
        <v>-1415.583581715882</v>
      </c>
      <c r="P2269">
        <f>-779.385752726326 -144.449997772416 -232.500373497945</f>
        <v>-1156.3361239966871</v>
      </c>
      <c r="Q2269" t="s">
        <v>28650</v>
      </c>
      <c r="R2269" t="s">
        <v>28651</v>
      </c>
      <c r="S2269" t="s">
        <v>28652</v>
      </c>
      <c r="T2269" t="s">
        <v>28653</v>
      </c>
      <c r="U2269" t="s">
        <v>28654</v>
      </c>
      <c r="V2269">
        <f>-749.845342246266 -17.0922631561211 -91.6814243417429</f>
        <v>-858.61902974412999</v>
      </c>
      <c r="W2269" t="s">
        <v>28655</v>
      </c>
      <c r="X2269" t="s">
        <v>28656</v>
      </c>
      <c r="Y2269" t="s">
        <v>28657</v>
      </c>
    </row>
    <row r="2270" spans="1:25" x14ac:dyDescent="0.3">
      <c r="A2270">
        <v>113450</v>
      </c>
      <c r="B2270" t="s">
        <v>28658</v>
      </c>
      <c r="C2270" t="s">
        <v>28659</v>
      </c>
      <c r="D2270" t="s">
        <v>28660</v>
      </c>
      <c r="E2270" t="s">
        <v>28661</v>
      </c>
      <c r="F2270" t="s">
        <v>28662</v>
      </c>
      <c r="G2270" t="s">
        <v>28663</v>
      </c>
      <c r="H2270" t="s">
        <v>28664</v>
      </c>
      <c r="I2270" t="s">
        <v>28665</v>
      </c>
      <c r="J2270" t="s">
        <v>28666</v>
      </c>
      <c r="K2270" t="s">
        <v>28667</v>
      </c>
      <c r="L2270" t="s">
        <v>28668</v>
      </c>
      <c r="M2270" t="s">
        <v>28669</v>
      </c>
      <c r="N2270" t="s">
        <v>28670</v>
      </c>
      <c r="O2270">
        <f>-788.807460560177 -102.748205365789 -523.378726698165</f>
        <v>-1414.9343926241309</v>
      </c>
      <c r="P2270">
        <f>-778.767729896405 -143.491686791047 -232.122127699089</f>
        <v>-1154.381544386541</v>
      </c>
      <c r="Q2270" t="s">
        <v>28671</v>
      </c>
      <c r="R2270" t="s">
        <v>28672</v>
      </c>
      <c r="S2270" t="s">
        <v>28673</v>
      </c>
      <c r="T2270" t="s">
        <v>28674</v>
      </c>
      <c r="U2270" t="s">
        <v>28675</v>
      </c>
      <c r="V2270">
        <f>-749.678603532878 -16.6550444620632 -91.6995735245533</f>
        <v>-858.03322151949453</v>
      </c>
      <c r="W2270" t="s">
        <v>28676</v>
      </c>
      <c r="X2270" t="s">
        <v>28677</v>
      </c>
      <c r="Y2270" t="s">
        <v>28678</v>
      </c>
    </row>
    <row r="2271" spans="1:25" x14ac:dyDescent="0.3">
      <c r="A2271">
        <v>113500</v>
      </c>
      <c r="B2271" t="s">
        <v>28679</v>
      </c>
      <c r="C2271" t="s">
        <v>28680</v>
      </c>
      <c r="D2271" t="s">
        <v>28681</v>
      </c>
      <c r="E2271" t="s">
        <v>28682</v>
      </c>
      <c r="F2271" t="s">
        <v>28683</v>
      </c>
      <c r="G2271" t="s">
        <v>28684</v>
      </c>
      <c r="H2271" t="s">
        <v>28685</v>
      </c>
      <c r="I2271" t="s">
        <v>28686</v>
      </c>
      <c r="J2271" t="s">
        <v>28687</v>
      </c>
      <c r="K2271" t="s">
        <v>28688</v>
      </c>
      <c r="L2271" t="s">
        <v>28689</v>
      </c>
      <c r="M2271" t="s">
        <v>28690</v>
      </c>
      <c r="N2271" t="s">
        <v>28691</v>
      </c>
      <c r="O2271">
        <f>-788.061882777243 -102.385353813424 -522.944583572423</f>
        <v>-1413.39182016309</v>
      </c>
      <c r="P2271">
        <f>-777.56728007092 -142.090199180286 -231.560624329068</f>
        <v>-1151.2181035802741</v>
      </c>
      <c r="Q2271" t="s">
        <v>28692</v>
      </c>
      <c r="R2271" t="s">
        <v>28693</v>
      </c>
      <c r="S2271" t="s">
        <v>28694</v>
      </c>
      <c r="T2271" t="s">
        <v>28695</v>
      </c>
      <c r="U2271" t="s">
        <v>28696</v>
      </c>
      <c r="V2271">
        <f>-749.233902181924 -15.8201041484738 -91.7788084486722</f>
        <v>-856.83281477906996</v>
      </c>
      <c r="W2271" t="s">
        <v>28697</v>
      </c>
      <c r="X2271" t="s">
        <v>28698</v>
      </c>
      <c r="Y2271" t="s">
        <v>28699</v>
      </c>
    </row>
    <row r="2272" spans="1:25" x14ac:dyDescent="0.3">
      <c r="A2272">
        <v>113550</v>
      </c>
      <c r="B2272" t="s">
        <v>28700</v>
      </c>
      <c r="C2272" t="s">
        <v>28701</v>
      </c>
      <c r="D2272" t="s">
        <v>28702</v>
      </c>
      <c r="E2272" t="s">
        <v>28703</v>
      </c>
      <c r="F2272" t="s">
        <v>28704</v>
      </c>
      <c r="G2272" t="s">
        <v>28705</v>
      </c>
      <c r="H2272" t="s">
        <v>28706</v>
      </c>
      <c r="I2272" t="s">
        <v>28707</v>
      </c>
      <c r="J2272" t="s">
        <v>28708</v>
      </c>
      <c r="K2272" t="s">
        <v>28709</v>
      </c>
      <c r="L2272" t="s">
        <v>28710</v>
      </c>
      <c r="M2272" t="s">
        <v>28711</v>
      </c>
      <c r="N2272" t="s">
        <v>28712</v>
      </c>
      <c r="O2272">
        <f>-787.744042179294 -102.172471129584 -522.765641155063</f>
        <v>-1412.6821544639411</v>
      </c>
      <c r="P2272">
        <f>-777.231617329815 -141.244299020563 -231.296836377702</f>
        <v>-1149.7727527280799</v>
      </c>
      <c r="Q2272" t="s">
        <v>28713</v>
      </c>
      <c r="R2272" t="s">
        <v>28714</v>
      </c>
      <c r="S2272" t="s">
        <v>28715</v>
      </c>
      <c r="T2272" t="s">
        <v>28716</v>
      </c>
      <c r="U2272" t="s">
        <v>28717</v>
      </c>
      <c r="V2272">
        <f>-749.074241301629 -15.4195111579913 -91.8022918016261</f>
        <v>-856.29604426124638</v>
      </c>
      <c r="W2272" t="s">
        <v>28718</v>
      </c>
      <c r="X2272" t="s">
        <v>28719</v>
      </c>
      <c r="Y2272" t="s">
        <v>28720</v>
      </c>
    </row>
    <row r="2273" spans="1:25" x14ac:dyDescent="0.3">
      <c r="A2273">
        <v>113600</v>
      </c>
      <c r="B2273" t="s">
        <v>28721</v>
      </c>
      <c r="C2273" t="s">
        <v>28722</v>
      </c>
      <c r="D2273" t="s">
        <v>28723</v>
      </c>
      <c r="E2273" t="s">
        <v>28724</v>
      </c>
      <c r="F2273" t="s">
        <v>28725</v>
      </c>
      <c r="G2273" t="s">
        <v>28726</v>
      </c>
      <c r="H2273" t="s">
        <v>28727</v>
      </c>
      <c r="I2273" t="s">
        <v>28728</v>
      </c>
      <c r="J2273" t="s">
        <v>28729</v>
      </c>
      <c r="K2273" t="s">
        <v>28730</v>
      </c>
      <c r="L2273" t="s">
        <v>28731</v>
      </c>
      <c r="M2273" t="s">
        <v>28732</v>
      </c>
      <c r="N2273" t="s">
        <v>28733</v>
      </c>
      <c r="O2273">
        <f>-787.41976663003 -101.489403176256 -522.42734822828</f>
        <v>-1411.3365180345661</v>
      </c>
      <c r="P2273">
        <f>-776.553431279664 -139.947576627103 -230.889734048225</f>
        <v>-1147.3907419549919</v>
      </c>
      <c r="Q2273" t="s">
        <v>28734</v>
      </c>
      <c r="R2273" t="s">
        <v>28735</v>
      </c>
      <c r="S2273" t="s">
        <v>28736</v>
      </c>
      <c r="T2273" t="s">
        <v>28737</v>
      </c>
      <c r="U2273" t="s">
        <v>28738</v>
      </c>
      <c r="V2273">
        <f>-748.965796927484 -14.5917600930686 -91.8104658868812</f>
        <v>-855.36802290743378</v>
      </c>
      <c r="W2273" t="s">
        <v>28739</v>
      </c>
      <c r="X2273" t="s">
        <v>28740</v>
      </c>
      <c r="Y2273" t="s">
        <v>28741</v>
      </c>
    </row>
    <row r="2274" spans="1:25" x14ac:dyDescent="0.3">
      <c r="A2274">
        <v>113650</v>
      </c>
      <c r="B2274" t="s">
        <v>28742</v>
      </c>
      <c r="C2274" t="s">
        <v>28743</v>
      </c>
      <c r="D2274" t="s">
        <v>28744</v>
      </c>
      <c r="E2274" t="s">
        <v>28745</v>
      </c>
      <c r="F2274" t="s">
        <v>28746</v>
      </c>
      <c r="G2274" t="s">
        <v>28747</v>
      </c>
      <c r="H2274" t="s">
        <v>28748</v>
      </c>
      <c r="I2274" t="s">
        <v>28749</v>
      </c>
      <c r="J2274" t="s">
        <v>28750</v>
      </c>
      <c r="K2274" t="s">
        <v>28751</v>
      </c>
      <c r="L2274" t="s">
        <v>28752</v>
      </c>
      <c r="M2274" t="s">
        <v>28753</v>
      </c>
      <c r="N2274" t="s">
        <v>28754</v>
      </c>
      <c r="O2274">
        <f>-787.23198407549 -101.106957067565 -522.318254844162</f>
        <v>-1410.6571959872169</v>
      </c>
      <c r="P2274">
        <f>-776.167320644246 -139.429638639181 -230.770474141209</f>
        <v>-1146.3674334246361</v>
      </c>
      <c r="Q2274" t="s">
        <v>28755</v>
      </c>
      <c r="R2274" t="s">
        <v>28756</v>
      </c>
      <c r="S2274" t="s">
        <v>28757</v>
      </c>
      <c r="T2274" t="s">
        <v>28758</v>
      </c>
      <c r="U2274" t="s">
        <v>28759</v>
      </c>
      <c r="V2274">
        <f>-748.918502270899 -14.1978935746135 -91.8066442571449</f>
        <v>-854.92304010265741</v>
      </c>
      <c r="W2274" t="s">
        <v>28760</v>
      </c>
      <c r="X2274" t="s">
        <v>28761</v>
      </c>
      <c r="Y2274" t="s">
        <v>28762</v>
      </c>
    </row>
    <row r="2275" spans="1:25" x14ac:dyDescent="0.3">
      <c r="A2275">
        <v>113700</v>
      </c>
      <c r="B2275" t="s">
        <v>28763</v>
      </c>
      <c r="C2275" t="s">
        <v>28764</v>
      </c>
      <c r="D2275" t="s">
        <v>28765</v>
      </c>
      <c r="E2275" t="s">
        <v>28766</v>
      </c>
      <c r="F2275" t="s">
        <v>28767</v>
      </c>
      <c r="G2275" t="s">
        <v>28768</v>
      </c>
      <c r="H2275" t="s">
        <v>28769</v>
      </c>
      <c r="I2275" t="s">
        <v>28770</v>
      </c>
      <c r="J2275" t="s">
        <v>28771</v>
      </c>
      <c r="K2275" t="s">
        <v>28772</v>
      </c>
      <c r="L2275" t="s">
        <v>28773</v>
      </c>
      <c r="M2275" t="s">
        <v>28774</v>
      </c>
      <c r="N2275" t="s">
        <v>28775</v>
      </c>
      <c r="O2275">
        <f>-786.661898274225 -100.432228402696 -522.088658288125</f>
        <v>-1409.1827849650458</v>
      </c>
      <c r="P2275">
        <f>-775.991368936283 -138.83103878776 -230.536121213528</f>
        <v>-1145.358528937571</v>
      </c>
      <c r="Q2275" t="s">
        <v>28776</v>
      </c>
      <c r="R2275" t="s">
        <v>28777</v>
      </c>
      <c r="S2275" t="s">
        <v>28778</v>
      </c>
      <c r="T2275" t="s">
        <v>28779</v>
      </c>
      <c r="U2275" t="s">
        <v>28780</v>
      </c>
      <c r="V2275">
        <f>-748.6134124229 -13.3088016822951 -91.8026606530838</f>
        <v>-853.72487475827882</v>
      </c>
      <c r="W2275" t="s">
        <v>28781</v>
      </c>
      <c r="X2275" t="s">
        <v>28782</v>
      </c>
      <c r="Y2275" t="s">
        <v>28783</v>
      </c>
    </row>
    <row r="2276" spans="1:25" x14ac:dyDescent="0.3">
      <c r="A2276">
        <v>113750</v>
      </c>
      <c r="B2276" t="s">
        <v>28784</v>
      </c>
      <c r="C2276" t="s">
        <v>28785</v>
      </c>
      <c r="D2276" t="s">
        <v>28786</v>
      </c>
      <c r="E2276" t="s">
        <v>28787</v>
      </c>
      <c r="F2276" t="s">
        <v>28788</v>
      </c>
      <c r="G2276" t="s">
        <v>28789</v>
      </c>
      <c r="H2276" t="s">
        <v>28790</v>
      </c>
      <c r="I2276" t="s">
        <v>28791</v>
      </c>
      <c r="J2276" t="s">
        <v>28792</v>
      </c>
      <c r="K2276" t="s">
        <v>28793</v>
      </c>
      <c r="L2276" t="s">
        <v>28794</v>
      </c>
      <c r="M2276" t="s">
        <v>28795</v>
      </c>
      <c r="N2276" t="s">
        <v>28796</v>
      </c>
      <c r="O2276">
        <f>-786.359218962133 -100.252730898709 -521.9775256279</f>
        <v>-1408.5894754887422</v>
      </c>
      <c r="P2276">
        <f>-776.026765484378 -138.432089675127 -230.384077555686</f>
        <v>-1144.842932715191</v>
      </c>
      <c r="Q2276" t="s">
        <v>28797</v>
      </c>
      <c r="R2276" t="s">
        <v>28798</v>
      </c>
      <c r="S2276" t="s">
        <v>28799</v>
      </c>
      <c r="T2276" t="s">
        <v>28800</v>
      </c>
      <c r="U2276" t="s">
        <v>28801</v>
      </c>
      <c r="V2276">
        <f>-748.419573199345 -13.1186510747434 -91.8027130243119</f>
        <v>-853.34093729840026</v>
      </c>
      <c r="W2276" t="s">
        <v>28802</v>
      </c>
      <c r="X2276" t="s">
        <v>28803</v>
      </c>
      <c r="Y2276" t="s">
        <v>28804</v>
      </c>
    </row>
    <row r="2277" spans="1:25" x14ac:dyDescent="0.3">
      <c r="A2277">
        <v>113800</v>
      </c>
      <c r="B2277" t="s">
        <v>28805</v>
      </c>
      <c r="C2277" t="s">
        <v>28806</v>
      </c>
      <c r="D2277" t="s">
        <v>28807</v>
      </c>
      <c r="E2277" t="s">
        <v>28808</v>
      </c>
      <c r="F2277" t="s">
        <v>28809</v>
      </c>
      <c r="G2277" t="s">
        <v>28810</v>
      </c>
      <c r="H2277" t="s">
        <v>28811</v>
      </c>
      <c r="I2277" t="s">
        <v>28812</v>
      </c>
      <c r="J2277" t="s">
        <v>28813</v>
      </c>
      <c r="K2277" t="s">
        <v>28814</v>
      </c>
      <c r="L2277" t="s">
        <v>28815</v>
      </c>
      <c r="M2277" t="s">
        <v>28816</v>
      </c>
      <c r="N2277" t="s">
        <v>28817</v>
      </c>
      <c r="O2277">
        <f>-785.527032127886 -99.9235244208107 -521.799357753773</f>
        <v>-1407.2499143024697</v>
      </c>
      <c r="P2277">
        <f>-776.055377132148 -137.803887584824 -230.137678999807</f>
        <v>-1143.996943716779</v>
      </c>
      <c r="Q2277" t="s">
        <v>28818</v>
      </c>
      <c r="R2277" t="s">
        <v>28819</v>
      </c>
      <c r="S2277" t="s">
        <v>28820</v>
      </c>
      <c r="T2277" t="s">
        <v>28821</v>
      </c>
      <c r="U2277" t="s">
        <v>28822</v>
      </c>
      <c r="V2277">
        <f>-748.05346048431 -12.731823055939 -91.7917159606287</f>
        <v>-852.57699950087772</v>
      </c>
      <c r="W2277" t="s">
        <v>28823</v>
      </c>
      <c r="X2277" t="s">
        <v>28824</v>
      </c>
      <c r="Y2277" t="s">
        <v>28825</v>
      </c>
    </row>
    <row r="2278" spans="1:25" x14ac:dyDescent="0.3">
      <c r="A2278">
        <v>113850</v>
      </c>
      <c r="B2278" t="s">
        <v>28826</v>
      </c>
      <c r="C2278" t="s">
        <v>28827</v>
      </c>
      <c r="D2278" t="s">
        <v>28828</v>
      </c>
      <c r="E2278" t="s">
        <v>28829</v>
      </c>
      <c r="F2278" t="s">
        <v>28830</v>
      </c>
      <c r="G2278" t="s">
        <v>28831</v>
      </c>
      <c r="H2278" t="s">
        <v>28832</v>
      </c>
      <c r="I2278" t="s">
        <v>28833</v>
      </c>
      <c r="J2278" t="s">
        <v>28834</v>
      </c>
      <c r="K2278" t="s">
        <v>28835</v>
      </c>
      <c r="L2278" t="s">
        <v>28836</v>
      </c>
      <c r="M2278" t="s">
        <v>28837</v>
      </c>
      <c r="N2278" t="s">
        <v>28838</v>
      </c>
      <c r="O2278">
        <f>-785.056873298218 -99.6679053243681 -521.739554212939</f>
        <v>-1406.4643328355251</v>
      </c>
      <c r="P2278">
        <f>-776.023782451957 -137.363720527439 -230.039809764688</f>
        <v>-1143.427312744084</v>
      </c>
      <c r="Q2278" t="s">
        <v>28839</v>
      </c>
      <c r="R2278" t="s">
        <v>28840</v>
      </c>
      <c r="S2278" t="s">
        <v>28841</v>
      </c>
      <c r="T2278" t="s">
        <v>28842</v>
      </c>
      <c r="U2278" t="s">
        <v>28843</v>
      </c>
      <c r="V2278">
        <f>-747.849878219328 -12.5516679452958 -91.7894211425673</f>
        <v>-852.19096730719116</v>
      </c>
      <c r="W2278" t="s">
        <v>28844</v>
      </c>
      <c r="X2278" t="s">
        <v>28845</v>
      </c>
      <c r="Y2278" t="s">
        <v>28846</v>
      </c>
    </row>
    <row r="2279" spans="1:25" x14ac:dyDescent="0.3">
      <c r="A2279">
        <v>113900</v>
      </c>
      <c r="B2279" t="s">
        <v>28847</v>
      </c>
      <c r="C2279" t="s">
        <v>28848</v>
      </c>
      <c r="D2279" t="s">
        <v>28849</v>
      </c>
      <c r="E2279" t="s">
        <v>28850</v>
      </c>
      <c r="F2279" t="s">
        <v>28851</v>
      </c>
      <c r="G2279" t="s">
        <v>28852</v>
      </c>
      <c r="H2279" t="s">
        <v>28853</v>
      </c>
      <c r="I2279" t="s">
        <v>28854</v>
      </c>
      <c r="J2279" t="s">
        <v>28855</v>
      </c>
      <c r="K2279" t="s">
        <v>28856</v>
      </c>
      <c r="L2279" t="s">
        <v>28857</v>
      </c>
      <c r="M2279" t="s">
        <v>28858</v>
      </c>
      <c r="N2279" t="s">
        <v>28859</v>
      </c>
      <c r="O2279">
        <f>-784.005699689656 -99.2701785272782 -521.704010656277</f>
        <v>-1404.9798888732112</v>
      </c>
      <c r="P2279">
        <f>-775.178309869486 -136.899999372597 -229.989648166278</f>
        <v>-1142.0679574083611</v>
      </c>
      <c r="Q2279" t="s">
        <v>28860</v>
      </c>
      <c r="R2279" t="s">
        <v>28861</v>
      </c>
      <c r="S2279" t="s">
        <v>28862</v>
      </c>
      <c r="T2279" t="s">
        <v>28863</v>
      </c>
      <c r="U2279" t="s">
        <v>28864</v>
      </c>
      <c r="V2279">
        <f>-747.423575703971 -12.3926395895667 -91.7995245802534</f>
        <v>-851.61573987379109</v>
      </c>
      <c r="W2279" t="s">
        <v>28865</v>
      </c>
      <c r="X2279" t="s">
        <v>28866</v>
      </c>
      <c r="Y2279" t="s">
        <v>28867</v>
      </c>
    </row>
    <row r="2280" spans="1:25" x14ac:dyDescent="0.3">
      <c r="A2280">
        <v>113950</v>
      </c>
      <c r="B2280" t="s">
        <v>28868</v>
      </c>
      <c r="C2280" t="s">
        <v>28869</v>
      </c>
      <c r="D2280" t="s">
        <v>28870</v>
      </c>
      <c r="E2280" t="s">
        <v>28871</v>
      </c>
      <c r="F2280" t="s">
        <v>28872</v>
      </c>
      <c r="G2280" t="s">
        <v>28873</v>
      </c>
      <c r="H2280" t="s">
        <v>28874</v>
      </c>
      <c r="I2280" t="s">
        <v>28875</v>
      </c>
      <c r="J2280" t="s">
        <v>28876</v>
      </c>
      <c r="K2280" t="s">
        <v>28877</v>
      </c>
      <c r="L2280" t="s">
        <v>28878</v>
      </c>
      <c r="M2280" t="s">
        <v>28879</v>
      </c>
      <c r="N2280" t="s">
        <v>28880</v>
      </c>
      <c r="O2280">
        <f>-783.391830068138 -98.8862948812057 -521.72456901246</f>
        <v>-1404.0026939618037</v>
      </c>
      <c r="P2280">
        <f>-774.556235007553 -136.458072626484 -230.002990969453</f>
        <v>-1141.0172986034902</v>
      </c>
      <c r="Q2280" t="s">
        <v>28881</v>
      </c>
      <c r="R2280" t="s">
        <v>28882</v>
      </c>
      <c r="S2280" t="s">
        <v>28883</v>
      </c>
      <c r="T2280" t="s">
        <v>28884</v>
      </c>
      <c r="U2280" t="s">
        <v>28885</v>
      </c>
      <c r="V2280">
        <f>-747.207740828068 -12.1312850065356 -91.8208385881711</f>
        <v>-851.15986442277472</v>
      </c>
      <c r="W2280" t="s">
        <v>28886</v>
      </c>
      <c r="X2280" t="s">
        <v>28887</v>
      </c>
      <c r="Y2280" t="s">
        <v>28888</v>
      </c>
    </row>
    <row r="2281" spans="1:25" x14ac:dyDescent="0.3">
      <c r="A2281">
        <v>114000</v>
      </c>
      <c r="B2281" t="s">
        <v>28889</v>
      </c>
      <c r="C2281" t="s">
        <v>28890</v>
      </c>
      <c r="D2281" t="s">
        <v>28891</v>
      </c>
      <c r="E2281" t="s">
        <v>28892</v>
      </c>
      <c r="F2281" t="s">
        <v>28893</v>
      </c>
      <c r="G2281" t="s">
        <v>28894</v>
      </c>
      <c r="H2281" t="s">
        <v>28895</v>
      </c>
      <c r="I2281" t="s">
        <v>28896</v>
      </c>
      <c r="J2281" t="s">
        <v>28897</v>
      </c>
      <c r="K2281" t="s">
        <v>28898</v>
      </c>
      <c r="L2281" t="s">
        <v>28899</v>
      </c>
      <c r="M2281" t="s">
        <v>28900</v>
      </c>
      <c r="N2281" t="s">
        <v>28901</v>
      </c>
      <c r="O2281">
        <f>-782.210819203917 -98.1264377767889 -521.803935234405</f>
        <v>-1402.141192215111</v>
      </c>
      <c r="P2281">
        <f>-773.397063776892 -135.635515181404 -230.073594583724</f>
        <v>-1139.1061735420199</v>
      </c>
      <c r="Q2281" t="s">
        <v>28902</v>
      </c>
      <c r="R2281" t="s">
        <v>28903</v>
      </c>
      <c r="S2281" t="s">
        <v>28904</v>
      </c>
      <c r="T2281" t="s">
        <v>28905</v>
      </c>
      <c r="U2281" t="s">
        <v>28906</v>
      </c>
      <c r="V2281">
        <f>-746.64456432591 -11.535983114394 -91.8585321673572</f>
        <v>-850.03907960766117</v>
      </c>
      <c r="W2281" t="s">
        <v>28907</v>
      </c>
      <c r="X2281" t="s">
        <v>28908</v>
      </c>
      <c r="Y2281" t="s">
        <v>28909</v>
      </c>
    </row>
    <row r="2282" spans="1:25" x14ac:dyDescent="0.3">
      <c r="A2282">
        <v>114050</v>
      </c>
      <c r="B2282" t="s">
        <v>28910</v>
      </c>
      <c r="C2282" t="s">
        <v>28911</v>
      </c>
      <c r="D2282" t="s">
        <v>28912</v>
      </c>
      <c r="E2282" t="s">
        <v>28913</v>
      </c>
      <c r="F2282" t="s">
        <v>28914</v>
      </c>
      <c r="G2282" t="s">
        <v>28915</v>
      </c>
      <c r="H2282" t="s">
        <v>28916</v>
      </c>
      <c r="I2282" t="s">
        <v>28917</v>
      </c>
      <c r="J2282" t="s">
        <v>28918</v>
      </c>
      <c r="K2282" t="s">
        <v>28919</v>
      </c>
      <c r="L2282" t="s">
        <v>28920</v>
      </c>
      <c r="M2282" t="s">
        <v>28921</v>
      </c>
      <c r="N2282" t="s">
        <v>28922</v>
      </c>
      <c r="O2282">
        <f>-781.685192525683 -97.8019757830518 -521.861378962581</f>
        <v>-1401.348547271316</v>
      </c>
      <c r="P2282">
        <f>-772.968423966105 -135.250325340997 -230.120456988731</f>
        <v>-1138.3392062958328</v>
      </c>
      <c r="Q2282" t="s">
        <v>28923</v>
      </c>
      <c r="R2282" t="s">
        <v>28924</v>
      </c>
      <c r="S2282" t="s">
        <v>28925</v>
      </c>
      <c r="T2282" t="s">
        <v>28926</v>
      </c>
      <c r="U2282" t="s">
        <v>28927</v>
      </c>
      <c r="V2282">
        <f>-746.306589997615 -11.3287704469299 -91.8849304772358</f>
        <v>-849.52029092178066</v>
      </c>
      <c r="W2282" t="s">
        <v>28928</v>
      </c>
      <c r="X2282" t="s">
        <v>28929</v>
      </c>
      <c r="Y2282" t="s">
        <v>28930</v>
      </c>
    </row>
    <row r="2283" spans="1:25" x14ac:dyDescent="0.3">
      <c r="A2283">
        <v>114100</v>
      </c>
      <c r="B2283" t="s">
        <v>28931</v>
      </c>
      <c r="C2283" t="s">
        <v>28932</v>
      </c>
      <c r="D2283" t="s">
        <v>28933</v>
      </c>
      <c r="E2283" t="s">
        <v>28934</v>
      </c>
      <c r="F2283" t="s">
        <v>28935</v>
      </c>
      <c r="G2283" t="s">
        <v>28936</v>
      </c>
      <c r="H2283" t="s">
        <v>28937</v>
      </c>
      <c r="I2283" t="s">
        <v>28938</v>
      </c>
      <c r="J2283" t="s">
        <v>28939</v>
      </c>
      <c r="K2283" t="s">
        <v>28940</v>
      </c>
      <c r="L2283" t="s">
        <v>28941</v>
      </c>
      <c r="M2283" t="s">
        <v>28942</v>
      </c>
      <c r="N2283" t="s">
        <v>28943</v>
      </c>
      <c r="O2283">
        <f>-780.778582147114 -97.3272195096577 -521.947655793313</f>
        <v>-1400.0534574500846</v>
      </c>
      <c r="P2283">
        <f>-771.986769262298 -134.835050294925 -230.216456667372</f>
        <v>-1137.0382762245952</v>
      </c>
      <c r="Q2283" t="s">
        <v>28944</v>
      </c>
      <c r="R2283" t="s">
        <v>28945</v>
      </c>
      <c r="S2283" t="s">
        <v>28946</v>
      </c>
      <c r="T2283" t="s">
        <v>28947</v>
      </c>
      <c r="U2283" t="s">
        <v>28948</v>
      </c>
      <c r="V2283">
        <f>-745.724018280831 -11.2008746318486 -91.9378548558616</f>
        <v>-848.86274776854123</v>
      </c>
      <c r="W2283" t="s">
        <v>28949</v>
      </c>
      <c r="X2283" t="s">
        <v>28950</v>
      </c>
      <c r="Y2283" t="s">
        <v>28951</v>
      </c>
    </row>
    <row r="2284" spans="1:25" x14ac:dyDescent="0.3">
      <c r="A2284">
        <v>114150</v>
      </c>
      <c r="B2284" t="s">
        <v>28952</v>
      </c>
      <c r="C2284" t="s">
        <v>28953</v>
      </c>
      <c r="D2284" t="s">
        <v>28954</v>
      </c>
      <c r="E2284" t="s">
        <v>28955</v>
      </c>
      <c r="F2284" t="s">
        <v>28956</v>
      </c>
      <c r="G2284" t="s">
        <v>28957</v>
      </c>
      <c r="H2284" t="s">
        <v>28958</v>
      </c>
      <c r="I2284" t="s">
        <v>28959</v>
      </c>
      <c r="J2284" t="s">
        <v>28960</v>
      </c>
      <c r="K2284" t="s">
        <v>28961</v>
      </c>
      <c r="L2284" t="s">
        <v>28962</v>
      </c>
      <c r="M2284" t="s">
        <v>28963</v>
      </c>
      <c r="N2284" t="s">
        <v>28964</v>
      </c>
      <c r="O2284">
        <f>-780.287135920183 -97.0970262043913 -521.992195915832</f>
        <v>-1399.3763580404063</v>
      </c>
      <c r="P2284">
        <f>-771.519959487822 -134.483737529274 -230.244765550607</f>
        <v>-1136.248462567703</v>
      </c>
      <c r="Q2284" t="s">
        <v>28965</v>
      </c>
      <c r="R2284" t="s">
        <v>28966</v>
      </c>
      <c r="S2284" t="s">
        <v>28967</v>
      </c>
      <c r="T2284" t="s">
        <v>28968</v>
      </c>
      <c r="U2284" t="s">
        <v>28969</v>
      </c>
      <c r="V2284">
        <f>-745.393808193349 -11.0367164068839 -91.9517512339257</f>
        <v>-848.38227583415858</v>
      </c>
      <c r="W2284" t="s">
        <v>28970</v>
      </c>
      <c r="X2284" t="s">
        <v>28971</v>
      </c>
      <c r="Y2284" t="s">
        <v>28972</v>
      </c>
    </row>
    <row r="2285" spans="1:25" x14ac:dyDescent="0.3">
      <c r="A2285">
        <v>114200</v>
      </c>
      <c r="B2285" t="s">
        <v>28973</v>
      </c>
      <c r="C2285" t="s">
        <v>28974</v>
      </c>
      <c r="D2285" t="s">
        <v>28975</v>
      </c>
      <c r="E2285" t="s">
        <v>28976</v>
      </c>
      <c r="F2285" t="s">
        <v>28977</v>
      </c>
      <c r="G2285" t="s">
        <v>28978</v>
      </c>
      <c r="H2285" t="s">
        <v>28979</v>
      </c>
      <c r="I2285" t="s">
        <v>28980</v>
      </c>
      <c r="J2285" t="s">
        <v>28981</v>
      </c>
      <c r="K2285" t="s">
        <v>28982</v>
      </c>
      <c r="L2285" t="s">
        <v>28983</v>
      </c>
      <c r="M2285" t="s">
        <v>28984</v>
      </c>
      <c r="N2285" t="s">
        <v>28985</v>
      </c>
      <c r="O2285">
        <f>-779.250062545727 -96.4287583073894 -522.120255681137</f>
        <v>-1397.7990765342533</v>
      </c>
      <c r="P2285">
        <f>-770.532885187825 -133.882566299728 -230.379947826238</f>
        <v>-1134.795399313791</v>
      </c>
      <c r="Q2285" t="s">
        <v>28986</v>
      </c>
      <c r="R2285" t="s">
        <v>28987</v>
      </c>
      <c r="S2285" t="s">
        <v>28988</v>
      </c>
      <c r="T2285" t="s">
        <v>28989</v>
      </c>
      <c r="U2285" t="s">
        <v>28990</v>
      </c>
      <c r="V2285">
        <f>-744.781954117771 -10.5482189666179 -91.9867056784914</f>
        <v>-847.31687876288026</v>
      </c>
      <c r="W2285" t="s">
        <v>28991</v>
      </c>
      <c r="X2285" t="s">
        <v>28992</v>
      </c>
      <c r="Y2285" t="s">
        <v>28993</v>
      </c>
    </row>
    <row r="2286" spans="1:25" x14ac:dyDescent="0.3">
      <c r="A2286">
        <v>114250</v>
      </c>
      <c r="B2286" t="s">
        <v>28994</v>
      </c>
      <c r="C2286" t="s">
        <v>28995</v>
      </c>
      <c r="D2286" t="s">
        <v>28996</v>
      </c>
      <c r="E2286" t="s">
        <v>28997</v>
      </c>
      <c r="F2286" t="s">
        <v>28998</v>
      </c>
      <c r="G2286" t="s">
        <v>28999</v>
      </c>
      <c r="H2286" t="s">
        <v>29000</v>
      </c>
      <c r="I2286" t="s">
        <v>29001</v>
      </c>
      <c r="J2286" t="s">
        <v>29002</v>
      </c>
      <c r="K2286" t="s">
        <v>29003</v>
      </c>
      <c r="L2286" t="s">
        <v>29004</v>
      </c>
      <c r="M2286" t="s">
        <v>29005</v>
      </c>
      <c r="N2286" t="s">
        <v>29006</v>
      </c>
      <c r="O2286">
        <f>-778.934648439439 -96.082857842659 -522.223415319561</f>
        <v>-1397.240921601659</v>
      </c>
      <c r="P2286">
        <f>-770.249710707883 -133.47488040343 -230.474203482822</f>
        <v>-1134.1987945941351</v>
      </c>
      <c r="Q2286" t="s">
        <v>29007</v>
      </c>
      <c r="R2286" t="s">
        <v>29008</v>
      </c>
      <c r="S2286" t="s">
        <v>29009</v>
      </c>
      <c r="T2286" t="s">
        <v>29010</v>
      </c>
      <c r="U2286" t="s">
        <v>29011</v>
      </c>
      <c r="V2286">
        <f>-744.554049917074 -10.4298116852847 -92.0028746797774</f>
        <v>-846.98673628213612</v>
      </c>
      <c r="W2286" t="s">
        <v>29012</v>
      </c>
      <c r="X2286" t="s">
        <v>29013</v>
      </c>
      <c r="Y2286" t="s">
        <v>29014</v>
      </c>
    </row>
    <row r="2287" spans="1:25" x14ac:dyDescent="0.3">
      <c r="A2287">
        <v>114300</v>
      </c>
      <c r="B2287" t="s">
        <v>29015</v>
      </c>
      <c r="C2287" t="s">
        <v>29016</v>
      </c>
      <c r="D2287" t="s">
        <v>29017</v>
      </c>
      <c r="E2287" t="s">
        <v>29018</v>
      </c>
      <c r="F2287" t="s">
        <v>29019</v>
      </c>
      <c r="G2287" t="s">
        <v>29020</v>
      </c>
      <c r="H2287" t="s">
        <v>29021</v>
      </c>
      <c r="I2287" t="s">
        <v>29022</v>
      </c>
      <c r="J2287" t="s">
        <v>29023</v>
      </c>
      <c r="K2287" t="s">
        <v>29024</v>
      </c>
      <c r="L2287" t="s">
        <v>29025</v>
      </c>
      <c r="M2287" t="s">
        <v>29026</v>
      </c>
      <c r="N2287" t="s">
        <v>29027</v>
      </c>
      <c r="O2287">
        <f>-778.165374218465 -95.7179614793777 -522.43074594081</f>
        <v>-1396.3140816386526</v>
      </c>
      <c r="P2287">
        <f>-769.304693752762 -133.544925424497 -230.742912756684</f>
        <v>-1133.5925319339431</v>
      </c>
      <c r="Q2287" t="s">
        <v>29028</v>
      </c>
      <c r="R2287" t="s">
        <v>29029</v>
      </c>
      <c r="S2287" t="s">
        <v>29030</v>
      </c>
      <c r="T2287" t="s">
        <v>29031</v>
      </c>
      <c r="U2287" t="s">
        <v>29032</v>
      </c>
      <c r="V2287">
        <f>-744.196249438284 -10.5211446530814 -92.0480301972625</f>
        <v>-846.76542428862786</v>
      </c>
      <c r="W2287" t="s">
        <v>29033</v>
      </c>
      <c r="X2287" t="s">
        <v>29034</v>
      </c>
      <c r="Y2287" t="s">
        <v>29035</v>
      </c>
    </row>
    <row r="2288" spans="1:25" x14ac:dyDescent="0.3">
      <c r="A2288">
        <v>114350</v>
      </c>
      <c r="B2288" t="s">
        <v>29036</v>
      </c>
      <c r="C2288" t="s">
        <v>29037</v>
      </c>
      <c r="D2288" t="s">
        <v>29038</v>
      </c>
      <c r="E2288" t="s">
        <v>29039</v>
      </c>
      <c r="F2288" t="s">
        <v>29040</v>
      </c>
      <c r="G2288" t="s">
        <v>29041</v>
      </c>
      <c r="H2288" t="s">
        <v>29042</v>
      </c>
      <c r="I2288" t="s">
        <v>29043</v>
      </c>
      <c r="J2288" t="s">
        <v>29044</v>
      </c>
      <c r="K2288" t="s">
        <v>29045</v>
      </c>
      <c r="L2288" t="s">
        <v>29046</v>
      </c>
      <c r="M2288" t="s">
        <v>29047</v>
      </c>
      <c r="N2288" t="s">
        <v>29048</v>
      </c>
      <c r="O2288">
        <f>-777.877163556316 -95.482330210672 -522.501917080175</f>
        <v>-1395.8614108471629</v>
      </c>
      <c r="P2288">
        <f>-769.151973389326 -133.106689814321 -230.783872439534</f>
        <v>-1133.0425356431811</v>
      </c>
      <c r="Q2288" t="s">
        <v>29049</v>
      </c>
      <c r="R2288" t="s">
        <v>29050</v>
      </c>
      <c r="S2288" t="s">
        <v>29051</v>
      </c>
      <c r="T2288" t="s">
        <v>29052</v>
      </c>
      <c r="U2288" t="s">
        <v>29053</v>
      </c>
      <c r="V2288">
        <f>-744.041590985027 -10.3850932212777 -92.0650639815626</f>
        <v>-846.4917481878673</v>
      </c>
      <c r="W2288" t="s">
        <v>29054</v>
      </c>
      <c r="X2288" t="s">
        <v>29055</v>
      </c>
      <c r="Y2288" t="s">
        <v>29056</v>
      </c>
    </row>
    <row r="2289" spans="1:25" x14ac:dyDescent="0.3">
      <c r="A2289">
        <v>114400</v>
      </c>
      <c r="B2289" t="s">
        <v>29057</v>
      </c>
      <c r="C2289" t="s">
        <v>29058</v>
      </c>
      <c r="D2289" t="s">
        <v>29059</v>
      </c>
      <c r="E2289" t="s">
        <v>29060</v>
      </c>
      <c r="F2289" t="s">
        <v>29061</v>
      </c>
      <c r="G2289" t="s">
        <v>29062</v>
      </c>
      <c r="H2289" t="s">
        <v>29063</v>
      </c>
      <c r="I2289" t="s">
        <v>29064</v>
      </c>
      <c r="J2289" t="s">
        <v>29065</v>
      </c>
      <c r="K2289" t="s">
        <v>29066</v>
      </c>
      <c r="L2289" t="s">
        <v>29067</v>
      </c>
      <c r="M2289" t="s">
        <v>29068</v>
      </c>
      <c r="N2289" t="s">
        <v>29069</v>
      </c>
      <c r="O2289">
        <f>-777.287244644738 -95.2780070241681 -522.608768760178</f>
        <v>-1395.1740204290841</v>
      </c>
      <c r="P2289">
        <f>-768.6656550793 -133.118355933239 -230.915553281963</f>
        <v>-1132.6995642945019</v>
      </c>
      <c r="Q2289" t="s">
        <v>29070</v>
      </c>
      <c r="R2289" t="s">
        <v>29071</v>
      </c>
      <c r="S2289" t="s">
        <v>29072</v>
      </c>
      <c r="T2289" t="s">
        <v>29073</v>
      </c>
      <c r="U2289" t="s">
        <v>29074</v>
      </c>
      <c r="V2289">
        <f>-743.885733071021 -10.4274294536747 -92.0666663560161</f>
        <v>-846.37982888071178</v>
      </c>
      <c r="W2289" t="s">
        <v>29075</v>
      </c>
      <c r="X2289" t="s">
        <v>29076</v>
      </c>
      <c r="Y2289" t="s">
        <v>29077</v>
      </c>
    </row>
    <row r="2290" spans="1:25" x14ac:dyDescent="0.3">
      <c r="A2290">
        <v>114450</v>
      </c>
      <c r="B2290" t="s">
        <v>29078</v>
      </c>
      <c r="C2290" t="s">
        <v>29079</v>
      </c>
      <c r="D2290" t="s">
        <v>29080</v>
      </c>
      <c r="E2290" t="s">
        <v>29081</v>
      </c>
      <c r="F2290" t="s">
        <v>29082</v>
      </c>
      <c r="G2290" t="s">
        <v>29083</v>
      </c>
      <c r="H2290" t="s">
        <v>29084</v>
      </c>
      <c r="I2290" t="s">
        <v>29085</v>
      </c>
      <c r="J2290" t="s">
        <v>29086</v>
      </c>
      <c r="K2290" t="s">
        <v>29087</v>
      </c>
      <c r="L2290" t="s">
        <v>29088</v>
      </c>
      <c r="M2290" t="s">
        <v>29089</v>
      </c>
      <c r="N2290" t="s">
        <v>29090</v>
      </c>
      <c r="O2290">
        <f>-777.014089814053 -95.1311126247128 -522.707792838411</f>
        <v>-1394.8529952771769</v>
      </c>
      <c r="P2290">
        <f>-768.631300167984 -133.226187794077 -231.040700994747</f>
        <v>-1132.8981889568081</v>
      </c>
      <c r="Q2290" t="s">
        <v>29091</v>
      </c>
      <c r="R2290" t="s">
        <v>29092</v>
      </c>
      <c r="S2290" t="s">
        <v>29093</v>
      </c>
      <c r="T2290" t="s">
        <v>29094</v>
      </c>
      <c r="U2290" t="s">
        <v>29095</v>
      </c>
      <c r="V2290">
        <f>-743.771166923924 -10.3506429914967 -92.0823796915345</f>
        <v>-846.2041896069552</v>
      </c>
      <c r="W2290" t="s">
        <v>29096</v>
      </c>
      <c r="X2290" t="s">
        <v>29097</v>
      </c>
      <c r="Y2290" t="s">
        <v>29098</v>
      </c>
    </row>
    <row r="2291" spans="1:25" x14ac:dyDescent="0.3">
      <c r="A2291">
        <v>114500</v>
      </c>
      <c r="B2291" t="s">
        <v>29099</v>
      </c>
      <c r="C2291" t="s">
        <v>29100</v>
      </c>
      <c r="D2291" t="s">
        <v>29101</v>
      </c>
      <c r="E2291" t="s">
        <v>29102</v>
      </c>
      <c r="F2291" t="s">
        <v>29103</v>
      </c>
      <c r="G2291" t="s">
        <v>29104</v>
      </c>
      <c r="H2291" t="s">
        <v>29105</v>
      </c>
      <c r="I2291" t="s">
        <v>29106</v>
      </c>
      <c r="J2291" t="s">
        <v>29107</v>
      </c>
      <c r="K2291" t="s">
        <v>29108</v>
      </c>
      <c r="L2291" t="s">
        <v>29109</v>
      </c>
      <c r="M2291" t="s">
        <v>29110</v>
      </c>
      <c r="N2291" t="s">
        <v>29111</v>
      </c>
      <c r="O2291">
        <f>-776.937846784457 -94.7868846268289 -523.0676875327</f>
        <v>-1394.7924189439859</v>
      </c>
      <c r="P2291">
        <f>-768.579143783592 -133.887307416436 -231.532947164304</f>
        <v>-1133.9993983643321</v>
      </c>
      <c r="Q2291" t="s">
        <v>29112</v>
      </c>
      <c r="R2291" t="s">
        <v>29113</v>
      </c>
      <c r="S2291" t="s">
        <v>29114</v>
      </c>
      <c r="T2291" t="s">
        <v>29115</v>
      </c>
      <c r="U2291" t="s">
        <v>29116</v>
      </c>
      <c r="V2291">
        <f>-743.675475215039 -10.0461818389235 -92.1350030126085</f>
        <v>-845.85666006657107</v>
      </c>
      <c r="W2291" t="s">
        <v>29117</v>
      </c>
      <c r="X2291" t="s">
        <v>29118</v>
      </c>
      <c r="Y2291" t="s">
        <v>29119</v>
      </c>
    </row>
    <row r="2292" spans="1:25" x14ac:dyDescent="0.3">
      <c r="A2292">
        <v>114550</v>
      </c>
      <c r="B2292" t="s">
        <v>29120</v>
      </c>
      <c r="C2292" t="s">
        <v>29121</v>
      </c>
      <c r="D2292" t="s">
        <v>29122</v>
      </c>
      <c r="E2292" t="s">
        <v>29123</v>
      </c>
      <c r="F2292" t="s">
        <v>29124</v>
      </c>
      <c r="G2292" t="s">
        <v>29125</v>
      </c>
      <c r="H2292" t="s">
        <v>29126</v>
      </c>
      <c r="I2292" t="s">
        <v>29127</v>
      </c>
      <c r="J2292" t="s">
        <v>29128</v>
      </c>
      <c r="K2292" t="s">
        <v>29129</v>
      </c>
      <c r="L2292" t="s">
        <v>29130</v>
      </c>
      <c r="M2292" t="s">
        <v>29131</v>
      </c>
      <c r="N2292" t="s">
        <v>29132</v>
      </c>
      <c r="O2292">
        <f>-777.224125060483 -94.6425678794869 -523.276368371069</f>
        <v>-1395.1430613110388</v>
      </c>
      <c r="P2292">
        <f>-768.792632373893 -134.057022697799 -231.785988609378</f>
        <v>-1134.63564368107</v>
      </c>
      <c r="Q2292" t="s">
        <v>29133</v>
      </c>
      <c r="R2292" t="s">
        <v>29134</v>
      </c>
      <c r="S2292" t="s">
        <v>29135</v>
      </c>
      <c r="T2292" t="s">
        <v>29136</v>
      </c>
      <c r="U2292" t="s">
        <v>29137</v>
      </c>
      <c r="V2292">
        <f>-743.756393937176 -10.1070717254895 -92.1761404464569</f>
        <v>-846.03960610912236</v>
      </c>
      <c r="W2292" t="s">
        <v>29138</v>
      </c>
      <c r="X2292" t="s">
        <v>29139</v>
      </c>
      <c r="Y2292" t="s">
        <v>29140</v>
      </c>
    </row>
    <row r="2293" spans="1:25" x14ac:dyDescent="0.3">
      <c r="A2293">
        <v>114600</v>
      </c>
      <c r="B2293" t="s">
        <v>29141</v>
      </c>
      <c r="C2293" t="s">
        <v>29142</v>
      </c>
      <c r="D2293" t="s">
        <v>29143</v>
      </c>
      <c r="E2293" t="s">
        <v>29144</v>
      </c>
      <c r="F2293" t="s">
        <v>29145</v>
      </c>
      <c r="G2293" t="s">
        <v>29146</v>
      </c>
      <c r="H2293" t="s">
        <v>29147</v>
      </c>
      <c r="I2293" t="s">
        <v>29148</v>
      </c>
      <c r="J2293" t="s">
        <v>29149</v>
      </c>
      <c r="K2293" t="s">
        <v>29150</v>
      </c>
      <c r="L2293" t="s">
        <v>29151</v>
      </c>
      <c r="M2293" t="s">
        <v>29152</v>
      </c>
      <c r="N2293" t="s">
        <v>29153</v>
      </c>
      <c r="O2293">
        <f>-777.558400581048 -94.3911728680594 -523.55465189474</f>
        <v>-1395.5042253438473</v>
      </c>
      <c r="P2293">
        <f>-769.290828585058 -133.780711147535 -232.056220257561</f>
        <v>-1135.1277599901541</v>
      </c>
      <c r="Q2293" t="s">
        <v>29154</v>
      </c>
      <c r="R2293" t="s">
        <v>29155</v>
      </c>
      <c r="S2293" t="s">
        <v>29156</v>
      </c>
      <c r="T2293" t="s">
        <v>29157</v>
      </c>
      <c r="U2293" t="s">
        <v>29158</v>
      </c>
      <c r="V2293">
        <f>-743.917565028718 -10.0454689169844 -92.2508805274859</f>
        <v>-846.21391447318831</v>
      </c>
      <c r="W2293" t="s">
        <v>29159</v>
      </c>
      <c r="X2293" t="s">
        <v>29160</v>
      </c>
      <c r="Y2293" t="s">
        <v>29161</v>
      </c>
    </row>
    <row r="2294" spans="1:25" x14ac:dyDescent="0.3">
      <c r="A2294">
        <v>114650</v>
      </c>
      <c r="B2294" t="s">
        <v>29162</v>
      </c>
      <c r="C2294" t="s">
        <v>29163</v>
      </c>
      <c r="D2294" t="s">
        <v>29164</v>
      </c>
      <c r="E2294" t="s">
        <v>29165</v>
      </c>
      <c r="F2294" t="s">
        <v>29166</v>
      </c>
      <c r="G2294" t="s">
        <v>29167</v>
      </c>
      <c r="H2294" t="s">
        <v>29168</v>
      </c>
      <c r="I2294" t="s">
        <v>29169</v>
      </c>
      <c r="J2294" t="s">
        <v>29170</v>
      </c>
      <c r="K2294" t="s">
        <v>29171</v>
      </c>
      <c r="L2294" t="s">
        <v>29172</v>
      </c>
      <c r="M2294" t="s">
        <v>29173</v>
      </c>
      <c r="N2294" t="s">
        <v>29174</v>
      </c>
      <c r="O2294">
        <f>-777.71917458638 -94.2176176945973 -523.675574257214</f>
        <v>-1395.6123665381911</v>
      </c>
      <c r="P2294">
        <f>-769.452974243502 -134.00889326787 -232.231676868018</f>
        <v>-1135.69354437939</v>
      </c>
      <c r="Q2294" t="s">
        <v>29175</v>
      </c>
      <c r="R2294" t="s">
        <v>29176</v>
      </c>
      <c r="S2294" t="s">
        <v>29177</v>
      </c>
      <c r="T2294" t="s">
        <v>29178</v>
      </c>
      <c r="U2294" t="s">
        <v>29179</v>
      </c>
      <c r="V2294">
        <f>-744.0414441223 -10.0219326361837 -92.2756557579642</f>
        <v>-846.3390325164479</v>
      </c>
      <c r="W2294" t="s">
        <v>29180</v>
      </c>
      <c r="X2294" t="s">
        <v>29181</v>
      </c>
      <c r="Y2294" t="s">
        <v>29182</v>
      </c>
    </row>
    <row r="2295" spans="1:25" x14ac:dyDescent="0.3">
      <c r="A2295">
        <v>114700</v>
      </c>
      <c r="B2295" t="s">
        <v>29183</v>
      </c>
      <c r="C2295" t="s">
        <v>29184</v>
      </c>
      <c r="D2295" t="s">
        <v>29185</v>
      </c>
      <c r="E2295" t="s">
        <v>29186</v>
      </c>
      <c r="F2295" t="s">
        <v>29187</v>
      </c>
      <c r="G2295" t="s">
        <v>29188</v>
      </c>
      <c r="H2295" t="s">
        <v>29189</v>
      </c>
      <c r="I2295" t="s">
        <v>29190</v>
      </c>
      <c r="J2295" t="s">
        <v>29191</v>
      </c>
      <c r="K2295" t="s">
        <v>29192</v>
      </c>
      <c r="L2295" t="s">
        <v>29193</v>
      </c>
      <c r="M2295" t="s">
        <v>29194</v>
      </c>
      <c r="N2295" t="s">
        <v>29195</v>
      </c>
      <c r="O2295">
        <f>-778.428165365052 -93.907223948808 -524.011114763607</f>
        <v>-1396.346504077467</v>
      </c>
      <c r="P2295">
        <f>-770.342258881672 -134.496417192343 -232.672172368969</f>
        <v>-1137.5108484429841</v>
      </c>
      <c r="Q2295" t="s">
        <v>29196</v>
      </c>
      <c r="R2295" t="s">
        <v>29197</v>
      </c>
      <c r="S2295" t="s">
        <v>29198</v>
      </c>
      <c r="T2295" t="s">
        <v>29199</v>
      </c>
      <c r="U2295" t="s">
        <v>29200</v>
      </c>
      <c r="V2295">
        <f>-744.328579788877 -10.1232190476173 -92.2770174625649</f>
        <v>-846.7288162990593</v>
      </c>
      <c r="W2295" t="s">
        <v>29201</v>
      </c>
      <c r="X2295" t="s">
        <v>29202</v>
      </c>
      <c r="Y2295" t="s">
        <v>29203</v>
      </c>
    </row>
    <row r="2296" spans="1:25" x14ac:dyDescent="0.3">
      <c r="A2296">
        <v>114750</v>
      </c>
      <c r="B2296" t="s">
        <v>29204</v>
      </c>
      <c r="C2296" t="s">
        <v>29205</v>
      </c>
      <c r="D2296" t="s">
        <v>29206</v>
      </c>
      <c r="E2296" t="s">
        <v>29207</v>
      </c>
      <c r="F2296" t="s">
        <v>29208</v>
      </c>
      <c r="G2296" t="s">
        <v>29209</v>
      </c>
      <c r="H2296" t="s">
        <v>29210</v>
      </c>
      <c r="I2296" t="s">
        <v>29211</v>
      </c>
      <c r="J2296" t="s">
        <v>29212</v>
      </c>
      <c r="K2296" t="s">
        <v>29213</v>
      </c>
      <c r="L2296" t="s">
        <v>29214</v>
      </c>
      <c r="M2296" t="s">
        <v>29215</v>
      </c>
      <c r="N2296" t="s">
        <v>29216</v>
      </c>
      <c r="O2296">
        <f>-778.786702988774 -93.7165516975372 -524.177838176572</f>
        <v>-1396.6810928628831</v>
      </c>
      <c r="P2296">
        <f>-770.865233904973 -134.771293534777 -232.899614261265</f>
        <v>-1138.5361417010149</v>
      </c>
      <c r="Q2296" t="s">
        <v>29217</v>
      </c>
      <c r="R2296" t="s">
        <v>29218</v>
      </c>
      <c r="S2296" t="s">
        <v>29219</v>
      </c>
      <c r="T2296" t="s">
        <v>29220</v>
      </c>
      <c r="U2296" t="s">
        <v>29221</v>
      </c>
      <c r="V2296">
        <f>-744.445576528353 -10.1818883914596 -92.2717414205711</f>
        <v>-846.89920634038356</v>
      </c>
      <c r="W2296" t="s">
        <v>29222</v>
      </c>
      <c r="X2296" t="s">
        <v>29223</v>
      </c>
      <c r="Y2296" t="s">
        <v>29224</v>
      </c>
    </row>
    <row r="2297" spans="1:25" x14ac:dyDescent="0.3">
      <c r="A2297">
        <v>114800</v>
      </c>
      <c r="B2297" t="s">
        <v>29225</v>
      </c>
      <c r="C2297" t="s">
        <v>29226</v>
      </c>
      <c r="D2297" t="s">
        <v>29227</v>
      </c>
      <c r="E2297" t="s">
        <v>29228</v>
      </c>
      <c r="F2297" t="s">
        <v>29229</v>
      </c>
      <c r="G2297" t="s">
        <v>29230</v>
      </c>
      <c r="H2297" t="s">
        <v>29231</v>
      </c>
      <c r="I2297" t="s">
        <v>29232</v>
      </c>
      <c r="J2297" t="s">
        <v>29233</v>
      </c>
      <c r="K2297" t="s">
        <v>29234</v>
      </c>
      <c r="L2297" t="s">
        <v>29235</v>
      </c>
      <c r="M2297" t="s">
        <v>29236</v>
      </c>
      <c r="N2297" t="s">
        <v>29237</v>
      </c>
      <c r="O2297">
        <f>-779.329587794815 -93.61393603492 -524.306646908121</f>
        <v>-1397.250170737856</v>
      </c>
      <c r="P2297">
        <f>-771.417530987787 -134.961474811612 -233.069574386404</f>
        <v>-1139.4485801858029</v>
      </c>
      <c r="Q2297" t="s">
        <v>29238</v>
      </c>
      <c r="R2297" t="s">
        <v>29239</v>
      </c>
      <c r="S2297" t="s">
        <v>29240</v>
      </c>
      <c r="T2297" t="s">
        <v>29241</v>
      </c>
      <c r="U2297" t="s">
        <v>29242</v>
      </c>
      <c r="V2297">
        <f>-744.687180710384 -10.2693723269231 -92.2523053614677</f>
        <v>-847.20885839877485</v>
      </c>
      <c r="W2297" t="s">
        <v>29243</v>
      </c>
      <c r="X2297" t="s">
        <v>29244</v>
      </c>
      <c r="Y2297" t="s">
        <v>29245</v>
      </c>
    </row>
    <row r="2298" spans="1:25" x14ac:dyDescent="0.3">
      <c r="A2298">
        <v>114850</v>
      </c>
      <c r="B2298" t="s">
        <v>29246</v>
      </c>
      <c r="C2298" t="s">
        <v>29247</v>
      </c>
      <c r="D2298" t="s">
        <v>29248</v>
      </c>
      <c r="E2298" t="s">
        <v>29249</v>
      </c>
      <c r="F2298" t="s">
        <v>29250</v>
      </c>
      <c r="G2298" t="s">
        <v>29251</v>
      </c>
      <c r="H2298" t="s">
        <v>29252</v>
      </c>
      <c r="I2298" t="s">
        <v>29253</v>
      </c>
      <c r="J2298" t="s">
        <v>29254</v>
      </c>
      <c r="K2298" t="s">
        <v>29255</v>
      </c>
      <c r="L2298" t="s">
        <v>29256</v>
      </c>
      <c r="M2298" t="s">
        <v>29257</v>
      </c>
      <c r="N2298" t="s">
        <v>29258</v>
      </c>
      <c r="O2298">
        <f>-779.554757364919 -93.6284736693081 -524.318828282848</f>
        <v>-1397.5020593170752</v>
      </c>
      <c r="P2298">
        <f>-771.679002038308 -134.810292690356 -233.057408665026</f>
        <v>-1139.54670339369</v>
      </c>
      <c r="Q2298" t="s">
        <v>29259</v>
      </c>
      <c r="R2298" t="s">
        <v>29260</v>
      </c>
      <c r="S2298" t="s">
        <v>29261</v>
      </c>
      <c r="T2298" t="s">
        <v>29262</v>
      </c>
      <c r="U2298" t="s">
        <v>29263</v>
      </c>
      <c r="V2298">
        <f>-744.801834346887 -10.3071344710643 -92.2590455225416</f>
        <v>-847.36801434049278</v>
      </c>
      <c r="W2298" t="s">
        <v>29264</v>
      </c>
      <c r="X2298" t="s">
        <v>29265</v>
      </c>
      <c r="Y2298" t="s">
        <v>29266</v>
      </c>
    </row>
    <row r="2299" spans="1:25" x14ac:dyDescent="0.3">
      <c r="A2299">
        <v>114900</v>
      </c>
      <c r="B2299" t="s">
        <v>29267</v>
      </c>
      <c r="C2299" t="s">
        <v>29268</v>
      </c>
      <c r="D2299" t="s">
        <v>29269</v>
      </c>
      <c r="E2299" t="s">
        <v>29270</v>
      </c>
      <c r="F2299" t="s">
        <v>29271</v>
      </c>
      <c r="G2299" t="s">
        <v>29272</v>
      </c>
      <c r="H2299" t="s">
        <v>29273</v>
      </c>
      <c r="I2299" t="s">
        <v>29274</v>
      </c>
      <c r="J2299" t="s">
        <v>29275</v>
      </c>
      <c r="K2299" t="s">
        <v>29276</v>
      </c>
      <c r="L2299" t="s">
        <v>29277</v>
      </c>
      <c r="M2299" t="s">
        <v>29278</v>
      </c>
      <c r="N2299" t="s">
        <v>29279</v>
      </c>
      <c r="O2299">
        <f>-780.150043613031 -93.5102398709114 -524.613086714358</f>
        <v>-1398.2733701983004</v>
      </c>
      <c r="P2299">
        <f>-772.246711654812 -135.020041160198 -233.398994537252</f>
        <v>-1140.6657473522621</v>
      </c>
      <c r="Q2299" t="s">
        <v>29280</v>
      </c>
      <c r="R2299" t="s">
        <v>29281</v>
      </c>
      <c r="S2299" t="s">
        <v>29282</v>
      </c>
      <c r="T2299" t="s">
        <v>29283</v>
      </c>
      <c r="U2299" t="s">
        <v>29284</v>
      </c>
      <c r="V2299">
        <f>-744.968117274166 -10.0263430754947 -92.343784016208</f>
        <v>-847.33824436586872</v>
      </c>
      <c r="W2299" t="s">
        <v>29285</v>
      </c>
      <c r="X2299" t="s">
        <v>29286</v>
      </c>
      <c r="Y2299" t="s">
        <v>29287</v>
      </c>
    </row>
    <row r="2300" spans="1:25" x14ac:dyDescent="0.3">
      <c r="A2300">
        <v>114950</v>
      </c>
      <c r="B2300" t="s">
        <v>29288</v>
      </c>
      <c r="C2300" t="s">
        <v>29289</v>
      </c>
      <c r="D2300" t="s">
        <v>29290</v>
      </c>
      <c r="E2300" t="s">
        <v>29291</v>
      </c>
      <c r="F2300" t="s">
        <v>29292</v>
      </c>
      <c r="G2300" t="s">
        <v>29293</v>
      </c>
      <c r="H2300" t="s">
        <v>29294</v>
      </c>
      <c r="I2300" t="s">
        <v>29295</v>
      </c>
      <c r="J2300" t="s">
        <v>29296</v>
      </c>
      <c r="K2300" t="s">
        <v>29297</v>
      </c>
      <c r="L2300" t="s">
        <v>29298</v>
      </c>
      <c r="M2300" t="s">
        <v>29299</v>
      </c>
      <c r="N2300" t="s">
        <v>29300</v>
      </c>
      <c r="O2300">
        <f>-780.482492013463 -93.299496683994 -524.859407667025</f>
        <v>-1398.641396364482</v>
      </c>
      <c r="P2300">
        <f>-772.402137908242 -135.240832790627 -233.711953618884</f>
        <v>-1141.3549243177531</v>
      </c>
      <c r="Q2300" t="s">
        <v>29301</v>
      </c>
      <c r="R2300" t="s">
        <v>29302</v>
      </c>
      <c r="S2300" t="s">
        <v>29303</v>
      </c>
      <c r="T2300" t="s">
        <v>29304</v>
      </c>
      <c r="U2300" t="s">
        <v>29305</v>
      </c>
      <c r="V2300">
        <f>-744.855051116447 -9.821907508702 -92.4261564279245</f>
        <v>-847.10311505307357</v>
      </c>
      <c r="W2300" t="s">
        <v>29306</v>
      </c>
      <c r="X2300" t="s">
        <v>29307</v>
      </c>
      <c r="Y2300" t="s">
        <v>29308</v>
      </c>
    </row>
    <row r="2301" spans="1:25" x14ac:dyDescent="0.3">
      <c r="A2301">
        <v>115000</v>
      </c>
      <c r="B2301" t="s">
        <v>29309</v>
      </c>
      <c r="C2301" t="s">
        <v>29310</v>
      </c>
      <c r="D2301" t="s">
        <v>29311</v>
      </c>
      <c r="E2301" t="s">
        <v>29312</v>
      </c>
      <c r="F2301" t="s">
        <v>29313</v>
      </c>
      <c r="G2301" t="s">
        <v>29314</v>
      </c>
      <c r="H2301" t="s">
        <v>29315</v>
      </c>
      <c r="I2301" t="s">
        <v>29316</v>
      </c>
      <c r="J2301" t="s">
        <v>29317</v>
      </c>
      <c r="K2301" t="s">
        <v>29318</v>
      </c>
      <c r="L2301" t="s">
        <v>29319</v>
      </c>
      <c r="M2301" t="s">
        <v>29320</v>
      </c>
      <c r="N2301" t="s">
        <v>29321</v>
      </c>
      <c r="O2301">
        <f>-780.953690712782 -93.5213330933593 -525.264672631554</f>
        <v>-1399.7396964376953</v>
      </c>
      <c r="P2301">
        <f>-772.756260278932 -136.009392858884 -234.199720840069</f>
        <v>-1142.9653739778851</v>
      </c>
      <c r="Q2301" t="s">
        <v>29322</v>
      </c>
      <c r="R2301" t="s">
        <v>29323</v>
      </c>
      <c r="S2301" t="s">
        <v>29324</v>
      </c>
      <c r="T2301" t="s">
        <v>29325</v>
      </c>
      <c r="U2301" t="s">
        <v>29326</v>
      </c>
      <c r="V2301">
        <f>-744.903737415236 -10.3355029329689 -92.5867584487652</f>
        <v>-847.82599879697011</v>
      </c>
      <c r="W2301" t="s">
        <v>29327</v>
      </c>
      <c r="X2301" t="s">
        <v>29328</v>
      </c>
      <c r="Y2301" t="s">
        <v>29329</v>
      </c>
    </row>
    <row r="2302" spans="1:25" x14ac:dyDescent="0.3">
      <c r="A2302">
        <v>115050</v>
      </c>
      <c r="B2302" t="s">
        <v>29330</v>
      </c>
      <c r="C2302" t="s">
        <v>29331</v>
      </c>
      <c r="D2302" t="s">
        <v>29332</v>
      </c>
      <c r="E2302" t="s">
        <v>29333</v>
      </c>
      <c r="F2302" t="s">
        <v>29334</v>
      </c>
      <c r="G2302" t="s">
        <v>29335</v>
      </c>
      <c r="H2302" t="s">
        <v>29336</v>
      </c>
      <c r="I2302" t="s">
        <v>29337</v>
      </c>
      <c r="J2302" t="s">
        <v>29338</v>
      </c>
      <c r="K2302" t="s">
        <v>29339</v>
      </c>
      <c r="L2302" t="s">
        <v>29340</v>
      </c>
      <c r="M2302" t="s">
        <v>29341</v>
      </c>
      <c r="N2302" t="s">
        <v>29342</v>
      </c>
      <c r="O2302">
        <f>-781.024865198002 -93.7036765049268 -525.352424611709</f>
        <v>-1400.0809663146379</v>
      </c>
      <c r="P2302">
        <f>-772.940708659488 -135.947066870961 -234.248801343465</f>
        <v>-1143.136576873914</v>
      </c>
      <c r="Q2302" t="s">
        <v>29343</v>
      </c>
      <c r="R2302" t="s">
        <v>29344</v>
      </c>
      <c r="S2302" t="s">
        <v>29345</v>
      </c>
      <c r="T2302" t="s">
        <v>29346</v>
      </c>
      <c r="U2302" t="s">
        <v>29347</v>
      </c>
      <c r="V2302">
        <f>-744.889965192571 -10.2850779893604 -92.6565255740467</f>
        <v>-847.83156875597808</v>
      </c>
      <c r="W2302" t="s">
        <v>29348</v>
      </c>
      <c r="X2302" t="s">
        <v>29349</v>
      </c>
      <c r="Y2302" t="s">
        <v>29350</v>
      </c>
    </row>
    <row r="2303" spans="1:25" x14ac:dyDescent="0.3">
      <c r="A2303">
        <v>115100</v>
      </c>
      <c r="B2303" t="s">
        <v>29351</v>
      </c>
      <c r="C2303" t="s">
        <v>29352</v>
      </c>
      <c r="D2303" t="s">
        <v>29353</v>
      </c>
      <c r="E2303" t="s">
        <v>29354</v>
      </c>
      <c r="F2303" t="s">
        <v>29355</v>
      </c>
      <c r="G2303" t="s">
        <v>29356</v>
      </c>
      <c r="H2303" t="s">
        <v>29357</v>
      </c>
      <c r="I2303" t="s">
        <v>29358</v>
      </c>
      <c r="J2303" t="s">
        <v>29359</v>
      </c>
      <c r="K2303" t="s">
        <v>29360</v>
      </c>
      <c r="L2303" t="s">
        <v>29361</v>
      </c>
      <c r="M2303" t="s">
        <v>29362</v>
      </c>
      <c r="N2303" t="s">
        <v>29363</v>
      </c>
      <c r="O2303">
        <f>-781.345109573178 -94.125747432797 -525.489155397339</f>
        <v>-1400.9600124033141</v>
      </c>
      <c r="P2303">
        <f>-773.333366686813 -135.896218010881 -234.31525125996</f>
        <v>-1143.544835957654</v>
      </c>
      <c r="Q2303" t="s">
        <v>29364</v>
      </c>
      <c r="R2303" t="s">
        <v>29365</v>
      </c>
      <c r="S2303" t="s">
        <v>29366</v>
      </c>
      <c r="T2303" t="s">
        <v>29367</v>
      </c>
      <c r="U2303" t="s">
        <v>29368</v>
      </c>
      <c r="V2303">
        <f>-745.035257221572 -10.2811156226176 -92.7692669870635</f>
        <v>-848.08563983125305</v>
      </c>
      <c r="W2303" t="s">
        <v>29369</v>
      </c>
      <c r="X2303" t="s">
        <v>29370</v>
      </c>
      <c r="Y2303" t="s">
        <v>29371</v>
      </c>
    </row>
    <row r="2304" spans="1:25" x14ac:dyDescent="0.3">
      <c r="A2304">
        <v>115150</v>
      </c>
      <c r="B2304" t="s">
        <v>29372</v>
      </c>
      <c r="C2304" t="s">
        <v>29373</v>
      </c>
      <c r="D2304" t="s">
        <v>29374</v>
      </c>
      <c r="E2304" t="s">
        <v>29375</v>
      </c>
      <c r="F2304" t="s">
        <v>29376</v>
      </c>
      <c r="G2304" t="s">
        <v>29377</v>
      </c>
      <c r="H2304" t="s">
        <v>29378</v>
      </c>
      <c r="I2304" t="s">
        <v>29379</v>
      </c>
      <c r="J2304" t="s">
        <v>29380</v>
      </c>
      <c r="K2304" t="s">
        <v>29381</v>
      </c>
      <c r="L2304" t="s">
        <v>29382</v>
      </c>
      <c r="M2304" t="s">
        <v>29383</v>
      </c>
      <c r="N2304" t="s">
        <v>29384</v>
      </c>
      <c r="O2304">
        <f>-781.450000623279 -94.1187737241321 -525.682738696967</f>
        <v>-1401.251513044378</v>
      </c>
      <c r="P2304">
        <f>-773.27457150849 -135.981174960955 -234.526605127627</f>
        <v>-1143.782351597072</v>
      </c>
      <c r="Q2304" t="s">
        <v>29385</v>
      </c>
      <c r="R2304" t="s">
        <v>29386</v>
      </c>
      <c r="S2304" t="s">
        <v>29387</v>
      </c>
      <c r="T2304" t="s">
        <v>29388</v>
      </c>
      <c r="U2304" t="s">
        <v>29389</v>
      </c>
      <c r="V2304">
        <f>-745.193672347747 -10.1630493627501 -92.8030849036429</f>
        <v>-848.15980661414005</v>
      </c>
      <c r="W2304" t="s">
        <v>29390</v>
      </c>
      <c r="X2304" t="s">
        <v>29391</v>
      </c>
      <c r="Y2304" t="s">
        <v>29392</v>
      </c>
    </row>
    <row r="2305" spans="1:25" x14ac:dyDescent="0.3">
      <c r="A2305">
        <v>115200</v>
      </c>
      <c r="B2305" t="s">
        <v>29393</v>
      </c>
      <c r="C2305" t="s">
        <v>29394</v>
      </c>
      <c r="D2305" t="s">
        <v>29395</v>
      </c>
      <c r="E2305" t="s">
        <v>29396</v>
      </c>
      <c r="F2305" t="s">
        <v>29397</v>
      </c>
      <c r="G2305" t="s">
        <v>29398</v>
      </c>
      <c r="H2305" t="s">
        <v>29399</v>
      </c>
      <c r="I2305" t="s">
        <v>29400</v>
      </c>
      <c r="J2305" t="s">
        <v>29401</v>
      </c>
      <c r="K2305" t="s">
        <v>29402</v>
      </c>
      <c r="L2305" t="s">
        <v>29403</v>
      </c>
      <c r="M2305" t="s">
        <v>29404</v>
      </c>
      <c r="N2305" t="s">
        <v>29405</v>
      </c>
      <c r="O2305">
        <f>-781.088917486004 -93.2411857303275 -526.2057486946</f>
        <v>-1400.5358519109313</v>
      </c>
      <c r="P2305">
        <f>-772.892829469567 -135.862203997798 -235.160229880866</f>
        <v>-1143.9152633482311</v>
      </c>
      <c r="Q2305" t="s">
        <v>29406</v>
      </c>
      <c r="R2305" t="s">
        <v>29407</v>
      </c>
      <c r="S2305" t="s">
        <v>29408</v>
      </c>
      <c r="T2305" t="s">
        <v>29409</v>
      </c>
      <c r="U2305" t="s">
        <v>29410</v>
      </c>
      <c r="V2305">
        <f>-745.599244283109 -8.99406559890758 -92.9056043939626</f>
        <v>-847.49891427597913</v>
      </c>
      <c r="W2305" t="s">
        <v>29411</v>
      </c>
      <c r="X2305" t="s">
        <v>29412</v>
      </c>
      <c r="Y2305" t="s">
        <v>29413</v>
      </c>
    </row>
    <row r="2306" spans="1:25" x14ac:dyDescent="0.3">
      <c r="A2306">
        <v>115250</v>
      </c>
      <c r="B2306" t="s">
        <v>29414</v>
      </c>
      <c r="C2306" t="s">
        <v>29415</v>
      </c>
      <c r="D2306" t="s">
        <v>29416</v>
      </c>
      <c r="E2306" t="s">
        <v>29417</v>
      </c>
      <c r="F2306" t="s">
        <v>29418</v>
      </c>
      <c r="G2306" t="s">
        <v>29419</v>
      </c>
      <c r="H2306" t="s">
        <v>29420</v>
      </c>
      <c r="I2306" t="s">
        <v>29421</v>
      </c>
      <c r="J2306" t="s">
        <v>29422</v>
      </c>
      <c r="K2306" t="s">
        <v>29423</v>
      </c>
      <c r="L2306" t="s">
        <v>29424</v>
      </c>
      <c r="M2306" t="s">
        <v>29425</v>
      </c>
      <c r="N2306" t="s">
        <v>29426</v>
      </c>
      <c r="O2306">
        <f>-780.92852481851 -92.9146726388828 -526.361054261518</f>
        <v>-1400.2042517189109</v>
      </c>
      <c r="P2306">
        <f>-772.713105105793 -135.708463196146 -235.341438851654</f>
        <v>-1143.763007153593</v>
      </c>
      <c r="Q2306" t="s">
        <v>29427</v>
      </c>
      <c r="R2306" t="s">
        <v>29428</v>
      </c>
      <c r="S2306" t="s">
        <v>29429</v>
      </c>
      <c r="T2306" t="s">
        <v>29430</v>
      </c>
      <c r="U2306" t="s">
        <v>29431</v>
      </c>
      <c r="V2306">
        <f>-745.93630777202 -8.65491696331583 -92.9917258065688</f>
        <v>-847.58295054190455</v>
      </c>
      <c r="W2306" t="s">
        <v>29432</v>
      </c>
      <c r="X2306" t="s">
        <v>29433</v>
      </c>
      <c r="Y2306" t="s">
        <v>29434</v>
      </c>
    </row>
    <row r="2307" spans="1:25" x14ac:dyDescent="0.3">
      <c r="A2307">
        <v>115300</v>
      </c>
      <c r="B2307" t="s">
        <v>29435</v>
      </c>
      <c r="C2307" t="s">
        <v>29436</v>
      </c>
      <c r="D2307" t="s">
        <v>29437</v>
      </c>
      <c r="E2307" t="s">
        <v>29438</v>
      </c>
      <c r="F2307" t="s">
        <v>29439</v>
      </c>
      <c r="G2307" t="s">
        <v>29440</v>
      </c>
      <c r="H2307" t="s">
        <v>29441</v>
      </c>
      <c r="I2307" t="s">
        <v>29442</v>
      </c>
      <c r="J2307" t="s">
        <v>29443</v>
      </c>
      <c r="K2307" t="s">
        <v>29444</v>
      </c>
      <c r="L2307" t="s">
        <v>29445</v>
      </c>
      <c r="M2307" t="s">
        <v>29446</v>
      </c>
      <c r="N2307" t="s">
        <v>29447</v>
      </c>
      <c r="O2307">
        <f>-780.842894872299 -93.0862796895888 -526.431943961155</f>
        <v>-1400.3611185230427</v>
      </c>
      <c r="P2307">
        <f>-773.126528066498 -135.582627750444 -235.355234067976</f>
        <v>-1144.064389884918</v>
      </c>
      <c r="Q2307" t="s">
        <v>29448</v>
      </c>
      <c r="R2307" t="s">
        <v>29449</v>
      </c>
      <c r="S2307" t="s">
        <v>29450</v>
      </c>
      <c r="T2307" t="s">
        <v>29451</v>
      </c>
      <c r="U2307" t="s">
        <v>29452</v>
      </c>
      <c r="V2307">
        <f>-746.648695264246 -8.8725232031602 -93.133124410492</f>
        <v>-848.65434287789822</v>
      </c>
      <c r="W2307" t="s">
        <v>29453</v>
      </c>
      <c r="X2307" t="s">
        <v>29454</v>
      </c>
      <c r="Y2307" t="s">
        <v>29455</v>
      </c>
    </row>
    <row r="2308" spans="1:25" x14ac:dyDescent="0.3">
      <c r="A2308">
        <v>115350</v>
      </c>
      <c r="B2308" t="s">
        <v>29456</v>
      </c>
      <c r="C2308" t="s">
        <v>29457</v>
      </c>
      <c r="D2308" t="s">
        <v>29458</v>
      </c>
      <c r="E2308" t="s">
        <v>29459</v>
      </c>
      <c r="F2308" t="s">
        <v>29460</v>
      </c>
      <c r="G2308" t="s">
        <v>29461</v>
      </c>
      <c r="H2308" t="s">
        <v>29462</v>
      </c>
      <c r="I2308" t="s">
        <v>29463</v>
      </c>
      <c r="J2308" t="s">
        <v>29464</v>
      </c>
      <c r="K2308" t="s">
        <v>29465</v>
      </c>
      <c r="L2308" t="s">
        <v>29466</v>
      </c>
      <c r="M2308" t="s">
        <v>29467</v>
      </c>
      <c r="N2308" t="s">
        <v>29468</v>
      </c>
      <c r="O2308">
        <f>-780.959612055812 -93.3733900088221 -526.426965634879</f>
        <v>-1400.7599676995133</v>
      </c>
      <c r="P2308">
        <f>-773.586184152046 -135.788679821244 -235.329499474876</f>
        <v>-1144.7043634481661</v>
      </c>
      <c r="Q2308" t="s">
        <v>29469</v>
      </c>
      <c r="R2308" t="s">
        <v>29470</v>
      </c>
      <c r="S2308" t="s">
        <v>29471</v>
      </c>
      <c r="T2308" t="s">
        <v>29472</v>
      </c>
      <c r="U2308" t="s">
        <v>29473</v>
      </c>
      <c r="V2308">
        <f>-746.924186490008 -8.95709223460085 -93.1532006486467</f>
        <v>-849.03447937325552</v>
      </c>
      <c r="W2308" t="s">
        <v>29474</v>
      </c>
      <c r="X2308" t="s">
        <v>29475</v>
      </c>
      <c r="Y2308" t="s">
        <v>29476</v>
      </c>
    </row>
    <row r="2309" spans="1:25" x14ac:dyDescent="0.3">
      <c r="A2309">
        <v>115400</v>
      </c>
      <c r="B2309" t="s">
        <v>29477</v>
      </c>
      <c r="C2309" t="s">
        <v>29478</v>
      </c>
      <c r="D2309" t="s">
        <v>29479</v>
      </c>
      <c r="E2309" t="s">
        <v>29480</v>
      </c>
      <c r="F2309" t="s">
        <v>29481</v>
      </c>
      <c r="G2309" t="s">
        <v>29482</v>
      </c>
      <c r="H2309" t="s">
        <v>29483</v>
      </c>
      <c r="I2309" t="s">
        <v>29484</v>
      </c>
      <c r="J2309" t="s">
        <v>29485</v>
      </c>
      <c r="K2309" t="s">
        <v>29486</v>
      </c>
      <c r="L2309" t="s">
        <v>29487</v>
      </c>
      <c r="M2309" t="s">
        <v>29488</v>
      </c>
      <c r="N2309" t="s">
        <v>29489</v>
      </c>
      <c r="O2309">
        <f>-781.120258625448 -93.8629152195065 -526.462428477813</f>
        <v>-1401.4456023227674</v>
      </c>
      <c r="P2309">
        <f>-774.378064379745 -136.540913814275 -235.38793041551</f>
        <v>-1146.30690860953</v>
      </c>
      <c r="Q2309" t="s">
        <v>29490</v>
      </c>
      <c r="R2309" t="s">
        <v>29491</v>
      </c>
      <c r="S2309" t="s">
        <v>29492</v>
      </c>
      <c r="T2309" t="s">
        <v>29493</v>
      </c>
      <c r="U2309" t="s">
        <v>29494</v>
      </c>
      <c r="V2309">
        <f>-747.254214539836 -9.43417823745108 -93.154824703481</f>
        <v>-849.84321748076809</v>
      </c>
      <c r="W2309" t="s">
        <v>29495</v>
      </c>
      <c r="X2309" t="s">
        <v>29496</v>
      </c>
      <c r="Y2309" t="s">
        <v>29497</v>
      </c>
    </row>
    <row r="2310" spans="1:25" x14ac:dyDescent="0.3">
      <c r="A2310">
        <v>115450</v>
      </c>
      <c r="B2310" t="s">
        <v>29498</v>
      </c>
      <c r="C2310" t="s">
        <v>29499</v>
      </c>
      <c r="D2310" t="s">
        <v>29500</v>
      </c>
      <c r="E2310" t="s">
        <v>29501</v>
      </c>
      <c r="F2310" t="s">
        <v>29502</v>
      </c>
      <c r="G2310" t="s">
        <v>29503</v>
      </c>
      <c r="H2310" t="s">
        <v>29504</v>
      </c>
      <c r="I2310" t="s">
        <v>29505</v>
      </c>
      <c r="J2310" t="s">
        <v>29506</v>
      </c>
      <c r="K2310" t="s">
        <v>29507</v>
      </c>
      <c r="L2310" t="s">
        <v>29508</v>
      </c>
      <c r="M2310" t="s">
        <v>29509</v>
      </c>
      <c r="N2310" t="s">
        <v>29510</v>
      </c>
      <c r="O2310">
        <f>-781.097089940589 -93.8439330334334 -526.450872424468</f>
        <v>-1401.3918953984903</v>
      </c>
      <c r="P2310">
        <f>-774.65154516308 -136.357984347912 -235.34569695846</f>
        <v>-1146.355226469452</v>
      </c>
      <c r="Q2310" t="s">
        <v>29511</v>
      </c>
      <c r="R2310" t="s">
        <v>29512</v>
      </c>
      <c r="S2310" t="s">
        <v>29513</v>
      </c>
      <c r="T2310" t="s">
        <v>29514</v>
      </c>
      <c r="U2310" t="s">
        <v>29515</v>
      </c>
      <c r="V2310">
        <f>-747.33916613997 -9.37889837439275 -93.1422094830702</f>
        <v>-849.86027399743296</v>
      </c>
      <c r="W2310" t="s">
        <v>29516</v>
      </c>
      <c r="X2310" t="s">
        <v>29517</v>
      </c>
      <c r="Y2310" t="s">
        <v>29518</v>
      </c>
    </row>
    <row r="2311" spans="1:25" x14ac:dyDescent="0.3">
      <c r="A2311">
        <v>115500</v>
      </c>
      <c r="B2311" t="s">
        <v>29519</v>
      </c>
      <c r="C2311" t="s">
        <v>29520</v>
      </c>
      <c r="D2311" t="s">
        <v>29521</v>
      </c>
      <c r="E2311" t="s">
        <v>29522</v>
      </c>
      <c r="F2311" t="s">
        <v>29523</v>
      </c>
      <c r="G2311" t="s">
        <v>29524</v>
      </c>
      <c r="H2311" t="s">
        <v>29525</v>
      </c>
      <c r="I2311" t="s">
        <v>29526</v>
      </c>
      <c r="J2311" t="s">
        <v>29527</v>
      </c>
      <c r="K2311" t="s">
        <v>29528</v>
      </c>
      <c r="L2311" t="s">
        <v>29529</v>
      </c>
      <c r="M2311" t="s">
        <v>29530</v>
      </c>
      <c r="N2311" t="s">
        <v>29531</v>
      </c>
      <c r="O2311">
        <f>-780.789146383885 -94.0387802704183 -526.264074216057</f>
        <v>-1401.0920008703604</v>
      </c>
      <c r="P2311">
        <f>-774.73371483383 -136.298328336571 -235.113604053214</f>
        <v>-1146.145647223615</v>
      </c>
      <c r="Q2311" t="s">
        <v>29532</v>
      </c>
      <c r="R2311" t="s">
        <v>29533</v>
      </c>
      <c r="S2311" t="s">
        <v>29534</v>
      </c>
      <c r="T2311" t="s">
        <v>29535</v>
      </c>
      <c r="U2311" t="s">
        <v>29536</v>
      </c>
      <c r="V2311">
        <f>-747.603147192659 -9.59295751890431 -93.0991692832985</f>
        <v>-850.29527399486176</v>
      </c>
      <c r="W2311" t="s">
        <v>29537</v>
      </c>
      <c r="X2311" t="s">
        <v>29538</v>
      </c>
      <c r="Y2311" t="s">
        <v>29539</v>
      </c>
    </row>
    <row r="2312" spans="1:25" x14ac:dyDescent="0.3">
      <c r="A2312">
        <v>115550</v>
      </c>
      <c r="B2312" t="s">
        <v>29540</v>
      </c>
      <c r="C2312" t="s">
        <v>29541</v>
      </c>
      <c r="D2312" t="s">
        <v>29542</v>
      </c>
      <c r="E2312" t="s">
        <v>29543</v>
      </c>
      <c r="F2312" t="s">
        <v>29544</v>
      </c>
      <c r="G2312" t="s">
        <v>29545</v>
      </c>
      <c r="H2312" t="s">
        <v>29546</v>
      </c>
      <c r="I2312" t="s">
        <v>29547</v>
      </c>
      <c r="J2312" t="s">
        <v>29548</v>
      </c>
      <c r="K2312" t="s">
        <v>29549</v>
      </c>
      <c r="L2312" t="s">
        <v>29550</v>
      </c>
      <c r="M2312" t="s">
        <v>29551</v>
      </c>
      <c r="N2312" t="s">
        <v>29552</v>
      </c>
      <c r="O2312">
        <f>-780.551060145842 -94.1619196904799 -526.221981144908</f>
        <v>-1400.9349609812298</v>
      </c>
      <c r="P2312">
        <f>-774.508259920244 -136.471202431356 -235.078408160241</f>
        <v>-1146.057870511841</v>
      </c>
      <c r="Q2312" t="s">
        <v>29553</v>
      </c>
      <c r="R2312" t="s">
        <v>29554</v>
      </c>
      <c r="S2312" t="s">
        <v>29555</v>
      </c>
      <c r="T2312" t="s">
        <v>29556</v>
      </c>
      <c r="U2312" t="s">
        <v>29557</v>
      </c>
      <c r="V2312">
        <f>-747.617418698067 -9.63081447170111 -93.0953638971608</f>
        <v>-850.34359706692896</v>
      </c>
      <c r="W2312" t="s">
        <v>29558</v>
      </c>
      <c r="X2312" t="s">
        <v>29559</v>
      </c>
      <c r="Y2312" t="s">
        <v>29560</v>
      </c>
    </row>
    <row r="2313" spans="1:25" x14ac:dyDescent="0.3">
      <c r="A2313">
        <v>115600</v>
      </c>
      <c r="B2313" t="s">
        <v>29561</v>
      </c>
      <c r="C2313" t="s">
        <v>29562</v>
      </c>
      <c r="D2313" t="s">
        <v>29563</v>
      </c>
      <c r="E2313" t="s">
        <v>29564</v>
      </c>
      <c r="F2313" t="s">
        <v>29565</v>
      </c>
      <c r="G2313" t="s">
        <v>29566</v>
      </c>
      <c r="H2313" t="s">
        <v>29567</v>
      </c>
      <c r="I2313" t="s">
        <v>29568</v>
      </c>
      <c r="J2313" t="s">
        <v>29569</v>
      </c>
      <c r="K2313" t="s">
        <v>29570</v>
      </c>
      <c r="L2313" t="s">
        <v>29571</v>
      </c>
      <c r="M2313" t="s">
        <v>29572</v>
      </c>
      <c r="N2313" t="s">
        <v>29573</v>
      </c>
      <c r="O2313">
        <f>-780.115106080936 -94.5034858207464 -526.23584040399</f>
        <v>-1400.8544323056724</v>
      </c>
      <c r="P2313">
        <f>-773.973605311665 -137.165002349467 -235.145642232174</f>
        <v>-1146.284249893306</v>
      </c>
      <c r="Q2313" t="s">
        <v>29574</v>
      </c>
      <c r="R2313" t="s">
        <v>29575</v>
      </c>
      <c r="S2313" t="s">
        <v>29576</v>
      </c>
      <c r="T2313" t="s">
        <v>29577</v>
      </c>
      <c r="U2313" t="s">
        <v>29578</v>
      </c>
      <c r="V2313">
        <f>-747.390836273244 -10.0060373282115 -93.0855685498652</f>
        <v>-850.4824421513207</v>
      </c>
      <c r="W2313" t="s">
        <v>29579</v>
      </c>
      <c r="X2313" t="s">
        <v>29580</v>
      </c>
      <c r="Y2313" t="s">
        <v>29581</v>
      </c>
    </row>
    <row r="2314" spans="1:25" x14ac:dyDescent="0.3">
      <c r="A2314">
        <v>115650</v>
      </c>
      <c r="B2314" t="s">
        <v>29582</v>
      </c>
      <c r="C2314" t="s">
        <v>29583</v>
      </c>
      <c r="D2314" t="s">
        <v>29584</v>
      </c>
      <c r="E2314" t="s">
        <v>29585</v>
      </c>
      <c r="F2314" t="s">
        <v>29586</v>
      </c>
      <c r="G2314" t="s">
        <v>29587</v>
      </c>
      <c r="H2314" t="s">
        <v>29588</v>
      </c>
      <c r="I2314" t="s">
        <v>29589</v>
      </c>
      <c r="J2314" t="s">
        <v>29590</v>
      </c>
      <c r="K2314" t="s">
        <v>29591</v>
      </c>
      <c r="L2314" t="s">
        <v>29592</v>
      </c>
      <c r="M2314" t="s">
        <v>29593</v>
      </c>
      <c r="N2314" t="s">
        <v>29594</v>
      </c>
      <c r="O2314">
        <f>-779.813471353659 -94.7576428309733 -526.292591452999</f>
        <v>-1400.8637056376313</v>
      </c>
      <c r="P2314">
        <f>-773.816258595011 -137.346475069577 -235.18874048573</f>
        <v>-1146.3514741503179</v>
      </c>
      <c r="Q2314" t="s">
        <v>29595</v>
      </c>
      <c r="R2314" t="s">
        <v>29596</v>
      </c>
      <c r="S2314" t="s">
        <v>29597</v>
      </c>
      <c r="T2314" t="s">
        <v>29598</v>
      </c>
      <c r="U2314" t="s">
        <v>29599</v>
      </c>
      <c r="V2314">
        <f>-747.174220764854 -10.3062010083872 -93.0915524895139</f>
        <v>-850.57197426275513</v>
      </c>
      <c r="W2314" t="s">
        <v>29600</v>
      </c>
      <c r="X2314" t="s">
        <v>29601</v>
      </c>
      <c r="Y2314" t="s">
        <v>29602</v>
      </c>
    </row>
    <row r="2315" spans="1:25" x14ac:dyDescent="0.3">
      <c r="A2315">
        <v>115700</v>
      </c>
      <c r="B2315" t="s">
        <v>29603</v>
      </c>
      <c r="C2315" t="s">
        <v>29604</v>
      </c>
      <c r="D2315" t="s">
        <v>29605</v>
      </c>
      <c r="E2315" t="s">
        <v>29606</v>
      </c>
      <c r="F2315" t="s">
        <v>29607</v>
      </c>
      <c r="G2315" t="s">
        <v>29608</v>
      </c>
      <c r="H2315" t="s">
        <v>29609</v>
      </c>
      <c r="I2315" t="s">
        <v>29610</v>
      </c>
      <c r="J2315" t="s">
        <v>29611</v>
      </c>
      <c r="K2315" t="s">
        <v>29612</v>
      </c>
      <c r="L2315" t="s">
        <v>29613</v>
      </c>
      <c r="M2315" t="s">
        <v>29614</v>
      </c>
      <c r="N2315" t="s">
        <v>29615</v>
      </c>
      <c r="O2315">
        <f>-779.188806279286 -95.1787496396382 -526.265162863418</f>
        <v>-1400.6327187823422</v>
      </c>
      <c r="P2315">
        <f>-773.307372446654 -137.449110043936 -235.112625176436</f>
        <v>-1145.8691076670259</v>
      </c>
      <c r="Q2315" t="s">
        <v>29616</v>
      </c>
      <c r="R2315" t="s">
        <v>29617</v>
      </c>
      <c r="S2315" t="s">
        <v>29618</v>
      </c>
      <c r="T2315" t="s">
        <v>29619</v>
      </c>
      <c r="U2315" t="s">
        <v>29620</v>
      </c>
      <c r="V2315">
        <f>-746.775019669646 -10.5603285446166 -93.1038795451306</f>
        <v>-850.43922775939313</v>
      </c>
      <c r="W2315" t="s">
        <v>29621</v>
      </c>
      <c r="X2315" t="s">
        <v>29622</v>
      </c>
      <c r="Y2315" t="s">
        <v>29623</v>
      </c>
    </row>
    <row r="2316" spans="1:25" x14ac:dyDescent="0.3">
      <c r="A2316">
        <v>115750</v>
      </c>
      <c r="B2316" t="s">
        <v>29624</v>
      </c>
      <c r="C2316" t="s">
        <v>29625</v>
      </c>
      <c r="D2316" t="s">
        <v>29626</v>
      </c>
      <c r="E2316" t="s">
        <v>29627</v>
      </c>
      <c r="F2316" t="s">
        <v>29628</v>
      </c>
      <c r="G2316" t="s">
        <v>29629</v>
      </c>
      <c r="H2316" t="s">
        <v>29630</v>
      </c>
      <c r="I2316" t="s">
        <v>29631</v>
      </c>
      <c r="J2316" t="s">
        <v>29632</v>
      </c>
      <c r="K2316" t="s">
        <v>29633</v>
      </c>
      <c r="L2316" t="s">
        <v>29634</v>
      </c>
      <c r="M2316" t="s">
        <v>29635</v>
      </c>
      <c r="N2316" t="s">
        <v>29636</v>
      </c>
      <c r="O2316">
        <f>-778.706092623016 -95.3119117338106 -526.211701838629</f>
        <v>-1400.2297061954555</v>
      </c>
      <c r="P2316">
        <f>-772.71320377315 -137.396531767904 -235.034481904519</f>
        <v>-1145.1442174455728</v>
      </c>
      <c r="Q2316" t="s">
        <v>29637</v>
      </c>
      <c r="R2316" t="s">
        <v>29638</v>
      </c>
      <c r="S2316" t="s">
        <v>29639</v>
      </c>
      <c r="T2316" t="s">
        <v>29640</v>
      </c>
      <c r="U2316" t="s">
        <v>29641</v>
      </c>
      <c r="V2316">
        <f>-746.473069822572 -10.5893544874139 -93.1316824645171</f>
        <v>-850.19410677450298</v>
      </c>
      <c r="W2316" t="s">
        <v>29642</v>
      </c>
      <c r="X2316" t="s">
        <v>29643</v>
      </c>
      <c r="Y2316" t="s">
        <v>29644</v>
      </c>
    </row>
    <row r="2317" spans="1:25" x14ac:dyDescent="0.3">
      <c r="A2317">
        <v>115800</v>
      </c>
      <c r="B2317" t="s">
        <v>29645</v>
      </c>
      <c r="C2317" t="s">
        <v>29646</v>
      </c>
      <c r="D2317" t="s">
        <v>29647</v>
      </c>
      <c r="E2317" t="s">
        <v>29648</v>
      </c>
      <c r="F2317" t="s">
        <v>29649</v>
      </c>
      <c r="G2317" t="s">
        <v>29650</v>
      </c>
      <c r="H2317" t="s">
        <v>29651</v>
      </c>
      <c r="I2317" t="s">
        <v>29652</v>
      </c>
      <c r="J2317" t="s">
        <v>29653</v>
      </c>
      <c r="K2317" t="s">
        <v>29654</v>
      </c>
      <c r="L2317" t="s">
        <v>29655</v>
      </c>
      <c r="M2317" t="s">
        <v>29656</v>
      </c>
      <c r="N2317" t="s">
        <v>29657</v>
      </c>
      <c r="O2317">
        <f>-777.983542550546 -95.5864379237771 -526.160360116722</f>
        <v>-1399.7303405910452</v>
      </c>
      <c r="P2317">
        <f>-772.006144015574 -137.230305507939 -234.919439051312</f>
        <v>-1144.155888574825</v>
      </c>
      <c r="Q2317" t="s">
        <v>29658</v>
      </c>
      <c r="R2317" t="s">
        <v>29659</v>
      </c>
      <c r="S2317" t="s">
        <v>29660</v>
      </c>
      <c r="T2317" t="s">
        <v>29661</v>
      </c>
      <c r="U2317" t="s">
        <v>29662</v>
      </c>
      <c r="V2317">
        <f>-746.057569994896 -10.7769391408551 -93.1900665329225</f>
        <v>-850.02457566867361</v>
      </c>
      <c r="W2317" t="s">
        <v>29663</v>
      </c>
      <c r="X2317" t="s">
        <v>29664</v>
      </c>
      <c r="Y2317" t="s">
        <v>29665</v>
      </c>
    </row>
    <row r="2318" spans="1:25" x14ac:dyDescent="0.3">
      <c r="A2318">
        <v>115850</v>
      </c>
      <c r="B2318" t="s">
        <v>29666</v>
      </c>
      <c r="C2318" t="s">
        <v>29667</v>
      </c>
      <c r="D2318" t="s">
        <v>29668</v>
      </c>
      <c r="E2318" t="s">
        <v>29669</v>
      </c>
      <c r="F2318" t="s">
        <v>29670</v>
      </c>
      <c r="G2318" t="s">
        <v>29671</v>
      </c>
      <c r="H2318" t="s">
        <v>29672</v>
      </c>
      <c r="I2318" t="s">
        <v>29673</v>
      </c>
      <c r="J2318" t="s">
        <v>29674</v>
      </c>
      <c r="K2318" t="s">
        <v>29675</v>
      </c>
      <c r="L2318" t="s">
        <v>29676</v>
      </c>
      <c r="M2318" t="s">
        <v>29677</v>
      </c>
      <c r="N2318" t="s">
        <v>29678</v>
      </c>
      <c r="O2318">
        <f>-777.675868067563 -95.6081056103665 -526.163373381609</f>
        <v>-1399.4473470595385</v>
      </c>
      <c r="P2318">
        <f>-771.664094309993 -137.521504012326 -234.961791933871</f>
        <v>-1144.14739025619</v>
      </c>
      <c r="Q2318" t="s">
        <v>29679</v>
      </c>
      <c r="R2318" t="s">
        <v>29680</v>
      </c>
      <c r="S2318" t="s">
        <v>29681</v>
      </c>
      <c r="T2318" t="s">
        <v>29682</v>
      </c>
      <c r="U2318" t="s">
        <v>29683</v>
      </c>
      <c r="V2318">
        <f>-745.830225614271 -10.7130931893369 -93.2194846587445</f>
        <v>-849.76280346235228</v>
      </c>
      <c r="W2318" t="s">
        <v>29684</v>
      </c>
      <c r="X2318" t="s">
        <v>29685</v>
      </c>
      <c r="Y2318" t="s">
        <v>29686</v>
      </c>
    </row>
    <row r="2319" spans="1:25" x14ac:dyDescent="0.3">
      <c r="A2319">
        <v>115900</v>
      </c>
      <c r="B2319" t="s">
        <v>29687</v>
      </c>
      <c r="C2319" t="s">
        <v>29688</v>
      </c>
      <c r="D2319" t="s">
        <v>29689</v>
      </c>
      <c r="E2319" t="s">
        <v>29690</v>
      </c>
      <c r="F2319" t="s">
        <v>29691</v>
      </c>
      <c r="G2319" t="s">
        <v>29692</v>
      </c>
      <c r="H2319" t="s">
        <v>29693</v>
      </c>
      <c r="I2319" t="s">
        <v>29694</v>
      </c>
      <c r="J2319" t="s">
        <v>29695</v>
      </c>
      <c r="K2319" t="s">
        <v>29696</v>
      </c>
      <c r="L2319" t="s">
        <v>29697</v>
      </c>
      <c r="M2319" t="s">
        <v>29698</v>
      </c>
      <c r="N2319" t="s">
        <v>29699</v>
      </c>
      <c r="O2319">
        <f>-776.831333097847 -95.7316367080091 -526.115826078457</f>
        <v>-1398.6787958843131</v>
      </c>
      <c r="P2319">
        <f>-770.81580627799 -137.512334621475 -234.895378312836</f>
        <v>-1143.223519212301</v>
      </c>
      <c r="Q2319" t="s">
        <v>29700</v>
      </c>
      <c r="R2319" t="s">
        <v>29701</v>
      </c>
      <c r="S2319" t="s">
        <v>29702</v>
      </c>
      <c r="T2319" t="s">
        <v>29703</v>
      </c>
      <c r="U2319" t="s">
        <v>29704</v>
      </c>
      <c r="V2319">
        <f>-745.451459503821 -10.7970121219378 -93.2621326878922</f>
        <v>-849.5106043136509</v>
      </c>
      <c r="W2319" t="s">
        <v>29705</v>
      </c>
      <c r="X2319" t="s">
        <v>29706</v>
      </c>
      <c r="Y2319" t="s">
        <v>29707</v>
      </c>
    </row>
    <row r="2320" spans="1:25" x14ac:dyDescent="0.3">
      <c r="A2320">
        <v>115950</v>
      </c>
      <c r="B2320" t="s">
        <v>29708</v>
      </c>
      <c r="C2320" t="s">
        <v>29709</v>
      </c>
      <c r="D2320" t="s">
        <v>29710</v>
      </c>
      <c r="E2320" t="s">
        <v>29711</v>
      </c>
      <c r="F2320" t="s">
        <v>29712</v>
      </c>
      <c r="G2320" t="s">
        <v>29713</v>
      </c>
      <c r="H2320" t="s">
        <v>29714</v>
      </c>
      <c r="I2320" t="s">
        <v>29715</v>
      </c>
      <c r="J2320" t="s">
        <v>29716</v>
      </c>
      <c r="K2320" t="s">
        <v>29717</v>
      </c>
      <c r="L2320" t="s">
        <v>29718</v>
      </c>
      <c r="M2320" t="s">
        <v>29719</v>
      </c>
      <c r="N2320" t="s">
        <v>29720</v>
      </c>
      <c r="O2320">
        <f>-776.385819317823 -95.7691061460707 -526.070121230391</f>
        <v>-1398.2250466942846</v>
      </c>
      <c r="P2320">
        <f>-770.439653578522 -137.343018361699 -234.818575911947</f>
        <v>-1142.6012478521679</v>
      </c>
      <c r="Q2320" t="s">
        <v>29721</v>
      </c>
      <c r="R2320" t="s">
        <v>29722</v>
      </c>
      <c r="S2320" t="s">
        <v>29723</v>
      </c>
      <c r="T2320" t="s">
        <v>29724</v>
      </c>
      <c r="U2320" t="s">
        <v>29725</v>
      </c>
      <c r="V2320">
        <f>-745.302751591744 -10.7497138931626 -93.2836340289005</f>
        <v>-849.33609951380708</v>
      </c>
      <c r="W2320" t="s">
        <v>29726</v>
      </c>
      <c r="X2320" t="s">
        <v>29727</v>
      </c>
      <c r="Y2320" t="s">
        <v>29728</v>
      </c>
    </row>
    <row r="2321" spans="1:25" x14ac:dyDescent="0.3">
      <c r="A2321">
        <v>116000</v>
      </c>
      <c r="B2321" t="s">
        <v>29729</v>
      </c>
      <c r="C2321" t="s">
        <v>29730</v>
      </c>
      <c r="D2321" t="s">
        <v>29731</v>
      </c>
      <c r="E2321" t="s">
        <v>29732</v>
      </c>
      <c r="F2321" t="s">
        <v>29733</v>
      </c>
      <c r="G2321" t="s">
        <v>29734</v>
      </c>
      <c r="H2321" t="s">
        <v>29735</v>
      </c>
      <c r="I2321" t="s">
        <v>29736</v>
      </c>
      <c r="J2321" t="s">
        <v>29737</v>
      </c>
      <c r="K2321" t="s">
        <v>29738</v>
      </c>
      <c r="L2321" t="s">
        <v>29739</v>
      </c>
      <c r="M2321" t="s">
        <v>29740</v>
      </c>
      <c r="N2321" t="s">
        <v>29741</v>
      </c>
      <c r="O2321">
        <f>-775.327262390164 -95.6992271968481 -525.978326255704</f>
        <v>-1397.0048158427162</v>
      </c>
      <c r="P2321">
        <f>-770.023946587281 -137.065749558384 -234.68482259757</f>
        <v>-1141.7745187432349</v>
      </c>
      <c r="Q2321" t="s">
        <v>29742</v>
      </c>
      <c r="R2321" t="s">
        <v>29743</v>
      </c>
      <c r="S2321" t="s">
        <v>29744</v>
      </c>
      <c r="T2321" t="s">
        <v>29745</v>
      </c>
      <c r="U2321" t="s">
        <v>29746</v>
      </c>
      <c r="V2321">
        <f>-744.829185433916 -10.6556487985595 -93.3404151910279</f>
        <v>-848.82524942350335</v>
      </c>
      <c r="W2321" t="s">
        <v>29747</v>
      </c>
      <c r="X2321" t="s">
        <v>29748</v>
      </c>
      <c r="Y2321" t="s">
        <v>29749</v>
      </c>
    </row>
    <row r="2322" spans="1:25" x14ac:dyDescent="0.3">
      <c r="A2322">
        <v>116050</v>
      </c>
      <c r="B2322" t="s">
        <v>29750</v>
      </c>
      <c r="C2322" t="s">
        <v>29751</v>
      </c>
      <c r="D2322" t="s">
        <v>29752</v>
      </c>
      <c r="E2322" t="s">
        <v>29753</v>
      </c>
      <c r="F2322" t="s">
        <v>29754</v>
      </c>
      <c r="G2322" t="s">
        <v>29755</v>
      </c>
      <c r="H2322" t="s">
        <v>29756</v>
      </c>
      <c r="I2322" t="s">
        <v>29757</v>
      </c>
      <c r="J2322" t="s">
        <v>29758</v>
      </c>
      <c r="K2322" t="s">
        <v>29759</v>
      </c>
      <c r="L2322" t="s">
        <v>29760</v>
      </c>
      <c r="M2322" t="s">
        <v>29761</v>
      </c>
      <c r="N2322" t="s">
        <v>29762</v>
      </c>
      <c r="O2322">
        <f>-774.904908527953 -95.7569557469278 -526.038226087132</f>
        <v>-1396.7000903620128</v>
      </c>
      <c r="P2322">
        <f>-770.042890248592 -137.078132273911 -234.73053157238</f>
        <v>-1141.8515540948831</v>
      </c>
      <c r="Q2322" t="s">
        <v>29763</v>
      </c>
      <c r="R2322" t="s">
        <v>29764</v>
      </c>
      <c r="S2322" t="s">
        <v>29765</v>
      </c>
      <c r="T2322" t="s">
        <v>29766</v>
      </c>
      <c r="U2322" t="s">
        <v>29767</v>
      </c>
      <c r="V2322">
        <f>-744.531877543219 -10.7938911973099 -93.3667947775886</f>
        <v>-848.69256351811748</v>
      </c>
      <c r="W2322" t="s">
        <v>29768</v>
      </c>
      <c r="X2322" t="s">
        <v>29769</v>
      </c>
      <c r="Y2322" t="s">
        <v>29770</v>
      </c>
    </row>
    <row r="2323" spans="1:25" x14ac:dyDescent="0.3">
      <c r="A2323">
        <v>116100</v>
      </c>
      <c r="B2323" t="s">
        <v>29771</v>
      </c>
      <c r="C2323" t="s">
        <v>29772</v>
      </c>
      <c r="D2323" t="s">
        <v>29773</v>
      </c>
      <c r="E2323" t="s">
        <v>29774</v>
      </c>
      <c r="F2323" t="s">
        <v>29775</v>
      </c>
      <c r="G2323" t="s">
        <v>29776</v>
      </c>
      <c r="H2323" t="s">
        <v>29777</v>
      </c>
      <c r="I2323" t="s">
        <v>29778</v>
      </c>
      <c r="J2323" t="s">
        <v>29779</v>
      </c>
      <c r="K2323" t="s">
        <v>29780</v>
      </c>
      <c r="L2323" t="s">
        <v>29781</v>
      </c>
      <c r="M2323" t="s">
        <v>29782</v>
      </c>
      <c r="N2323" t="s">
        <v>29783</v>
      </c>
      <c r="O2323">
        <f>-773.965298346648 -95.5278966605488 -526.37892642158</f>
        <v>-1395.8721214287766</v>
      </c>
      <c r="P2323">
        <f>-769.436739950241 -137.609475737565 -235.174927437754</f>
        <v>-1142.2211431255598</v>
      </c>
      <c r="Q2323" t="s">
        <v>29784</v>
      </c>
      <c r="R2323" t="s">
        <v>29785</v>
      </c>
      <c r="S2323" t="s">
        <v>29786</v>
      </c>
      <c r="T2323" t="s">
        <v>29787</v>
      </c>
      <c r="U2323" t="s">
        <v>29788</v>
      </c>
      <c r="V2323">
        <f>-743.84108764062 -10.8214413779895 -93.4503121685011</f>
        <v>-848.11284118711058</v>
      </c>
      <c r="W2323" t="s">
        <v>29789</v>
      </c>
      <c r="X2323" t="s">
        <v>29790</v>
      </c>
      <c r="Y2323" t="s">
        <v>29791</v>
      </c>
    </row>
    <row r="2324" spans="1:25" x14ac:dyDescent="0.3">
      <c r="A2324">
        <v>116150</v>
      </c>
      <c r="B2324" t="s">
        <v>29792</v>
      </c>
      <c r="C2324" t="s">
        <v>29793</v>
      </c>
      <c r="D2324" t="s">
        <v>29794</v>
      </c>
      <c r="E2324" t="s">
        <v>29795</v>
      </c>
      <c r="F2324" t="s">
        <v>29796</v>
      </c>
      <c r="G2324" t="s">
        <v>29797</v>
      </c>
      <c r="H2324" t="s">
        <v>29798</v>
      </c>
      <c r="I2324" t="s">
        <v>29799</v>
      </c>
      <c r="J2324" t="s">
        <v>29800</v>
      </c>
      <c r="K2324" t="s">
        <v>29801</v>
      </c>
      <c r="L2324" t="s">
        <v>29802</v>
      </c>
      <c r="M2324" t="s">
        <v>29803</v>
      </c>
      <c r="N2324" t="s">
        <v>29804</v>
      </c>
      <c r="O2324">
        <f>-773.60462869986 -95.3841375415882 -526.521496090132</f>
        <v>-1395.5102623315802</v>
      </c>
      <c r="P2324">
        <f>-768.970380925133 -137.581043509522 -235.335724495921</f>
        <v>-1141.8871489305761</v>
      </c>
      <c r="Q2324" t="s">
        <v>29805</v>
      </c>
      <c r="R2324" t="s">
        <v>29806</v>
      </c>
      <c r="S2324" t="s">
        <v>29807</v>
      </c>
      <c r="T2324" t="s">
        <v>29808</v>
      </c>
      <c r="U2324" t="s">
        <v>29809</v>
      </c>
      <c r="V2324">
        <f>-743.632351392616 -10.9147333652945 -93.4866068439835</f>
        <v>-848.03369160189402</v>
      </c>
      <c r="W2324" t="s">
        <v>29810</v>
      </c>
      <c r="X2324" t="s">
        <v>29811</v>
      </c>
      <c r="Y2324" t="s">
        <v>29812</v>
      </c>
    </row>
    <row r="2325" spans="1:25" x14ac:dyDescent="0.3">
      <c r="A2325">
        <v>116200</v>
      </c>
      <c r="B2325" t="s">
        <v>29813</v>
      </c>
      <c r="C2325" t="s">
        <v>29814</v>
      </c>
      <c r="D2325" t="s">
        <v>29815</v>
      </c>
      <c r="E2325" t="s">
        <v>29816</v>
      </c>
      <c r="F2325" t="s">
        <v>29817</v>
      </c>
      <c r="G2325" t="s">
        <v>29818</v>
      </c>
      <c r="H2325" t="s">
        <v>29819</v>
      </c>
      <c r="I2325" t="s">
        <v>29820</v>
      </c>
      <c r="J2325" t="s">
        <v>29821</v>
      </c>
      <c r="K2325" t="s">
        <v>29822</v>
      </c>
      <c r="L2325" t="s">
        <v>29823</v>
      </c>
      <c r="M2325" t="s">
        <v>29824</v>
      </c>
      <c r="N2325" t="s">
        <v>29825</v>
      </c>
      <c r="O2325">
        <f>-772.70852065352 -95.1770867471405 -526.571791546044</f>
        <v>-1394.4573989467044</v>
      </c>
      <c r="P2325">
        <f>-767.88633292797 -137.191430412675 -235.36258870153</f>
        <v>-1140.4403520421749</v>
      </c>
      <c r="Q2325" t="s">
        <v>29826</v>
      </c>
      <c r="R2325" t="s">
        <v>29827</v>
      </c>
      <c r="S2325" t="s">
        <v>29828</v>
      </c>
      <c r="T2325" t="s">
        <v>29829</v>
      </c>
      <c r="U2325" t="s">
        <v>29830</v>
      </c>
      <c r="V2325">
        <f>-743.209282521239 -10.9583002590991 -93.5422344928437</f>
        <v>-847.70981727318178</v>
      </c>
      <c r="W2325" t="s">
        <v>29831</v>
      </c>
      <c r="X2325" t="s">
        <v>29832</v>
      </c>
      <c r="Y2325" t="s">
        <v>29833</v>
      </c>
    </row>
    <row r="2326" spans="1:25" x14ac:dyDescent="0.3">
      <c r="A2326">
        <v>116250</v>
      </c>
      <c r="B2326" t="s">
        <v>29834</v>
      </c>
      <c r="C2326" t="s">
        <v>29835</v>
      </c>
      <c r="D2326" t="s">
        <v>29836</v>
      </c>
      <c r="E2326" t="s">
        <v>29837</v>
      </c>
      <c r="F2326" t="s">
        <v>29838</v>
      </c>
      <c r="G2326" t="s">
        <v>29839</v>
      </c>
      <c r="H2326" t="s">
        <v>29840</v>
      </c>
      <c r="I2326" t="s">
        <v>29841</v>
      </c>
      <c r="J2326" t="s">
        <v>29842</v>
      </c>
      <c r="K2326" t="s">
        <v>29843</v>
      </c>
      <c r="L2326" t="s">
        <v>29844</v>
      </c>
      <c r="M2326" t="s">
        <v>29845</v>
      </c>
      <c r="N2326" t="s">
        <v>29846</v>
      </c>
      <c r="O2326">
        <f>-772.290513179415 -95.2127368790668 -526.603854639084</f>
        <v>-1394.1071046975658</v>
      </c>
      <c r="P2326">
        <f>-767.354960111702 -137.165743173098 -235.387770144245</f>
        <v>-1139.908473429045</v>
      </c>
      <c r="Q2326" t="s">
        <v>29847</v>
      </c>
      <c r="R2326" t="s">
        <v>29848</v>
      </c>
      <c r="S2326" t="s">
        <v>29849</v>
      </c>
      <c r="T2326" t="s">
        <v>29850</v>
      </c>
      <c r="U2326" t="s">
        <v>29851</v>
      </c>
      <c r="V2326">
        <f>-743.077983178479 -11.0723054801972 -93.5660319070311</f>
        <v>-847.71632056570729</v>
      </c>
      <c r="W2326" t="s">
        <v>29852</v>
      </c>
      <c r="X2326" t="s">
        <v>29853</v>
      </c>
      <c r="Y2326" t="s">
        <v>29854</v>
      </c>
    </row>
    <row r="2327" spans="1:25" x14ac:dyDescent="0.3">
      <c r="A2327">
        <v>116300</v>
      </c>
      <c r="B2327" t="s">
        <v>29855</v>
      </c>
      <c r="C2327" t="s">
        <v>29856</v>
      </c>
      <c r="D2327" t="s">
        <v>29857</v>
      </c>
      <c r="E2327" t="s">
        <v>29858</v>
      </c>
      <c r="F2327" t="s">
        <v>29859</v>
      </c>
      <c r="G2327" t="s">
        <v>29860</v>
      </c>
      <c r="H2327" t="s">
        <v>29861</v>
      </c>
      <c r="I2327" t="s">
        <v>29862</v>
      </c>
      <c r="J2327" t="s">
        <v>29863</v>
      </c>
      <c r="K2327" t="s">
        <v>29864</v>
      </c>
      <c r="L2327" t="s">
        <v>29865</v>
      </c>
      <c r="M2327" t="s">
        <v>29866</v>
      </c>
      <c r="N2327" t="s">
        <v>29867</v>
      </c>
      <c r="O2327">
        <f>-771.770398844893 -95.3428910411874 -526.765224401662</f>
        <v>-1393.8785142877423</v>
      </c>
      <c r="P2327">
        <f>-766.555976684811 -137.68129051707 -235.609955660055</f>
        <v>-1139.847222861936</v>
      </c>
      <c r="Q2327" t="s">
        <v>29868</v>
      </c>
      <c r="R2327" t="s">
        <v>29869</v>
      </c>
      <c r="S2327" t="s">
        <v>29870</v>
      </c>
      <c r="T2327" t="s">
        <v>29871</v>
      </c>
      <c r="U2327" t="s">
        <v>29872</v>
      </c>
      <c r="V2327">
        <f>-742.840103529409 -11.4325890792904 -93.6179033207343</f>
        <v>-847.89059592943374</v>
      </c>
      <c r="W2327" t="s">
        <v>29873</v>
      </c>
      <c r="X2327" t="s">
        <v>29874</v>
      </c>
      <c r="Y2327" t="s">
        <v>29875</v>
      </c>
    </row>
    <row r="2328" spans="1:25" x14ac:dyDescent="0.3">
      <c r="A2328">
        <v>116350</v>
      </c>
      <c r="B2328" t="s">
        <v>29876</v>
      </c>
      <c r="C2328" t="s">
        <v>29877</v>
      </c>
      <c r="D2328" t="s">
        <v>29878</v>
      </c>
      <c r="E2328" t="s">
        <v>29879</v>
      </c>
      <c r="F2328" t="s">
        <v>29880</v>
      </c>
      <c r="G2328" t="s">
        <v>29881</v>
      </c>
      <c r="H2328" t="s">
        <v>29882</v>
      </c>
      <c r="I2328" t="s">
        <v>29883</v>
      </c>
      <c r="J2328" t="s">
        <v>29884</v>
      </c>
      <c r="K2328" t="s">
        <v>29885</v>
      </c>
      <c r="L2328" t="s">
        <v>29886</v>
      </c>
      <c r="M2328" t="s">
        <v>29887</v>
      </c>
      <c r="N2328" t="s">
        <v>29888</v>
      </c>
      <c r="O2328">
        <f>-771.555352468543 -95.3370391279259 -526.867571911551</f>
        <v>-1393.7599635080198</v>
      </c>
      <c r="P2328">
        <f>-766.322708075127 -137.622812675535 -235.704816665754</f>
        <v>-1139.6503374164161</v>
      </c>
      <c r="Q2328" t="s">
        <v>29889</v>
      </c>
      <c r="R2328" t="s">
        <v>29890</v>
      </c>
      <c r="S2328" t="s">
        <v>29891</v>
      </c>
      <c r="T2328" t="s">
        <v>29892</v>
      </c>
      <c r="U2328" t="s">
        <v>29893</v>
      </c>
      <c r="V2328">
        <f>-742.69313477025 -11.5185714453046 -93.6322415115031</f>
        <v>-847.84394772705775</v>
      </c>
      <c r="W2328" t="s">
        <v>29894</v>
      </c>
      <c r="X2328" t="s">
        <v>29895</v>
      </c>
      <c r="Y2328" t="s">
        <v>29896</v>
      </c>
    </row>
    <row r="2329" spans="1:25" x14ac:dyDescent="0.3">
      <c r="A2329">
        <v>116400</v>
      </c>
      <c r="B2329" t="s">
        <v>29897</v>
      </c>
      <c r="C2329" t="s">
        <v>29898</v>
      </c>
      <c r="D2329" t="s">
        <v>29899</v>
      </c>
      <c r="E2329" t="s">
        <v>29900</v>
      </c>
      <c r="F2329" t="s">
        <v>29901</v>
      </c>
      <c r="G2329" t="s">
        <v>29902</v>
      </c>
      <c r="H2329" t="s">
        <v>29903</v>
      </c>
      <c r="I2329" t="s">
        <v>29904</v>
      </c>
      <c r="J2329" t="s">
        <v>29905</v>
      </c>
      <c r="K2329" t="s">
        <v>29906</v>
      </c>
      <c r="L2329" t="s">
        <v>29907</v>
      </c>
      <c r="M2329" t="s">
        <v>29908</v>
      </c>
      <c r="N2329" t="s">
        <v>29909</v>
      </c>
      <c r="O2329">
        <f>-771.061917032885 -95.1647342565564 -526.965016792118</f>
        <v>-1393.1916680815593</v>
      </c>
      <c r="P2329">
        <f>-765.656740447924 -137.348343747576 -235.790624407715</f>
        <v>-1138.795708603215</v>
      </c>
      <c r="Q2329" t="s">
        <v>29910</v>
      </c>
      <c r="R2329" t="s">
        <v>29911</v>
      </c>
      <c r="S2329" t="s">
        <v>29912</v>
      </c>
      <c r="T2329" t="s">
        <v>29913</v>
      </c>
      <c r="U2329" t="s">
        <v>29914</v>
      </c>
      <c r="V2329">
        <f>-742.316422634675 -11.5528007563005 -93.7004670347739</f>
        <v>-847.56969042574929</v>
      </c>
      <c r="W2329" t="s">
        <v>29915</v>
      </c>
      <c r="X2329" t="s">
        <v>29916</v>
      </c>
      <c r="Y2329" t="s">
        <v>29917</v>
      </c>
    </row>
    <row r="2330" spans="1:25" x14ac:dyDescent="0.3">
      <c r="A2330">
        <v>116450</v>
      </c>
      <c r="B2330" t="s">
        <v>29918</v>
      </c>
      <c r="C2330" t="s">
        <v>29919</v>
      </c>
      <c r="D2330" t="s">
        <v>29920</v>
      </c>
      <c r="E2330" t="s">
        <v>29921</v>
      </c>
      <c r="F2330" t="s">
        <v>29922</v>
      </c>
      <c r="G2330" t="s">
        <v>29923</v>
      </c>
      <c r="H2330" t="s">
        <v>29924</v>
      </c>
      <c r="I2330" t="s">
        <v>29925</v>
      </c>
      <c r="J2330" t="s">
        <v>29926</v>
      </c>
      <c r="K2330" t="s">
        <v>29927</v>
      </c>
      <c r="L2330" t="s">
        <v>29928</v>
      </c>
      <c r="M2330" t="s">
        <v>29929</v>
      </c>
      <c r="N2330" t="s">
        <v>29930</v>
      </c>
      <c r="O2330">
        <f>-770.696809022817 -95.1228122721775 -526.989427740239</f>
        <v>-1392.8090490352333</v>
      </c>
      <c r="P2330">
        <f>-765.250589168164 -137.363692888409 -235.823990619507</f>
        <v>-1138.43827267608</v>
      </c>
      <c r="Q2330" t="s">
        <v>29931</v>
      </c>
      <c r="R2330" t="s">
        <v>29932</v>
      </c>
      <c r="S2330" t="s">
        <v>29933</v>
      </c>
      <c r="T2330" t="s">
        <v>29934</v>
      </c>
      <c r="U2330" t="s">
        <v>29935</v>
      </c>
      <c r="V2330">
        <f>-742.134247738679 -11.6348163368132 -93.7317714415888</f>
        <v>-847.50083551708099</v>
      </c>
      <c r="W2330" t="s">
        <v>29936</v>
      </c>
      <c r="X2330" t="s">
        <v>29937</v>
      </c>
      <c r="Y2330" t="s">
        <v>29938</v>
      </c>
    </row>
    <row r="2331" spans="1:25" x14ac:dyDescent="0.3">
      <c r="A2331">
        <v>116500</v>
      </c>
      <c r="B2331" t="s">
        <v>29939</v>
      </c>
      <c r="C2331" t="s">
        <v>29940</v>
      </c>
      <c r="D2331" t="s">
        <v>29941</v>
      </c>
      <c r="E2331" t="s">
        <v>29942</v>
      </c>
      <c r="F2331" t="s">
        <v>29943</v>
      </c>
      <c r="G2331" t="s">
        <v>29944</v>
      </c>
      <c r="H2331" t="s">
        <v>29945</v>
      </c>
      <c r="I2331" t="s">
        <v>29946</v>
      </c>
      <c r="J2331" t="s">
        <v>29947</v>
      </c>
      <c r="K2331" t="s">
        <v>29948</v>
      </c>
      <c r="L2331" t="s">
        <v>29949</v>
      </c>
      <c r="M2331" t="s">
        <v>29950</v>
      </c>
      <c r="N2331" t="s">
        <v>29951</v>
      </c>
      <c r="O2331">
        <f>-770.207999915122 -95.0453916807728 -527.125936224831</f>
        <v>-1392.3793278207258</v>
      </c>
      <c r="P2331">
        <f>-764.751737218328 -137.348907863889 -235.969828533173</f>
        <v>-1138.07047361539</v>
      </c>
      <c r="Q2331" t="s">
        <v>29952</v>
      </c>
      <c r="R2331" t="s">
        <v>29953</v>
      </c>
      <c r="S2331" t="s">
        <v>29954</v>
      </c>
      <c r="T2331" t="s">
        <v>29955</v>
      </c>
      <c r="U2331" t="s">
        <v>29956</v>
      </c>
      <c r="V2331">
        <f>-741.823043065662 -11.773162778537 -93.7646209530503</f>
        <v>-847.36082679724927</v>
      </c>
      <c r="W2331" t="s">
        <v>29957</v>
      </c>
      <c r="X2331" t="s">
        <v>29958</v>
      </c>
      <c r="Y2331" t="s">
        <v>29959</v>
      </c>
    </row>
    <row r="2332" spans="1:25" x14ac:dyDescent="0.3">
      <c r="A2332">
        <v>116550</v>
      </c>
      <c r="B2332" t="s">
        <v>29960</v>
      </c>
      <c r="C2332" t="s">
        <v>29961</v>
      </c>
      <c r="D2332" t="s">
        <v>29962</v>
      </c>
      <c r="E2332" t="s">
        <v>29963</v>
      </c>
      <c r="F2332" t="s">
        <v>29964</v>
      </c>
      <c r="G2332" t="s">
        <v>29965</v>
      </c>
      <c r="H2332" t="s">
        <v>29966</v>
      </c>
      <c r="I2332" t="s">
        <v>29967</v>
      </c>
      <c r="J2332" t="s">
        <v>29968</v>
      </c>
      <c r="K2332" t="s">
        <v>29969</v>
      </c>
      <c r="L2332" t="s">
        <v>29970</v>
      </c>
      <c r="M2332" t="s">
        <v>29971</v>
      </c>
      <c r="N2332" t="s">
        <v>29972</v>
      </c>
      <c r="O2332">
        <f>-770.145630321719 -95.0444147542737 -527.200592849254</f>
        <v>-1392.3906379252467</v>
      </c>
      <c r="P2332">
        <f>-764.536596298787 -137.491095540141 -236.068321011272</f>
        <v>-1138.0960128501999</v>
      </c>
      <c r="Q2332" t="s">
        <v>29973</v>
      </c>
      <c r="R2332" t="s">
        <v>29974</v>
      </c>
      <c r="S2332" t="s">
        <v>29975</v>
      </c>
      <c r="T2332" t="s">
        <v>29976</v>
      </c>
      <c r="U2332" t="s">
        <v>29977</v>
      </c>
      <c r="V2332">
        <f>-741.708887708352 -11.9558029668387 -93.7807678118841</f>
        <v>-847.4454584870748</v>
      </c>
      <c r="W2332" t="s">
        <v>29978</v>
      </c>
      <c r="X2332" t="s">
        <v>29979</v>
      </c>
      <c r="Y2332" t="s">
        <v>29980</v>
      </c>
    </row>
    <row r="2333" spans="1:25" x14ac:dyDescent="0.3">
      <c r="A2333">
        <v>116600</v>
      </c>
      <c r="B2333" t="s">
        <v>29981</v>
      </c>
      <c r="C2333" t="s">
        <v>29982</v>
      </c>
      <c r="D2333" t="s">
        <v>29983</v>
      </c>
      <c r="E2333" t="s">
        <v>29984</v>
      </c>
      <c r="F2333" t="s">
        <v>29985</v>
      </c>
      <c r="G2333" t="s">
        <v>29986</v>
      </c>
      <c r="H2333" t="s">
        <v>29987</v>
      </c>
      <c r="I2333" t="s">
        <v>29988</v>
      </c>
      <c r="J2333" t="s">
        <v>29989</v>
      </c>
      <c r="K2333" t="s">
        <v>29990</v>
      </c>
      <c r="L2333" t="s">
        <v>29991</v>
      </c>
      <c r="M2333" t="s">
        <v>29992</v>
      </c>
      <c r="N2333" t="s">
        <v>29993</v>
      </c>
      <c r="O2333">
        <f>-769.658631837346 -94.6009841955156 -527.355992032156</f>
        <v>-1391.6156080650176</v>
      </c>
      <c r="P2333">
        <f>-763.732192302352 -137.237108250883 -236.257677162291</f>
        <v>-1137.2269777155261</v>
      </c>
      <c r="Q2333" t="s">
        <v>29994</v>
      </c>
      <c r="R2333" t="s">
        <v>29995</v>
      </c>
      <c r="S2333" t="s">
        <v>29996</v>
      </c>
      <c r="T2333" t="s">
        <v>29997</v>
      </c>
      <c r="U2333" t="s">
        <v>29998</v>
      </c>
      <c r="V2333">
        <f>-741.446288887278 -11.8959741022136 -93.8272032999754</f>
        <v>-847.16946628946698</v>
      </c>
      <c r="W2333" t="s">
        <v>29999</v>
      </c>
      <c r="X2333" t="s">
        <v>30000</v>
      </c>
      <c r="Y2333" t="s">
        <v>30001</v>
      </c>
    </row>
    <row r="2334" spans="1:25" x14ac:dyDescent="0.3">
      <c r="A2334">
        <v>116650</v>
      </c>
      <c r="B2334" t="s">
        <v>30002</v>
      </c>
      <c r="C2334" t="s">
        <v>30003</v>
      </c>
      <c r="D2334" t="s">
        <v>30004</v>
      </c>
      <c r="E2334" t="s">
        <v>30005</v>
      </c>
      <c r="F2334" t="s">
        <v>30006</v>
      </c>
      <c r="G2334" t="s">
        <v>30007</v>
      </c>
      <c r="H2334" t="s">
        <v>30008</v>
      </c>
      <c r="I2334" t="s">
        <v>30009</v>
      </c>
      <c r="J2334" t="s">
        <v>30010</v>
      </c>
      <c r="K2334" t="s">
        <v>30011</v>
      </c>
      <c r="L2334" t="s">
        <v>30012</v>
      </c>
      <c r="M2334" t="s">
        <v>30013</v>
      </c>
      <c r="N2334" t="s">
        <v>30014</v>
      </c>
      <c r="O2334">
        <f>-769.303555800822 -94.4264915671317 -527.411390446756</f>
        <v>-1391.1414378147097</v>
      </c>
      <c r="P2334">
        <f>-763.275825258656 -137.1809717056 -236.332541501154</f>
        <v>-1136.7893384654101</v>
      </c>
      <c r="Q2334" t="s">
        <v>30015</v>
      </c>
      <c r="R2334" t="s">
        <v>30016</v>
      </c>
      <c r="S2334" t="s">
        <v>30017</v>
      </c>
      <c r="T2334" t="s">
        <v>30018</v>
      </c>
      <c r="U2334" t="s">
        <v>30019</v>
      </c>
      <c r="V2334">
        <f>-741.457074593616 -11.9952550616558 -93.8305118113058</f>
        <v>-847.28284146657757</v>
      </c>
      <c r="W2334" t="s">
        <v>30020</v>
      </c>
      <c r="X2334" t="s">
        <v>30021</v>
      </c>
      <c r="Y2334" t="s">
        <v>30022</v>
      </c>
    </row>
    <row r="2335" spans="1:25" x14ac:dyDescent="0.3">
      <c r="A2335">
        <v>116700</v>
      </c>
      <c r="B2335" t="s">
        <v>30023</v>
      </c>
      <c r="C2335" t="s">
        <v>30024</v>
      </c>
      <c r="D2335" t="s">
        <v>30025</v>
      </c>
      <c r="E2335" t="s">
        <v>30026</v>
      </c>
      <c r="F2335" t="s">
        <v>30027</v>
      </c>
      <c r="G2335" t="s">
        <v>30028</v>
      </c>
      <c r="H2335" t="s">
        <v>30029</v>
      </c>
      <c r="I2335" t="s">
        <v>30030</v>
      </c>
      <c r="J2335" t="s">
        <v>30031</v>
      </c>
      <c r="K2335" t="s">
        <v>30032</v>
      </c>
      <c r="L2335" t="s">
        <v>30033</v>
      </c>
      <c r="M2335" t="s">
        <v>30034</v>
      </c>
      <c r="N2335" t="s">
        <v>30035</v>
      </c>
      <c r="O2335">
        <f>-768.69787025336 -94.2349632047224 -527.590078861362</f>
        <v>-1390.5229123194445</v>
      </c>
      <c r="P2335">
        <f>-762.452839024204 -137.203005375634 -236.547209238804</f>
        <v>-1136.2030536386419</v>
      </c>
      <c r="Q2335" t="s">
        <v>30036</v>
      </c>
      <c r="R2335" t="s">
        <v>30037</v>
      </c>
      <c r="S2335" t="s">
        <v>30038</v>
      </c>
      <c r="T2335" t="s">
        <v>30039</v>
      </c>
      <c r="U2335" t="s">
        <v>30040</v>
      </c>
      <c r="V2335">
        <f>-741.102109200805 -12.0134677446581 -93.8736878565887</f>
        <v>-846.98926480205182</v>
      </c>
      <c r="W2335" t="s">
        <v>30041</v>
      </c>
      <c r="X2335" t="s">
        <v>30042</v>
      </c>
      <c r="Y2335" t="s">
        <v>30043</v>
      </c>
    </row>
    <row r="2336" spans="1:25" x14ac:dyDescent="0.3">
      <c r="A2336">
        <v>116750</v>
      </c>
      <c r="B2336" t="s">
        <v>30044</v>
      </c>
      <c r="C2336" t="s">
        <v>30045</v>
      </c>
      <c r="D2336" t="s">
        <v>30046</v>
      </c>
      <c r="E2336" t="s">
        <v>30047</v>
      </c>
      <c r="F2336" t="s">
        <v>30048</v>
      </c>
      <c r="G2336" t="s">
        <v>30049</v>
      </c>
      <c r="H2336" t="s">
        <v>30050</v>
      </c>
      <c r="I2336" t="s">
        <v>30051</v>
      </c>
      <c r="J2336" t="s">
        <v>30052</v>
      </c>
      <c r="K2336" t="s">
        <v>30053</v>
      </c>
      <c r="L2336" t="s">
        <v>30054</v>
      </c>
      <c r="M2336" t="s">
        <v>30055</v>
      </c>
      <c r="N2336" t="s">
        <v>30056</v>
      </c>
      <c r="O2336">
        <f>-768.44683985947 -94.3165517926172 -527.683607351134</f>
        <v>-1390.4469990032212</v>
      </c>
      <c r="P2336">
        <f>-762.030352597526 -137.428320618046 -236.665823657102</f>
        <v>-1136.1244968726739</v>
      </c>
      <c r="Q2336" t="s">
        <v>30057</v>
      </c>
      <c r="R2336" t="s">
        <v>30058</v>
      </c>
      <c r="S2336" t="s">
        <v>30059</v>
      </c>
      <c r="T2336" t="s">
        <v>30060</v>
      </c>
      <c r="U2336" t="s">
        <v>30061</v>
      </c>
      <c r="V2336">
        <f>-740.878485094095 -12.2188040511157 -93.8956104763846</f>
        <v>-846.99289962159537</v>
      </c>
      <c r="W2336" t="s">
        <v>30062</v>
      </c>
      <c r="X2336" t="s">
        <v>30063</v>
      </c>
      <c r="Y2336" t="s">
        <v>30064</v>
      </c>
    </row>
    <row r="2337" spans="1:25" x14ac:dyDescent="0.3">
      <c r="A2337">
        <v>116800</v>
      </c>
      <c r="B2337" t="s">
        <v>30065</v>
      </c>
      <c r="C2337" t="s">
        <v>30066</v>
      </c>
      <c r="D2337" t="s">
        <v>30067</v>
      </c>
      <c r="E2337" t="s">
        <v>30068</v>
      </c>
      <c r="F2337" t="s">
        <v>30069</v>
      </c>
      <c r="G2337" t="s">
        <v>30070</v>
      </c>
      <c r="H2337" t="s">
        <v>30071</v>
      </c>
      <c r="I2337" t="s">
        <v>30072</v>
      </c>
      <c r="J2337" t="s">
        <v>30073</v>
      </c>
      <c r="K2337" t="s">
        <v>30074</v>
      </c>
      <c r="L2337" t="s">
        <v>30075</v>
      </c>
      <c r="M2337" t="s">
        <v>30076</v>
      </c>
      <c r="N2337" t="s">
        <v>30077</v>
      </c>
      <c r="O2337">
        <f>-767.929006343352 -94.4619251367599 -527.848802223009</f>
        <v>-1390.2397337031207</v>
      </c>
      <c r="P2337">
        <f>-761.174491085863 -137.757994954615 -236.865943813289</f>
        <v>-1135.7984298537669</v>
      </c>
      <c r="Q2337" t="s">
        <v>30078</v>
      </c>
      <c r="R2337" t="s">
        <v>30079</v>
      </c>
      <c r="S2337" t="s">
        <v>30080</v>
      </c>
      <c r="T2337" t="s">
        <v>30081</v>
      </c>
      <c r="U2337" t="s">
        <v>30082</v>
      </c>
      <c r="V2337">
        <f>-740.600804773267 -12.6743725841893 -93.9289524218605</f>
        <v>-847.20412977931676</v>
      </c>
      <c r="W2337" t="s">
        <v>30083</v>
      </c>
      <c r="X2337" t="s">
        <v>30084</v>
      </c>
      <c r="Y2337" t="s">
        <v>30085</v>
      </c>
    </row>
    <row r="2338" spans="1:25" x14ac:dyDescent="0.3">
      <c r="A2338">
        <v>116850</v>
      </c>
      <c r="B2338" t="s">
        <v>30086</v>
      </c>
      <c r="C2338" t="s">
        <v>30087</v>
      </c>
      <c r="D2338" t="s">
        <v>30088</v>
      </c>
      <c r="E2338" t="s">
        <v>30089</v>
      </c>
      <c r="F2338" t="s">
        <v>30090</v>
      </c>
      <c r="G2338" t="s">
        <v>30091</v>
      </c>
      <c r="H2338" t="s">
        <v>30092</v>
      </c>
      <c r="I2338" t="s">
        <v>30093</v>
      </c>
      <c r="J2338" t="s">
        <v>30094</v>
      </c>
      <c r="K2338" t="s">
        <v>30095</v>
      </c>
      <c r="L2338" t="s">
        <v>30096</v>
      </c>
      <c r="M2338" t="s">
        <v>30097</v>
      </c>
      <c r="N2338" t="s">
        <v>30098</v>
      </c>
      <c r="O2338">
        <f>-767.493115331279 -94.2849986638012 -527.895476718651</f>
        <v>-1389.6735907137313</v>
      </c>
      <c r="P2338">
        <f>-760.740882456798 -137.586383568005 -236.913386253095</f>
        <v>-1135.2406522778979</v>
      </c>
      <c r="Q2338" t="s">
        <v>30099</v>
      </c>
      <c r="R2338" t="s">
        <v>30100</v>
      </c>
      <c r="S2338" t="s">
        <v>30101</v>
      </c>
      <c r="T2338" t="s">
        <v>30102</v>
      </c>
      <c r="U2338" t="s">
        <v>30103</v>
      </c>
      <c r="V2338">
        <f>-740.48532095206 -12.7147099244851 -93.9514908842791</f>
        <v>-847.15152176082415</v>
      </c>
      <c r="W2338" t="s">
        <v>30104</v>
      </c>
      <c r="X2338" t="s">
        <v>30105</v>
      </c>
      <c r="Y2338" t="s">
        <v>30106</v>
      </c>
    </row>
    <row r="2339" spans="1:25" x14ac:dyDescent="0.3">
      <c r="A2339">
        <v>116900</v>
      </c>
      <c r="B2339" t="s">
        <v>30107</v>
      </c>
      <c r="C2339" t="s">
        <v>30108</v>
      </c>
      <c r="D2339" t="s">
        <v>30109</v>
      </c>
      <c r="E2339" t="s">
        <v>30110</v>
      </c>
      <c r="F2339" t="s">
        <v>30111</v>
      </c>
      <c r="G2339" t="s">
        <v>30112</v>
      </c>
      <c r="H2339" t="s">
        <v>30113</v>
      </c>
      <c r="I2339" t="s">
        <v>30114</v>
      </c>
      <c r="J2339" t="s">
        <v>30115</v>
      </c>
      <c r="K2339" t="s">
        <v>30116</v>
      </c>
      <c r="L2339" t="s">
        <v>30117</v>
      </c>
      <c r="M2339" t="s">
        <v>30118</v>
      </c>
      <c r="N2339" t="s">
        <v>30119</v>
      </c>
      <c r="O2339">
        <f>-766.88344747876 -93.8334772780206 -528.071365520194</f>
        <v>-1388.7882902769747</v>
      </c>
      <c r="P2339">
        <f>-759.823185290919 -137.305778703003 -237.122012681194</f>
        <v>-1134.2509766751161</v>
      </c>
      <c r="Q2339" t="s">
        <v>30120</v>
      </c>
      <c r="R2339" t="s">
        <v>30121</v>
      </c>
      <c r="S2339" t="s">
        <v>30122</v>
      </c>
      <c r="T2339" t="s">
        <v>30123</v>
      </c>
      <c r="U2339" t="s">
        <v>30124</v>
      </c>
      <c r="V2339">
        <f>-740.380007103284 -12.5171993010206 -93.9976853689609</f>
        <v>-846.8948917732655</v>
      </c>
      <c r="W2339" t="s">
        <v>30125</v>
      </c>
      <c r="X2339" t="s">
        <v>30126</v>
      </c>
      <c r="Y2339" t="s">
        <v>30127</v>
      </c>
    </row>
    <row r="2340" spans="1:25" x14ac:dyDescent="0.3">
      <c r="A2340">
        <v>116950</v>
      </c>
      <c r="B2340" t="s">
        <v>30128</v>
      </c>
      <c r="C2340" t="s">
        <v>30129</v>
      </c>
      <c r="D2340" t="s">
        <v>30130</v>
      </c>
      <c r="E2340" t="s">
        <v>30131</v>
      </c>
      <c r="F2340" t="s">
        <v>30132</v>
      </c>
      <c r="G2340" t="s">
        <v>30133</v>
      </c>
      <c r="H2340" t="s">
        <v>30134</v>
      </c>
      <c r="I2340" t="s">
        <v>30135</v>
      </c>
      <c r="J2340" t="s">
        <v>30136</v>
      </c>
      <c r="K2340" t="s">
        <v>30137</v>
      </c>
      <c r="L2340" t="s">
        <v>30138</v>
      </c>
      <c r="M2340" t="s">
        <v>30139</v>
      </c>
      <c r="N2340" t="s">
        <v>30140</v>
      </c>
      <c r="O2340">
        <f>-766.639136767255 -93.6815565085651 -528.155697947207</f>
        <v>-1388.4763912230271</v>
      </c>
      <c r="P2340">
        <f>-759.251332089493 -137.255166465673 -237.229734466876</f>
        <v>-1133.7362330220419</v>
      </c>
      <c r="Q2340" t="s">
        <v>30141</v>
      </c>
      <c r="R2340" t="s">
        <v>30142</v>
      </c>
      <c r="S2340" t="s">
        <v>30143</v>
      </c>
      <c r="T2340" t="s">
        <v>30144</v>
      </c>
      <c r="U2340" t="s">
        <v>30145</v>
      </c>
      <c r="V2340">
        <f>-740.33012619638 -12.5613503008701 -94.0060479212098</f>
        <v>-846.89752441845985</v>
      </c>
      <c r="W2340" t="s">
        <v>30146</v>
      </c>
      <c r="X2340" t="s">
        <v>30147</v>
      </c>
      <c r="Y2340" t="s">
        <v>30148</v>
      </c>
    </row>
    <row r="2341" spans="1:25" x14ac:dyDescent="0.3">
      <c r="A2341">
        <v>117000</v>
      </c>
      <c r="B2341" t="s">
        <v>30149</v>
      </c>
      <c r="C2341" t="s">
        <v>30150</v>
      </c>
      <c r="D2341" t="s">
        <v>30151</v>
      </c>
      <c r="E2341" t="s">
        <v>30152</v>
      </c>
      <c r="F2341" t="s">
        <v>30153</v>
      </c>
      <c r="G2341" t="s">
        <v>30154</v>
      </c>
      <c r="H2341" t="s">
        <v>30155</v>
      </c>
      <c r="I2341" t="s">
        <v>30156</v>
      </c>
      <c r="J2341" t="s">
        <v>30157</v>
      </c>
      <c r="K2341" t="s">
        <v>30158</v>
      </c>
      <c r="L2341" t="s">
        <v>30159</v>
      </c>
      <c r="M2341" t="s">
        <v>30160</v>
      </c>
      <c r="N2341" t="s">
        <v>30161</v>
      </c>
      <c r="O2341">
        <f>-766.291217352684 -93.5723130890105 -528.208886871048</f>
        <v>-1388.0724173127426</v>
      </c>
      <c r="P2341">
        <f>-758.619808540534 -137.285540993355 -237.31117308648</f>
        <v>-1133.216522620369</v>
      </c>
      <c r="Q2341" t="s">
        <v>30162</v>
      </c>
      <c r="R2341" t="s">
        <v>30163</v>
      </c>
      <c r="S2341" t="s">
        <v>30164</v>
      </c>
      <c r="T2341" t="s">
        <v>30165</v>
      </c>
      <c r="U2341" t="s">
        <v>30166</v>
      </c>
      <c r="V2341">
        <f>-740.182549473308 -12.6464745642929 -94.0270260865059</f>
        <v>-846.85605012410679</v>
      </c>
      <c r="W2341" t="s">
        <v>30167</v>
      </c>
      <c r="X2341" t="s">
        <v>30168</v>
      </c>
      <c r="Y2341" t="s">
        <v>30169</v>
      </c>
    </row>
    <row r="2342" spans="1:25" x14ac:dyDescent="0.3">
      <c r="A2342">
        <v>117050</v>
      </c>
      <c r="B2342" t="s">
        <v>30170</v>
      </c>
      <c r="C2342" t="s">
        <v>30171</v>
      </c>
      <c r="D2342" t="s">
        <v>30172</v>
      </c>
      <c r="E2342" t="s">
        <v>30173</v>
      </c>
      <c r="F2342" t="s">
        <v>30174</v>
      </c>
      <c r="G2342" t="s">
        <v>30175</v>
      </c>
      <c r="H2342" t="s">
        <v>30176</v>
      </c>
      <c r="I2342" t="s">
        <v>30177</v>
      </c>
      <c r="J2342" t="s">
        <v>30178</v>
      </c>
      <c r="K2342" t="s">
        <v>30179</v>
      </c>
      <c r="L2342" t="s">
        <v>30180</v>
      </c>
      <c r="M2342" t="s">
        <v>30181</v>
      </c>
      <c r="N2342" t="s">
        <v>30182</v>
      </c>
      <c r="O2342">
        <f>-766.19739097389 -93.5921031522823 -528.206428488415</f>
        <v>-1387.9959226145875</v>
      </c>
      <c r="P2342">
        <f>-758.626606719419 -137.103576469346 -237.275791001312</f>
        <v>-1133.005974190077</v>
      </c>
      <c r="Q2342" t="s">
        <v>30183</v>
      </c>
      <c r="R2342" t="s">
        <v>30184</v>
      </c>
      <c r="S2342" t="s">
        <v>30185</v>
      </c>
      <c r="T2342" t="s">
        <v>30186</v>
      </c>
      <c r="U2342" t="s">
        <v>30187</v>
      </c>
      <c r="V2342">
        <f>-740.013056193409 -12.6716577893885 -94.028973841995</f>
        <v>-846.7136878247926</v>
      </c>
      <c r="W2342" t="s">
        <v>30188</v>
      </c>
      <c r="X2342" t="s">
        <v>30189</v>
      </c>
      <c r="Y2342" t="s">
        <v>30190</v>
      </c>
    </row>
    <row r="2343" spans="1:25" x14ac:dyDescent="0.3">
      <c r="A2343">
        <v>117100</v>
      </c>
      <c r="B2343" t="s">
        <v>30191</v>
      </c>
      <c r="C2343" t="s">
        <v>30192</v>
      </c>
      <c r="D2343" t="s">
        <v>30193</v>
      </c>
      <c r="E2343" t="s">
        <v>30194</v>
      </c>
      <c r="F2343" t="s">
        <v>30195</v>
      </c>
      <c r="G2343" t="s">
        <v>30196</v>
      </c>
      <c r="H2343" t="s">
        <v>30197</v>
      </c>
      <c r="I2343" t="s">
        <v>30198</v>
      </c>
      <c r="J2343" t="s">
        <v>30199</v>
      </c>
      <c r="K2343" t="s">
        <v>30200</v>
      </c>
      <c r="L2343" t="s">
        <v>30201</v>
      </c>
      <c r="M2343" t="s">
        <v>30202</v>
      </c>
      <c r="N2343" t="s">
        <v>30203</v>
      </c>
      <c r="O2343">
        <f>-766.111135711469 -94.0580910981625 -528.189636167171</f>
        <v>-1388.3588629768026</v>
      </c>
      <c r="P2343">
        <f>-758.611635587925 -137.552458001075 -237.254481817924</f>
        <v>-1133.418575406924</v>
      </c>
      <c r="Q2343" t="s">
        <v>30204</v>
      </c>
      <c r="R2343" t="s">
        <v>30205</v>
      </c>
      <c r="S2343" t="s">
        <v>30206</v>
      </c>
      <c r="T2343" t="s">
        <v>30207</v>
      </c>
      <c r="U2343" t="s">
        <v>30208</v>
      </c>
      <c r="V2343">
        <f>-739.68151281722 -12.9867172592121 -94.0406259963337</f>
        <v>-846.7088560727658</v>
      </c>
      <c r="W2343" t="s">
        <v>30209</v>
      </c>
      <c r="X2343" t="s">
        <v>30210</v>
      </c>
      <c r="Y2343" t="s">
        <v>30211</v>
      </c>
    </row>
    <row r="2344" spans="1:25" x14ac:dyDescent="0.3">
      <c r="A2344">
        <v>117150</v>
      </c>
      <c r="B2344" t="s">
        <v>30212</v>
      </c>
      <c r="C2344" t="s">
        <v>30213</v>
      </c>
      <c r="D2344" t="s">
        <v>30214</v>
      </c>
      <c r="E2344" t="s">
        <v>30215</v>
      </c>
      <c r="F2344" t="s">
        <v>30216</v>
      </c>
      <c r="G2344" t="s">
        <v>30217</v>
      </c>
      <c r="H2344" t="s">
        <v>30218</v>
      </c>
      <c r="I2344" t="s">
        <v>30219</v>
      </c>
      <c r="J2344" t="s">
        <v>30220</v>
      </c>
      <c r="K2344" t="s">
        <v>30221</v>
      </c>
      <c r="L2344" t="s">
        <v>30222</v>
      </c>
      <c r="M2344" t="s">
        <v>30223</v>
      </c>
      <c r="N2344" t="s">
        <v>30224</v>
      </c>
      <c r="O2344">
        <f>-766.033300942842 -94.13954091546 -528.23765164572</f>
        <v>-1388.4104935040218</v>
      </c>
      <c r="P2344">
        <f>-758.560315346748 -137.646748665036 -237.303945325236</f>
        <v>-1133.5110093370199</v>
      </c>
      <c r="Q2344" t="s">
        <v>30225</v>
      </c>
      <c r="R2344" t="s">
        <v>30226</v>
      </c>
      <c r="S2344" t="s">
        <v>30227</v>
      </c>
      <c r="T2344" t="s">
        <v>30228</v>
      </c>
      <c r="U2344" t="s">
        <v>30229</v>
      </c>
      <c r="V2344">
        <f>-739.472886389656 -13.0589840362195 -94.0627683671222</f>
        <v>-846.59463879299767</v>
      </c>
      <c r="W2344" t="s">
        <v>30230</v>
      </c>
      <c r="X2344" t="s">
        <v>30231</v>
      </c>
      <c r="Y2344" t="s">
        <v>30232</v>
      </c>
    </row>
    <row r="2345" spans="1:25" x14ac:dyDescent="0.3">
      <c r="A2345">
        <v>117200</v>
      </c>
      <c r="B2345" t="s">
        <v>30233</v>
      </c>
      <c r="C2345" t="s">
        <v>30234</v>
      </c>
      <c r="D2345" t="s">
        <v>30235</v>
      </c>
      <c r="E2345" t="s">
        <v>30236</v>
      </c>
      <c r="F2345" t="s">
        <v>30237</v>
      </c>
      <c r="G2345" t="s">
        <v>30238</v>
      </c>
      <c r="H2345" t="s">
        <v>30239</v>
      </c>
      <c r="I2345" t="s">
        <v>30240</v>
      </c>
      <c r="J2345" t="s">
        <v>30241</v>
      </c>
      <c r="K2345" t="s">
        <v>30242</v>
      </c>
      <c r="L2345" t="s">
        <v>30243</v>
      </c>
      <c r="M2345" t="s">
        <v>30244</v>
      </c>
      <c r="N2345" t="s">
        <v>30245</v>
      </c>
      <c r="O2345">
        <f>-766.083502938781 -94.5055130512139 -528.312245725058</f>
        <v>-1388.9012617150529</v>
      </c>
      <c r="P2345">
        <f>-758.640368795725 -138.111367248016 -237.392560049067</f>
        <v>-1134.144296092808</v>
      </c>
      <c r="Q2345" t="s">
        <v>30246</v>
      </c>
      <c r="R2345" t="s">
        <v>30247</v>
      </c>
      <c r="S2345" t="s">
        <v>30248</v>
      </c>
      <c r="T2345" t="s">
        <v>30249</v>
      </c>
      <c r="U2345" t="s">
        <v>30250</v>
      </c>
      <c r="V2345">
        <f>-739.395628483896 -13.3814370792879 -94.071769174036</f>
        <v>-846.84883473721993</v>
      </c>
      <c r="W2345" t="s">
        <v>30251</v>
      </c>
      <c r="X2345" t="s">
        <v>30252</v>
      </c>
      <c r="Y2345" t="s">
        <v>30253</v>
      </c>
    </row>
    <row r="2346" spans="1:25" x14ac:dyDescent="0.3">
      <c r="A2346">
        <v>117250</v>
      </c>
      <c r="B2346" t="s">
        <v>30254</v>
      </c>
      <c r="C2346" t="s">
        <v>30255</v>
      </c>
      <c r="D2346" t="s">
        <v>30256</v>
      </c>
      <c r="E2346" t="s">
        <v>30257</v>
      </c>
      <c r="F2346" t="s">
        <v>30258</v>
      </c>
      <c r="G2346" t="s">
        <v>30259</v>
      </c>
      <c r="H2346" t="s">
        <v>30260</v>
      </c>
      <c r="I2346" t="s">
        <v>30261</v>
      </c>
      <c r="J2346" t="s">
        <v>30262</v>
      </c>
      <c r="K2346" t="s">
        <v>30263</v>
      </c>
      <c r="L2346" t="s">
        <v>30264</v>
      </c>
      <c r="M2346" t="s">
        <v>30265</v>
      </c>
      <c r="N2346" t="s">
        <v>30266</v>
      </c>
      <c r="O2346">
        <f>-766.134886478221 -94.6261145256738 -528.319724224567</f>
        <v>-1389.0807252284617</v>
      </c>
      <c r="P2346">
        <f>-758.716956829676 -138.338850611842 -237.415364516755</f>
        <v>-1134.4711719582729</v>
      </c>
      <c r="Q2346" t="s">
        <v>30267</v>
      </c>
      <c r="R2346" t="s">
        <v>30268</v>
      </c>
      <c r="S2346" t="s">
        <v>30269</v>
      </c>
      <c r="T2346" t="s">
        <v>30270</v>
      </c>
      <c r="U2346" t="s">
        <v>30271</v>
      </c>
      <c r="V2346">
        <f>-739.309170491924 -13.5629644002254 -94.0861812082649</f>
        <v>-846.95831610041421</v>
      </c>
      <c r="W2346" t="s">
        <v>30272</v>
      </c>
      <c r="X2346" t="s">
        <v>30273</v>
      </c>
      <c r="Y2346" t="s">
        <v>30274</v>
      </c>
    </row>
    <row r="2347" spans="1:25" x14ac:dyDescent="0.3">
      <c r="A2347">
        <v>117300</v>
      </c>
      <c r="B2347" t="s">
        <v>30275</v>
      </c>
      <c r="C2347" t="s">
        <v>30276</v>
      </c>
      <c r="D2347" t="s">
        <v>30277</v>
      </c>
      <c r="E2347" t="s">
        <v>30278</v>
      </c>
      <c r="F2347" t="s">
        <v>30279</v>
      </c>
      <c r="G2347" t="s">
        <v>30280</v>
      </c>
      <c r="H2347" t="s">
        <v>30281</v>
      </c>
      <c r="I2347" t="s">
        <v>30282</v>
      </c>
      <c r="J2347" t="s">
        <v>30283</v>
      </c>
      <c r="K2347" t="s">
        <v>30284</v>
      </c>
      <c r="L2347" t="s">
        <v>30285</v>
      </c>
      <c r="M2347" t="s">
        <v>30286</v>
      </c>
      <c r="N2347" t="s">
        <v>30287</v>
      </c>
      <c r="O2347">
        <f>-766.463759963102 -94.7888558250804 -528.276646753425</f>
        <v>-1389.5292625416073</v>
      </c>
      <c r="P2347">
        <f>-759.216048205959 -138.457425015791 -237.361186182707</f>
        <v>-1135.0346594044572</v>
      </c>
      <c r="Q2347" t="s">
        <v>30288</v>
      </c>
      <c r="R2347" t="s">
        <v>30289</v>
      </c>
      <c r="S2347" t="s">
        <v>30290</v>
      </c>
      <c r="T2347" t="s">
        <v>30291</v>
      </c>
      <c r="U2347" t="s">
        <v>30292</v>
      </c>
      <c r="V2347">
        <f>-739.269890834905 -13.7257865405534 -94.0883439543422</f>
        <v>-847.08402132980063</v>
      </c>
      <c r="W2347" t="s">
        <v>30293</v>
      </c>
      <c r="X2347" t="s">
        <v>30294</v>
      </c>
      <c r="Y2347" t="s">
        <v>30295</v>
      </c>
    </row>
    <row r="2348" spans="1:25" x14ac:dyDescent="0.3">
      <c r="A2348">
        <v>117350</v>
      </c>
      <c r="B2348" t="s">
        <v>30296</v>
      </c>
      <c r="C2348" t="s">
        <v>30297</v>
      </c>
      <c r="D2348" t="s">
        <v>30298</v>
      </c>
      <c r="E2348" t="s">
        <v>30299</v>
      </c>
      <c r="F2348" t="s">
        <v>30300</v>
      </c>
      <c r="G2348" t="s">
        <v>30301</v>
      </c>
      <c r="H2348" t="s">
        <v>30302</v>
      </c>
      <c r="I2348" t="s">
        <v>30303</v>
      </c>
      <c r="J2348" t="s">
        <v>30304</v>
      </c>
      <c r="K2348" t="s">
        <v>30305</v>
      </c>
      <c r="L2348" t="s">
        <v>30306</v>
      </c>
      <c r="M2348" t="s">
        <v>30307</v>
      </c>
      <c r="N2348" t="s">
        <v>30308</v>
      </c>
      <c r="O2348">
        <f>-766.824475897718 -95.1570143745637 -528.206182418128</f>
        <v>-1390.1876726904097</v>
      </c>
      <c r="P2348">
        <f>-759.627450314215 -138.800351319609 -237.285901286855</f>
        <v>-1135.713702920679</v>
      </c>
      <c r="Q2348" t="s">
        <v>30309</v>
      </c>
      <c r="R2348" t="s">
        <v>30310</v>
      </c>
      <c r="S2348" t="s">
        <v>30311</v>
      </c>
      <c r="T2348" t="s">
        <v>30312</v>
      </c>
      <c r="U2348" t="s">
        <v>30313</v>
      </c>
      <c r="V2348">
        <f>-739.337534560234 -14.0811768619535 -94.0752884637816</f>
        <v>-847.49399988596906</v>
      </c>
      <c r="W2348" t="s">
        <v>30314</v>
      </c>
      <c r="X2348" t="s">
        <v>30315</v>
      </c>
      <c r="Y2348" t="s">
        <v>30316</v>
      </c>
    </row>
    <row r="2349" spans="1:25" x14ac:dyDescent="0.3">
      <c r="A2349">
        <v>117400</v>
      </c>
      <c r="B2349" t="s">
        <v>30317</v>
      </c>
      <c r="C2349" t="s">
        <v>30318</v>
      </c>
      <c r="D2349" t="s">
        <v>30319</v>
      </c>
      <c r="E2349" t="s">
        <v>30320</v>
      </c>
      <c r="F2349" t="s">
        <v>30321</v>
      </c>
      <c r="G2349" t="s">
        <v>30322</v>
      </c>
      <c r="H2349" t="s">
        <v>30323</v>
      </c>
      <c r="I2349" t="s">
        <v>30324</v>
      </c>
      <c r="J2349" t="s">
        <v>30325</v>
      </c>
      <c r="K2349" t="s">
        <v>30326</v>
      </c>
      <c r="L2349" t="s">
        <v>30327</v>
      </c>
      <c r="M2349" t="s">
        <v>30328</v>
      </c>
      <c r="N2349" t="s">
        <v>30329</v>
      </c>
      <c r="O2349">
        <f>-767.557486131184 -96.199876347742 -528.065918415103</f>
        <v>-1391.823280894029</v>
      </c>
      <c r="P2349">
        <f>-760.327185369639 -140.020863929906 -237.173008446733</f>
        <v>-1137.5210577462781</v>
      </c>
      <c r="Q2349" t="s">
        <v>30330</v>
      </c>
      <c r="R2349" t="s">
        <v>30331</v>
      </c>
      <c r="S2349" t="s">
        <v>30332</v>
      </c>
      <c r="T2349" t="s">
        <v>30333</v>
      </c>
      <c r="U2349" t="s">
        <v>30334</v>
      </c>
      <c r="V2349">
        <f>-739.34717310113 -15.0050681603896 -94.0207525238329</f>
        <v>-848.37299378535249</v>
      </c>
      <c r="W2349" t="s">
        <v>30335</v>
      </c>
      <c r="X2349" t="s">
        <v>30336</v>
      </c>
      <c r="Y2349" t="s">
        <v>30337</v>
      </c>
    </row>
    <row r="2350" spans="1:25" x14ac:dyDescent="0.3">
      <c r="A2350">
        <v>117450</v>
      </c>
      <c r="B2350" t="s">
        <v>30338</v>
      </c>
      <c r="C2350" t="s">
        <v>30339</v>
      </c>
      <c r="D2350" t="s">
        <v>30340</v>
      </c>
      <c r="E2350" t="s">
        <v>30341</v>
      </c>
      <c r="F2350" t="s">
        <v>30342</v>
      </c>
      <c r="G2350" t="s">
        <v>30343</v>
      </c>
      <c r="H2350" t="s">
        <v>30344</v>
      </c>
      <c r="I2350" t="s">
        <v>30345</v>
      </c>
      <c r="J2350" t="s">
        <v>30346</v>
      </c>
      <c r="K2350" t="s">
        <v>30347</v>
      </c>
      <c r="L2350" t="s">
        <v>30348</v>
      </c>
      <c r="M2350" t="s">
        <v>30349</v>
      </c>
      <c r="N2350" t="s">
        <v>30350</v>
      </c>
      <c r="O2350">
        <f>-768.128087264584 -96.8618698374632 -527.999518547444</f>
        <v>-1392.9894756494914</v>
      </c>
      <c r="P2350">
        <f>-760.755340530409 -140.856939022003 -237.136415394334</f>
        <v>-1138.7486949467459</v>
      </c>
      <c r="Q2350" t="s">
        <v>30351</v>
      </c>
      <c r="R2350" t="s">
        <v>30352</v>
      </c>
      <c r="S2350" t="s">
        <v>30353</v>
      </c>
      <c r="T2350" t="s">
        <v>30354</v>
      </c>
      <c r="U2350" t="s">
        <v>30355</v>
      </c>
      <c r="V2350">
        <f>-739.341342346691 -15.4518081107856 -93.9776112591795</f>
        <v>-848.77076171665612</v>
      </c>
      <c r="W2350" t="s">
        <v>30356</v>
      </c>
      <c r="X2350" t="s">
        <v>30357</v>
      </c>
      <c r="Y2350" t="s">
        <v>30358</v>
      </c>
    </row>
    <row r="2351" spans="1:25" x14ac:dyDescent="0.3">
      <c r="A2351">
        <v>117500</v>
      </c>
      <c r="B2351" t="s">
        <v>30359</v>
      </c>
      <c r="C2351" t="s">
        <v>30360</v>
      </c>
      <c r="D2351" t="s">
        <v>30361</v>
      </c>
      <c r="E2351" t="s">
        <v>30362</v>
      </c>
      <c r="F2351" t="s">
        <v>30363</v>
      </c>
      <c r="G2351" t="s">
        <v>30364</v>
      </c>
      <c r="H2351" t="s">
        <v>30365</v>
      </c>
      <c r="I2351" t="s">
        <v>30366</v>
      </c>
      <c r="J2351" t="s">
        <v>30367</v>
      </c>
      <c r="K2351" t="s">
        <v>30368</v>
      </c>
      <c r="L2351" t="s">
        <v>30369</v>
      </c>
      <c r="M2351" t="s">
        <v>30370</v>
      </c>
      <c r="N2351" t="s">
        <v>30371</v>
      </c>
      <c r="O2351">
        <f>-769.445254245738 -98.0605566762738 -527.968338274844</f>
        <v>-1395.4741491968557</v>
      </c>
      <c r="P2351">
        <f>-761.974294018756 -142.036275858171 -237.104985161549</f>
        <v>-1141.115555038476</v>
      </c>
      <c r="Q2351" t="s">
        <v>30372</v>
      </c>
      <c r="R2351" t="s">
        <v>30373</v>
      </c>
      <c r="S2351" t="s">
        <v>30374</v>
      </c>
      <c r="T2351" t="s">
        <v>30375</v>
      </c>
      <c r="U2351" t="s">
        <v>30376</v>
      </c>
      <c r="V2351">
        <f>-738.856942180431 -16.1300351963669 -93.9360722447867</f>
        <v>-848.9230496215846</v>
      </c>
      <c r="W2351" t="s">
        <v>30377</v>
      </c>
      <c r="X2351" t="s">
        <v>30378</v>
      </c>
      <c r="Y2351" t="s">
        <v>30379</v>
      </c>
    </row>
    <row r="2352" spans="1:25" x14ac:dyDescent="0.3">
      <c r="A2352">
        <v>117550</v>
      </c>
      <c r="B2352" t="s">
        <v>30380</v>
      </c>
      <c r="C2352" t="s">
        <v>30381</v>
      </c>
      <c r="D2352" t="s">
        <v>30382</v>
      </c>
      <c r="E2352" t="s">
        <v>30383</v>
      </c>
      <c r="F2352" t="s">
        <v>30384</v>
      </c>
      <c r="G2352" t="s">
        <v>30385</v>
      </c>
      <c r="H2352" t="s">
        <v>30386</v>
      </c>
      <c r="I2352" t="s">
        <v>30387</v>
      </c>
      <c r="J2352" t="s">
        <v>30388</v>
      </c>
      <c r="K2352" t="s">
        <v>30389</v>
      </c>
      <c r="L2352" t="s">
        <v>30390</v>
      </c>
      <c r="M2352" t="s">
        <v>30391</v>
      </c>
      <c r="N2352" t="s">
        <v>30392</v>
      </c>
      <c r="O2352">
        <f>-770.335077481841 -98.4919876486692 -527.984260788504</f>
        <v>-1396.8113259190143</v>
      </c>
      <c r="P2352">
        <f>-762.796879348513 -142.398242139698 -237.112001717909</f>
        <v>-1142.30712320612</v>
      </c>
      <c r="Q2352" t="s">
        <v>30393</v>
      </c>
      <c r="R2352" t="s">
        <v>30394</v>
      </c>
      <c r="S2352" t="s">
        <v>30395</v>
      </c>
      <c r="T2352" t="s">
        <v>30396</v>
      </c>
      <c r="U2352" t="s">
        <v>30397</v>
      </c>
      <c r="V2352">
        <f>-738.675478480068 -16.2428203890438 -93.9158954655713</f>
        <v>-848.83419433468316</v>
      </c>
      <c r="W2352" t="s">
        <v>30398</v>
      </c>
      <c r="X2352" t="s">
        <v>30399</v>
      </c>
      <c r="Y2352" t="s">
        <v>30400</v>
      </c>
    </row>
    <row r="2353" spans="1:25" x14ac:dyDescent="0.3">
      <c r="A2353">
        <v>117600</v>
      </c>
      <c r="B2353" t="s">
        <v>30401</v>
      </c>
      <c r="C2353" t="s">
        <v>30402</v>
      </c>
      <c r="D2353" t="s">
        <v>30403</v>
      </c>
      <c r="E2353" t="s">
        <v>30404</v>
      </c>
      <c r="F2353" t="s">
        <v>30405</v>
      </c>
      <c r="G2353" t="s">
        <v>30406</v>
      </c>
      <c r="H2353" t="s">
        <v>30407</v>
      </c>
      <c r="I2353" t="s">
        <v>30408</v>
      </c>
      <c r="J2353" t="s">
        <v>30409</v>
      </c>
      <c r="K2353" t="s">
        <v>30410</v>
      </c>
      <c r="L2353" t="s">
        <v>30411</v>
      </c>
      <c r="M2353" t="s">
        <v>30412</v>
      </c>
      <c r="N2353" t="s">
        <v>30413</v>
      </c>
      <c r="O2353">
        <f>-772.453646102853 -98.9605120074234 -528.044434975957</f>
        <v>-1399.4585930862333</v>
      </c>
      <c r="P2353">
        <f>-764.947266749077 -142.75630820881 -237.154822529262</f>
        <v>-1144.858397487149</v>
      </c>
      <c r="Q2353" t="s">
        <v>30414</v>
      </c>
      <c r="R2353" t="s">
        <v>30415</v>
      </c>
      <c r="S2353" t="s">
        <v>30416</v>
      </c>
      <c r="T2353" t="s">
        <v>30417</v>
      </c>
      <c r="U2353" t="s">
        <v>30418</v>
      </c>
      <c r="V2353">
        <f>-738.390430930177 -16.5119246999409 -93.9566737383324</f>
        <v>-848.85902936845025</v>
      </c>
      <c r="W2353" t="s">
        <v>30419</v>
      </c>
      <c r="X2353" t="s">
        <v>30420</v>
      </c>
      <c r="Y2353" t="s">
        <v>30421</v>
      </c>
    </row>
    <row r="2354" spans="1:25" x14ac:dyDescent="0.3">
      <c r="A2354">
        <v>117650</v>
      </c>
      <c r="B2354" t="s">
        <v>30422</v>
      </c>
      <c r="C2354" t="s">
        <v>30423</v>
      </c>
      <c r="D2354" t="s">
        <v>30424</v>
      </c>
      <c r="E2354" t="s">
        <v>30425</v>
      </c>
      <c r="F2354" t="s">
        <v>30426</v>
      </c>
      <c r="G2354" t="s">
        <v>30427</v>
      </c>
      <c r="H2354" t="s">
        <v>30428</v>
      </c>
      <c r="I2354" t="s">
        <v>30429</v>
      </c>
      <c r="J2354" t="s">
        <v>30430</v>
      </c>
      <c r="K2354" t="s">
        <v>30431</v>
      </c>
      <c r="L2354" t="s">
        <v>30432</v>
      </c>
      <c r="M2354" t="s">
        <v>30433</v>
      </c>
      <c r="N2354" t="s">
        <v>30434</v>
      </c>
      <c r="O2354">
        <f>-773.438905489461 -99.3011978979901 -528.076832088461</f>
        <v>-1400.816935475912</v>
      </c>
      <c r="P2354">
        <f>-765.923351267115 -143.360577013665 -237.227290071941</f>
        <v>-1146.511218352721</v>
      </c>
      <c r="Q2354" t="s">
        <v>30435</v>
      </c>
      <c r="R2354" t="s">
        <v>30436</v>
      </c>
      <c r="S2354" t="s">
        <v>30437</v>
      </c>
      <c r="T2354" t="s">
        <v>30438</v>
      </c>
      <c r="U2354" t="s">
        <v>30439</v>
      </c>
      <c r="V2354">
        <f>-738.349428876537 -16.9377389272097 -93.9693985425683</f>
        <v>-849.25656634631503</v>
      </c>
      <c r="W2354" t="s">
        <v>30440</v>
      </c>
      <c r="X2354" t="s">
        <v>30441</v>
      </c>
      <c r="Y2354" t="s">
        <v>30442</v>
      </c>
    </row>
    <row r="2355" spans="1:25" x14ac:dyDescent="0.3">
      <c r="A2355">
        <v>117700</v>
      </c>
      <c r="B2355" t="s">
        <v>30443</v>
      </c>
      <c r="C2355" t="s">
        <v>30444</v>
      </c>
      <c r="D2355" t="s">
        <v>30445</v>
      </c>
      <c r="E2355" t="s">
        <v>30446</v>
      </c>
      <c r="F2355" t="s">
        <v>30447</v>
      </c>
      <c r="G2355" t="s">
        <v>30448</v>
      </c>
      <c r="H2355" t="s">
        <v>30449</v>
      </c>
      <c r="I2355" t="s">
        <v>30450</v>
      </c>
      <c r="J2355" t="s">
        <v>30451</v>
      </c>
      <c r="K2355" t="s">
        <v>30452</v>
      </c>
      <c r="L2355" t="s">
        <v>30453</v>
      </c>
      <c r="M2355" t="s">
        <v>30454</v>
      </c>
      <c r="N2355" t="s">
        <v>30455</v>
      </c>
      <c r="O2355">
        <f>-774.983727108493 -99.9149147680621 -528.164872796952</f>
        <v>-1403.0635146735071</v>
      </c>
      <c r="P2355">
        <f>-768.041638668883 -144.054204250842 -237.313257204604</f>
        <v>-1149.4091001243289</v>
      </c>
      <c r="Q2355" t="s">
        <v>30456</v>
      </c>
      <c r="R2355" t="s">
        <v>30457</v>
      </c>
      <c r="S2355" t="s">
        <v>30458</v>
      </c>
      <c r="T2355" t="s">
        <v>30459</v>
      </c>
      <c r="U2355" t="s">
        <v>30460</v>
      </c>
      <c r="V2355">
        <f>-738.033521266691 -17.6694089057989 -93.9558554953107</f>
        <v>-849.65878566780066</v>
      </c>
      <c r="W2355" t="s">
        <v>30461</v>
      </c>
      <c r="X2355" t="s">
        <v>30462</v>
      </c>
      <c r="Y2355" t="s">
        <v>30463</v>
      </c>
    </row>
    <row r="2356" spans="1:25" x14ac:dyDescent="0.3">
      <c r="A2356">
        <v>117750</v>
      </c>
      <c r="B2356" t="s">
        <v>30464</v>
      </c>
      <c r="C2356" t="s">
        <v>30465</v>
      </c>
      <c r="D2356" t="s">
        <v>30466</v>
      </c>
      <c r="E2356" t="s">
        <v>30467</v>
      </c>
      <c r="F2356" t="s">
        <v>30468</v>
      </c>
      <c r="G2356" t="s">
        <v>30469</v>
      </c>
      <c r="H2356" t="s">
        <v>30470</v>
      </c>
      <c r="I2356" t="s">
        <v>30471</v>
      </c>
      <c r="J2356" t="s">
        <v>30472</v>
      </c>
      <c r="K2356" t="s">
        <v>30473</v>
      </c>
      <c r="L2356" t="s">
        <v>30474</v>
      </c>
      <c r="M2356" t="s">
        <v>30475</v>
      </c>
      <c r="N2356" t="s">
        <v>30476</v>
      </c>
      <c r="O2356">
        <f>-775.610380575131 -100.2677229902 -528.158677194472</f>
        <v>-1404.0367807598032</v>
      </c>
      <c r="P2356">
        <f>-769.116307176888 -144.373843302169 -237.291605672592</f>
        <v>-1150.781756151649</v>
      </c>
      <c r="Q2356" t="s">
        <v>30477</v>
      </c>
      <c r="R2356" t="s">
        <v>30478</v>
      </c>
      <c r="S2356" t="s">
        <v>30479</v>
      </c>
      <c r="T2356" t="s">
        <v>30480</v>
      </c>
      <c r="U2356" t="s">
        <v>30481</v>
      </c>
      <c r="V2356">
        <f>-737.772181758791 -17.9964065665129 -93.9751485133502</f>
        <v>-849.74373683865406</v>
      </c>
      <c r="W2356" t="s">
        <v>30482</v>
      </c>
      <c r="X2356" t="s">
        <v>30483</v>
      </c>
      <c r="Y2356" t="s">
        <v>30484</v>
      </c>
    </row>
    <row r="2357" spans="1:25" x14ac:dyDescent="0.3">
      <c r="A2357">
        <v>117800</v>
      </c>
      <c r="B2357" t="s">
        <v>30485</v>
      </c>
      <c r="C2357" t="s">
        <v>30486</v>
      </c>
      <c r="D2357" t="s">
        <v>30487</v>
      </c>
      <c r="E2357" t="s">
        <v>30488</v>
      </c>
      <c r="F2357" t="s">
        <v>30489</v>
      </c>
      <c r="G2357" t="s">
        <v>30490</v>
      </c>
      <c r="H2357" t="s">
        <v>30491</v>
      </c>
      <c r="I2357" t="s">
        <v>30492</v>
      </c>
      <c r="J2357" t="s">
        <v>30493</v>
      </c>
      <c r="K2357" t="s">
        <v>30494</v>
      </c>
      <c r="L2357" t="s">
        <v>30495</v>
      </c>
      <c r="M2357" t="s">
        <v>30496</v>
      </c>
      <c r="N2357" t="s">
        <v>30497</v>
      </c>
      <c r="O2357">
        <f>-777.137645882279 -100.65673589262 -528.105099862552</f>
        <v>-1405.8994816374511</v>
      </c>
      <c r="P2357">
        <f>-771.57009342006 -144.252864933567 -237.141862370977</f>
        <v>-1152.9648207246039</v>
      </c>
      <c r="Q2357" t="s">
        <v>30498</v>
      </c>
      <c r="R2357" t="s">
        <v>30499</v>
      </c>
      <c r="S2357" t="s">
        <v>30500</v>
      </c>
      <c r="T2357" t="s">
        <v>30501</v>
      </c>
      <c r="U2357" t="s">
        <v>30502</v>
      </c>
      <c r="V2357">
        <f>-737.675622420634 -17.8733555988738 -94.0206855431295</f>
        <v>-849.56966356263729</v>
      </c>
      <c r="W2357" t="s">
        <v>30503</v>
      </c>
      <c r="X2357" t="s">
        <v>30504</v>
      </c>
      <c r="Y2357" t="s">
        <v>30505</v>
      </c>
    </row>
    <row r="2358" spans="1:25" x14ac:dyDescent="0.3">
      <c r="A2358">
        <v>117850</v>
      </c>
      <c r="B2358" t="s">
        <v>30506</v>
      </c>
      <c r="C2358" t="s">
        <v>30507</v>
      </c>
      <c r="D2358" t="s">
        <v>30508</v>
      </c>
      <c r="E2358" t="s">
        <v>30509</v>
      </c>
      <c r="F2358" t="s">
        <v>30510</v>
      </c>
      <c r="G2358" t="s">
        <v>30511</v>
      </c>
      <c r="H2358" t="s">
        <v>30512</v>
      </c>
      <c r="I2358" t="s">
        <v>30513</v>
      </c>
      <c r="J2358" t="s">
        <v>30514</v>
      </c>
      <c r="K2358" t="s">
        <v>30515</v>
      </c>
      <c r="L2358" t="s">
        <v>30516</v>
      </c>
      <c r="M2358" t="s">
        <v>30517</v>
      </c>
      <c r="N2358" t="s">
        <v>30518</v>
      </c>
      <c r="O2358">
        <f>-777.809964375594 -100.682163648651 -528.028326560259</f>
        <v>-1406.520454584504</v>
      </c>
      <c r="P2358">
        <f>-772.678014881625 -143.95065807499 -237.008260754279</f>
        <v>-1153.636933710894</v>
      </c>
      <c r="Q2358" t="s">
        <v>30519</v>
      </c>
      <c r="R2358" t="s">
        <v>30520</v>
      </c>
      <c r="S2358" t="s">
        <v>30521</v>
      </c>
      <c r="T2358" t="s">
        <v>30522</v>
      </c>
      <c r="U2358" t="s">
        <v>30523</v>
      </c>
      <c r="V2358">
        <f>-737.676176839654 -17.5038108273345 -94.0535128996636</f>
        <v>-849.23350056665208</v>
      </c>
      <c r="W2358" t="s">
        <v>30524</v>
      </c>
      <c r="X2358" t="s">
        <v>30525</v>
      </c>
      <c r="Y2358" t="s">
        <v>30526</v>
      </c>
    </row>
    <row r="2359" spans="1:25" x14ac:dyDescent="0.3">
      <c r="A2359">
        <v>117900</v>
      </c>
      <c r="B2359" t="s">
        <v>30527</v>
      </c>
      <c r="C2359" t="s">
        <v>30528</v>
      </c>
      <c r="D2359" t="s">
        <v>30529</v>
      </c>
      <c r="E2359" t="s">
        <v>30530</v>
      </c>
      <c r="F2359" t="s">
        <v>30531</v>
      </c>
      <c r="G2359" t="s">
        <v>30532</v>
      </c>
      <c r="H2359" t="s">
        <v>30533</v>
      </c>
      <c r="I2359" t="s">
        <v>30534</v>
      </c>
      <c r="J2359" t="s">
        <v>30535</v>
      </c>
      <c r="K2359" t="s">
        <v>30536</v>
      </c>
      <c r="L2359" t="s">
        <v>30537</v>
      </c>
      <c r="M2359" t="s">
        <v>30538</v>
      </c>
      <c r="N2359" t="s">
        <v>30539</v>
      </c>
      <c r="O2359">
        <f>-778.758220855492 -100.942189032625 -527.781625088703</f>
        <v>-1407.4820349768202</v>
      </c>
      <c r="P2359">
        <f>-774.520480351121 -143.299423844122 -236.613028377938</f>
        <v>-1154.432932573181</v>
      </c>
      <c r="Q2359" t="s">
        <v>30540</v>
      </c>
      <c r="R2359" t="s">
        <v>30541</v>
      </c>
      <c r="S2359" t="s">
        <v>30542</v>
      </c>
      <c r="T2359" t="s">
        <v>30543</v>
      </c>
      <c r="U2359" t="s">
        <v>30544</v>
      </c>
      <c r="V2359">
        <f>-737.80444743952 -17.0626015220498 -94.1111177863369</f>
        <v>-848.9781667479067</v>
      </c>
      <c r="W2359" t="s">
        <v>30545</v>
      </c>
      <c r="X2359" t="s">
        <v>30546</v>
      </c>
      <c r="Y2359" t="s">
        <v>30547</v>
      </c>
    </row>
    <row r="2360" spans="1:25" x14ac:dyDescent="0.3">
      <c r="A2360">
        <v>117950</v>
      </c>
      <c r="B2360" t="s">
        <v>30548</v>
      </c>
      <c r="C2360" t="s">
        <v>30549</v>
      </c>
      <c r="D2360" t="s">
        <v>30550</v>
      </c>
      <c r="E2360" t="s">
        <v>30551</v>
      </c>
      <c r="F2360" t="s">
        <v>30552</v>
      </c>
      <c r="G2360" t="s">
        <v>30553</v>
      </c>
      <c r="H2360" t="s">
        <v>30554</v>
      </c>
      <c r="I2360" t="s">
        <v>30555</v>
      </c>
      <c r="J2360" t="s">
        <v>30556</v>
      </c>
      <c r="K2360" t="s">
        <v>30557</v>
      </c>
      <c r="L2360" t="s">
        <v>30558</v>
      </c>
      <c r="M2360" t="s">
        <v>30559</v>
      </c>
      <c r="N2360" t="s">
        <v>30560</v>
      </c>
      <c r="O2360">
        <f>-779.001956929289 -101.246256759234 -527.575082773828</f>
        <v>-1407.823296462351</v>
      </c>
      <c r="P2360">
        <f>-774.999282617467 -143.200387107211 -236.344945277729</f>
        <v>-1154.544615002407</v>
      </c>
      <c r="Q2360" t="s">
        <v>30561</v>
      </c>
      <c r="R2360" t="s">
        <v>30562</v>
      </c>
      <c r="S2360" t="s">
        <v>30563</v>
      </c>
      <c r="T2360" t="s">
        <v>30564</v>
      </c>
      <c r="U2360" t="s">
        <v>30565</v>
      </c>
      <c r="V2360">
        <f>-737.786682081054 -16.8029704350145 -94.1288286617371</f>
        <v>-848.71848117780553</v>
      </c>
      <c r="W2360" t="s">
        <v>30566</v>
      </c>
      <c r="X2360" t="s">
        <v>30567</v>
      </c>
      <c r="Y2360" t="s">
        <v>30568</v>
      </c>
    </row>
    <row r="2361" spans="1:25" x14ac:dyDescent="0.3">
      <c r="A2361">
        <v>118000</v>
      </c>
      <c r="B2361" t="s">
        <v>30569</v>
      </c>
      <c r="C2361" t="s">
        <v>30570</v>
      </c>
      <c r="D2361" t="s">
        <v>30571</v>
      </c>
      <c r="E2361" t="s">
        <v>30572</v>
      </c>
      <c r="F2361" t="s">
        <v>30573</v>
      </c>
      <c r="G2361" t="s">
        <v>30574</v>
      </c>
      <c r="H2361" t="s">
        <v>30575</v>
      </c>
      <c r="I2361" t="s">
        <v>30576</v>
      </c>
      <c r="J2361" t="s">
        <v>30577</v>
      </c>
      <c r="K2361" t="s">
        <v>30578</v>
      </c>
      <c r="L2361" t="s">
        <v>30579</v>
      </c>
      <c r="M2361" t="s">
        <v>30580</v>
      </c>
      <c r="N2361" t="s">
        <v>30581</v>
      </c>
      <c r="O2361">
        <f>-778.877384845785 -101.508870071478 -527.050944568693</f>
        <v>-1407.4371994859559</v>
      </c>
      <c r="P2361">
        <f>-775.389249173787 -142.532090507469 -235.681501795446</f>
        <v>-1153.602841476702</v>
      </c>
      <c r="Q2361" t="s">
        <v>30582</v>
      </c>
      <c r="R2361" t="s">
        <v>30583</v>
      </c>
      <c r="S2361" t="s">
        <v>30584</v>
      </c>
      <c r="T2361" t="s">
        <v>30585</v>
      </c>
      <c r="U2361" t="s">
        <v>30586</v>
      </c>
      <c r="V2361">
        <f>-737.604180235584 -16.4068892683606 -94.1833620090699</f>
        <v>-848.19443151301448</v>
      </c>
      <c r="W2361" t="s">
        <v>30587</v>
      </c>
      <c r="X2361" t="s">
        <v>30588</v>
      </c>
      <c r="Y2361" t="s">
        <v>30589</v>
      </c>
    </row>
    <row r="2362" spans="1:25" x14ac:dyDescent="0.3">
      <c r="A2362">
        <v>118050</v>
      </c>
      <c r="B2362" t="s">
        <v>30590</v>
      </c>
      <c r="C2362" t="s">
        <v>30591</v>
      </c>
      <c r="D2362" t="s">
        <v>30592</v>
      </c>
      <c r="E2362" t="s">
        <v>30593</v>
      </c>
      <c r="F2362" t="s">
        <v>30594</v>
      </c>
      <c r="G2362" t="s">
        <v>30595</v>
      </c>
      <c r="H2362" t="s">
        <v>30596</v>
      </c>
      <c r="I2362" t="s">
        <v>30597</v>
      </c>
      <c r="J2362" t="s">
        <v>30598</v>
      </c>
      <c r="K2362" t="s">
        <v>30599</v>
      </c>
      <c r="L2362" t="s">
        <v>30600</v>
      </c>
      <c r="M2362" t="s">
        <v>30601</v>
      </c>
      <c r="N2362" t="s">
        <v>30602</v>
      </c>
      <c r="O2362">
        <f>-778.644296684568 -101.487574184303 -526.812192279718</f>
        <v>-1406.9440631485891</v>
      </c>
      <c r="P2362">
        <f>-775.360938347256 -142.132633096925 -235.387522872353</f>
        <v>-1152.881094316534</v>
      </c>
      <c r="Q2362" t="s">
        <v>30603</v>
      </c>
      <c r="R2362" t="s">
        <v>30604</v>
      </c>
      <c r="S2362" t="s">
        <v>30605</v>
      </c>
      <c r="T2362" t="s">
        <v>30606</v>
      </c>
      <c r="U2362" t="s">
        <v>30607</v>
      </c>
      <c r="V2362">
        <f>-737.496977434658 -16.3396013110407 -94.2185017004607</f>
        <v>-848.05508044615942</v>
      </c>
      <c r="W2362" t="s">
        <v>30608</v>
      </c>
      <c r="X2362" t="s">
        <v>30609</v>
      </c>
      <c r="Y2362" t="s">
        <v>30610</v>
      </c>
    </row>
    <row r="2363" spans="1:25" x14ac:dyDescent="0.3">
      <c r="A2363">
        <v>118100</v>
      </c>
      <c r="B2363" t="s">
        <v>30611</v>
      </c>
      <c r="C2363" t="s">
        <v>30612</v>
      </c>
      <c r="D2363" t="s">
        <v>30613</v>
      </c>
      <c r="E2363" t="s">
        <v>30614</v>
      </c>
      <c r="F2363" t="s">
        <v>30615</v>
      </c>
      <c r="G2363" t="s">
        <v>30616</v>
      </c>
      <c r="H2363" t="s">
        <v>30617</v>
      </c>
      <c r="I2363" t="s">
        <v>30618</v>
      </c>
      <c r="J2363" t="s">
        <v>30619</v>
      </c>
      <c r="K2363" t="s">
        <v>30620</v>
      </c>
      <c r="L2363" t="s">
        <v>30621</v>
      </c>
      <c r="M2363" t="s">
        <v>30622</v>
      </c>
      <c r="N2363" t="s">
        <v>30623</v>
      </c>
      <c r="O2363">
        <f>-777.697172909518 -101.026990551412 -526.464696018864</f>
        <v>-1405.188859479794</v>
      </c>
      <c r="P2363">
        <f>-774.809182597727 -141.092031355078 -234.95545508883</f>
        <v>-1150.8566690416351</v>
      </c>
      <c r="Q2363" t="s">
        <v>30624</v>
      </c>
      <c r="R2363" t="s">
        <v>30625</v>
      </c>
      <c r="S2363" t="s">
        <v>30626</v>
      </c>
      <c r="T2363" t="s">
        <v>30627</v>
      </c>
      <c r="U2363" t="s">
        <v>30628</v>
      </c>
      <c r="V2363">
        <f>-736.876196449448 -15.8416333921662 -94.2689664606343</f>
        <v>-846.98679630224842</v>
      </c>
      <c r="W2363" t="s">
        <v>30629</v>
      </c>
      <c r="X2363" t="s">
        <v>30630</v>
      </c>
      <c r="Y2363" t="s">
        <v>30631</v>
      </c>
    </row>
    <row r="2364" spans="1:25" x14ac:dyDescent="0.3">
      <c r="A2364">
        <v>118150</v>
      </c>
      <c r="B2364" t="s">
        <v>30632</v>
      </c>
      <c r="C2364" t="s">
        <v>30633</v>
      </c>
      <c r="D2364" t="s">
        <v>30634</v>
      </c>
      <c r="E2364" t="s">
        <v>30635</v>
      </c>
      <c r="F2364" t="s">
        <v>30636</v>
      </c>
      <c r="G2364" t="s">
        <v>30637</v>
      </c>
      <c r="H2364" t="s">
        <v>30638</v>
      </c>
      <c r="I2364" t="s">
        <v>30639</v>
      </c>
      <c r="J2364" t="s">
        <v>30640</v>
      </c>
      <c r="K2364" t="s">
        <v>30641</v>
      </c>
      <c r="L2364" t="s">
        <v>30642</v>
      </c>
      <c r="M2364" t="s">
        <v>30643</v>
      </c>
      <c r="N2364" t="s">
        <v>30644</v>
      </c>
      <c r="O2364">
        <f>-777.249650204334 -100.964652790253 -526.362484381823</f>
        <v>-1404.57678737641</v>
      </c>
      <c r="P2364">
        <f>-774.15833169336 -140.841921719983 -234.829621814063</f>
        <v>-1149.8298752274059</v>
      </c>
      <c r="Q2364" t="s">
        <v>30645</v>
      </c>
      <c r="R2364" t="s">
        <v>30646</v>
      </c>
      <c r="S2364" t="s">
        <v>30647</v>
      </c>
      <c r="T2364" t="s">
        <v>30648</v>
      </c>
      <c r="U2364" t="s">
        <v>30649</v>
      </c>
      <c r="V2364">
        <f>-736.548113567952 -15.7723407982814 -94.2639170824236</f>
        <v>-846.58437144865707</v>
      </c>
      <c r="W2364" t="s">
        <v>30650</v>
      </c>
      <c r="X2364" t="s">
        <v>30651</v>
      </c>
      <c r="Y2364" t="s">
        <v>30652</v>
      </c>
    </row>
    <row r="2365" spans="1:25" x14ac:dyDescent="0.3">
      <c r="A2365">
        <v>118200</v>
      </c>
      <c r="B2365" t="s">
        <v>30653</v>
      </c>
      <c r="C2365" t="s">
        <v>30654</v>
      </c>
      <c r="D2365" t="s">
        <v>30655</v>
      </c>
      <c r="E2365" t="s">
        <v>30656</v>
      </c>
      <c r="F2365" t="s">
        <v>30657</v>
      </c>
      <c r="G2365" t="s">
        <v>30658</v>
      </c>
      <c r="H2365" t="s">
        <v>30659</v>
      </c>
      <c r="I2365" t="s">
        <v>30660</v>
      </c>
      <c r="J2365" t="s">
        <v>30661</v>
      </c>
      <c r="K2365" t="s">
        <v>30662</v>
      </c>
      <c r="L2365" t="s">
        <v>30663</v>
      </c>
      <c r="M2365" t="s">
        <v>30664</v>
      </c>
      <c r="N2365" t="s">
        <v>30665</v>
      </c>
      <c r="O2365">
        <f>-776.362558857628 -101.222685326821 -526.104210845289</f>
        <v>-1403.6894550297379</v>
      </c>
      <c r="P2365">
        <f>-772.507009936616 -140.717251601003 -234.528343789409</f>
        <v>-1147.752605327028</v>
      </c>
      <c r="Q2365" t="s">
        <v>30666</v>
      </c>
      <c r="R2365" t="s">
        <v>30667</v>
      </c>
      <c r="S2365" t="s">
        <v>30668</v>
      </c>
      <c r="T2365" t="s">
        <v>30669</v>
      </c>
      <c r="U2365" t="s">
        <v>30670</v>
      </c>
      <c r="V2365">
        <f>-735.527717474126 -15.5527289434031 -94.2874615562373</f>
        <v>-845.36790797376636</v>
      </c>
      <c r="W2365" t="s">
        <v>30671</v>
      </c>
      <c r="X2365" t="s">
        <v>30672</v>
      </c>
      <c r="Y2365" t="s">
        <v>30673</v>
      </c>
    </row>
    <row r="2366" spans="1:25" x14ac:dyDescent="0.3">
      <c r="A2366">
        <v>118250</v>
      </c>
      <c r="B2366" t="s">
        <v>30674</v>
      </c>
      <c r="C2366" t="s">
        <v>30675</v>
      </c>
      <c r="D2366" t="s">
        <v>30676</v>
      </c>
      <c r="E2366" t="s">
        <v>30677</v>
      </c>
      <c r="F2366" t="s">
        <v>30678</v>
      </c>
      <c r="G2366" t="s">
        <v>30679</v>
      </c>
      <c r="H2366" t="s">
        <v>30680</v>
      </c>
      <c r="I2366" t="s">
        <v>30681</v>
      </c>
      <c r="J2366" t="s">
        <v>30682</v>
      </c>
      <c r="K2366" t="s">
        <v>30683</v>
      </c>
      <c r="L2366" t="s">
        <v>30684</v>
      </c>
      <c r="M2366" t="s">
        <v>30685</v>
      </c>
      <c r="N2366" t="s">
        <v>30686</v>
      </c>
      <c r="O2366">
        <f>-775.928412211918 -101.547222385048 -526.011391970652</f>
        <v>-1403.4870265676182</v>
      </c>
      <c r="P2366">
        <f>-771.905947616175 -140.705974527997 -234.392496725039</f>
        <v>-1147.0044188692109</v>
      </c>
      <c r="Q2366" t="s">
        <v>30687</v>
      </c>
      <c r="R2366" t="s">
        <v>30688</v>
      </c>
      <c r="S2366" t="s">
        <v>30689</v>
      </c>
      <c r="T2366" t="s">
        <v>30690</v>
      </c>
      <c r="U2366" t="s">
        <v>30691</v>
      </c>
      <c r="V2366">
        <f>-735.187206764916 -15.7101027235547 -94.3073084853071</f>
        <v>-845.20461797377777</v>
      </c>
      <c r="W2366" t="s">
        <v>30692</v>
      </c>
      <c r="X2366" t="s">
        <v>30693</v>
      </c>
      <c r="Y2366" t="s">
        <v>30694</v>
      </c>
    </row>
    <row r="2367" spans="1:25" x14ac:dyDescent="0.3">
      <c r="A2367">
        <v>118300</v>
      </c>
      <c r="B2367" t="s">
        <v>30695</v>
      </c>
      <c r="C2367" t="s">
        <v>30696</v>
      </c>
      <c r="D2367" t="s">
        <v>30697</v>
      </c>
      <c r="E2367" t="s">
        <v>30698</v>
      </c>
      <c r="F2367" t="s">
        <v>30699</v>
      </c>
      <c r="G2367" t="s">
        <v>30700</v>
      </c>
      <c r="H2367" t="s">
        <v>30701</v>
      </c>
      <c r="I2367" t="s">
        <v>30702</v>
      </c>
      <c r="J2367" t="s">
        <v>30703</v>
      </c>
      <c r="K2367" t="s">
        <v>30704</v>
      </c>
      <c r="L2367" t="s">
        <v>30705</v>
      </c>
      <c r="M2367" t="s">
        <v>30706</v>
      </c>
      <c r="N2367" t="s">
        <v>30707</v>
      </c>
      <c r="O2367">
        <f>-775.007760065696 -101.498155308349 -525.939195153664</f>
        <v>-1402.4451105277089</v>
      </c>
      <c r="P2367">
        <f>-770.710915616209 -140.376948429736 -234.286627562769</f>
        <v>-1145.3744916087139</v>
      </c>
      <c r="Q2367" t="s">
        <v>30708</v>
      </c>
      <c r="R2367" t="s">
        <v>30709</v>
      </c>
      <c r="S2367" t="s">
        <v>30710</v>
      </c>
      <c r="T2367" t="s">
        <v>30711</v>
      </c>
      <c r="U2367" t="s">
        <v>30712</v>
      </c>
      <c r="V2367">
        <f>-734.557274254053 -15.3345462415509 -94.3704995152165</f>
        <v>-844.26232001082042</v>
      </c>
      <c r="W2367" t="s">
        <v>30713</v>
      </c>
      <c r="X2367" t="s">
        <v>30714</v>
      </c>
      <c r="Y2367" t="s">
        <v>30715</v>
      </c>
    </row>
    <row r="2368" spans="1:25" x14ac:dyDescent="0.3">
      <c r="A2368">
        <v>118350</v>
      </c>
      <c r="B2368" t="s">
        <v>30716</v>
      </c>
      <c r="C2368" t="s">
        <v>30717</v>
      </c>
      <c r="D2368" t="s">
        <v>30718</v>
      </c>
      <c r="E2368" t="s">
        <v>30719</v>
      </c>
      <c r="F2368" t="s">
        <v>30720</v>
      </c>
      <c r="G2368" t="s">
        <v>30721</v>
      </c>
      <c r="H2368" t="s">
        <v>30722</v>
      </c>
      <c r="I2368" t="s">
        <v>30723</v>
      </c>
      <c r="J2368" t="s">
        <v>30724</v>
      </c>
      <c r="K2368" t="s">
        <v>30725</v>
      </c>
      <c r="L2368" t="s">
        <v>30726</v>
      </c>
      <c r="M2368" t="s">
        <v>30727</v>
      </c>
      <c r="N2368" t="s">
        <v>30728</v>
      </c>
      <c r="O2368">
        <f>-774.593367619142 -101.277838397538 -525.928996910069</f>
        <v>-1401.8002029267491</v>
      </c>
      <c r="P2368">
        <f>-770.205354866417 -139.926629775664 -234.247231475386</f>
        <v>-1144.379216117467</v>
      </c>
      <c r="Q2368" t="s">
        <v>30729</v>
      </c>
      <c r="R2368" t="s">
        <v>30730</v>
      </c>
      <c r="S2368" t="s">
        <v>30731</v>
      </c>
      <c r="T2368" t="s">
        <v>30732</v>
      </c>
      <c r="U2368" t="s">
        <v>30733</v>
      </c>
      <c r="V2368">
        <f>-734.289471737778 -14.8988700935504 -94.4055212978363</f>
        <v>-843.59386312916467</v>
      </c>
      <c r="W2368" t="s">
        <v>30734</v>
      </c>
      <c r="X2368" t="s">
        <v>30735</v>
      </c>
      <c r="Y2368" t="s">
        <v>30736</v>
      </c>
    </row>
    <row r="2369" spans="1:25" x14ac:dyDescent="0.3">
      <c r="A2369">
        <v>118400</v>
      </c>
      <c r="B2369" t="s">
        <v>30737</v>
      </c>
      <c r="C2369" t="s">
        <v>30738</v>
      </c>
      <c r="D2369" t="s">
        <v>30739</v>
      </c>
      <c r="E2369" t="s">
        <v>30740</v>
      </c>
      <c r="F2369" t="s">
        <v>30741</v>
      </c>
      <c r="G2369" t="s">
        <v>30742</v>
      </c>
      <c r="H2369" t="s">
        <v>30743</v>
      </c>
      <c r="I2369" t="s">
        <v>30744</v>
      </c>
      <c r="J2369" t="s">
        <v>30745</v>
      </c>
      <c r="K2369" t="s">
        <v>30746</v>
      </c>
      <c r="L2369" t="s">
        <v>30747</v>
      </c>
      <c r="M2369" t="s">
        <v>30748</v>
      </c>
      <c r="N2369" t="s">
        <v>30749</v>
      </c>
      <c r="O2369">
        <f>-774.069613753872 -100.662260846383 -525.826338145217</f>
        <v>-1400.558212745472</v>
      </c>
      <c r="P2369">
        <f>-769.259334602156 -139.03969706846 -234.115491305005</f>
        <v>-1142.4145229756209</v>
      </c>
      <c r="Q2369" t="s">
        <v>30750</v>
      </c>
      <c r="R2369" t="s">
        <v>30751</v>
      </c>
      <c r="S2369" t="s">
        <v>30752</v>
      </c>
      <c r="T2369" t="s">
        <v>30753</v>
      </c>
      <c r="U2369" t="s">
        <v>30754</v>
      </c>
      <c r="V2369">
        <f>-733.86482801928 -14.0225090508434 -94.4756585807035</f>
        <v>-842.36299565082686</v>
      </c>
      <c r="W2369" t="s">
        <v>30755</v>
      </c>
      <c r="X2369" t="s">
        <v>30756</v>
      </c>
      <c r="Y2369" t="s">
        <v>30757</v>
      </c>
    </row>
    <row r="2370" spans="1:25" x14ac:dyDescent="0.3">
      <c r="A2370">
        <v>118450</v>
      </c>
      <c r="B2370" t="s">
        <v>30758</v>
      </c>
      <c r="C2370" t="s">
        <v>30759</v>
      </c>
      <c r="D2370" t="s">
        <v>30760</v>
      </c>
      <c r="E2370" t="s">
        <v>30761</v>
      </c>
      <c r="F2370" t="s">
        <v>30762</v>
      </c>
      <c r="G2370" t="s">
        <v>30763</v>
      </c>
      <c r="H2370" t="s">
        <v>30764</v>
      </c>
      <c r="I2370" t="s">
        <v>30765</v>
      </c>
      <c r="J2370" t="s">
        <v>30766</v>
      </c>
      <c r="K2370" t="s">
        <v>30767</v>
      </c>
      <c r="L2370" t="s">
        <v>30768</v>
      </c>
      <c r="M2370" t="s">
        <v>30769</v>
      </c>
      <c r="N2370" t="s">
        <v>30770</v>
      </c>
      <c r="O2370">
        <f>-774.000631249979 -100.526754166747 -525.705232539021</f>
        <v>-1400.2326179557472</v>
      </c>
      <c r="P2370">
        <f>-769.06494221746 -138.576293906669 -233.953501522364</f>
        <v>-1141.5947376464931</v>
      </c>
      <c r="Q2370" t="s">
        <v>30771</v>
      </c>
      <c r="R2370" t="s">
        <v>30772</v>
      </c>
      <c r="S2370" t="s">
        <v>30773</v>
      </c>
      <c r="T2370" t="s">
        <v>30774</v>
      </c>
      <c r="U2370" t="s">
        <v>30775</v>
      </c>
      <c r="V2370">
        <f>-733.813077161881 -13.784229546864 -94.4764416675578</f>
        <v>-842.07374837630277</v>
      </c>
      <c r="W2370" t="s">
        <v>30776</v>
      </c>
      <c r="X2370" t="s">
        <v>30777</v>
      </c>
      <c r="Y2370" t="s">
        <v>30778</v>
      </c>
    </row>
    <row r="2371" spans="1:25" x14ac:dyDescent="0.3">
      <c r="A2371">
        <v>118500</v>
      </c>
      <c r="B2371" t="s">
        <v>30779</v>
      </c>
      <c r="C2371" t="s">
        <v>30780</v>
      </c>
      <c r="D2371" t="s">
        <v>30781</v>
      </c>
      <c r="E2371" t="s">
        <v>30782</v>
      </c>
      <c r="F2371" t="s">
        <v>30783</v>
      </c>
      <c r="G2371" t="s">
        <v>30784</v>
      </c>
      <c r="H2371" t="s">
        <v>30785</v>
      </c>
      <c r="I2371" t="s">
        <v>30786</v>
      </c>
      <c r="J2371" t="s">
        <v>30787</v>
      </c>
      <c r="K2371" t="s">
        <v>30788</v>
      </c>
      <c r="L2371" t="s">
        <v>30789</v>
      </c>
      <c r="M2371" t="s">
        <v>30790</v>
      </c>
      <c r="N2371" t="s">
        <v>30791</v>
      </c>
      <c r="O2371">
        <f>-773.971452711586 -100.206798757935 -525.363158638558</f>
        <v>-1399.5414101080792</v>
      </c>
      <c r="P2371">
        <f>-768.825605354288 -137.643639993282 -233.535861289023</f>
        <v>-1140.0051066365929</v>
      </c>
      <c r="Q2371" t="s">
        <v>30792</v>
      </c>
      <c r="R2371" t="s">
        <v>30793</v>
      </c>
      <c r="S2371" t="s">
        <v>30794</v>
      </c>
      <c r="T2371" t="s">
        <v>30795</v>
      </c>
      <c r="U2371" t="s">
        <v>30796</v>
      </c>
      <c r="V2371">
        <f>-733.658299692874 -13.1216013906596 -94.4778663003226</f>
        <v>-841.25776738385628</v>
      </c>
      <c r="W2371" t="s">
        <v>30797</v>
      </c>
      <c r="X2371" t="s">
        <v>30798</v>
      </c>
      <c r="Y2371" t="s">
        <v>30799</v>
      </c>
    </row>
    <row r="2372" spans="1:25" x14ac:dyDescent="0.3">
      <c r="A2372">
        <v>118550</v>
      </c>
      <c r="B2372" t="s">
        <v>30800</v>
      </c>
      <c r="C2372" t="s">
        <v>30801</v>
      </c>
      <c r="D2372" t="s">
        <v>30802</v>
      </c>
      <c r="E2372" t="s">
        <v>30803</v>
      </c>
      <c r="F2372" t="s">
        <v>30804</v>
      </c>
      <c r="G2372" t="s">
        <v>30805</v>
      </c>
      <c r="H2372" t="s">
        <v>30806</v>
      </c>
      <c r="I2372" t="s">
        <v>30807</v>
      </c>
      <c r="J2372" t="s">
        <v>30808</v>
      </c>
      <c r="K2372" t="s">
        <v>30809</v>
      </c>
      <c r="L2372" t="s">
        <v>30810</v>
      </c>
      <c r="M2372" t="s">
        <v>30811</v>
      </c>
      <c r="N2372" t="s">
        <v>30812</v>
      </c>
      <c r="O2372">
        <f>-773.957669225985 -100.047200102486 -525.232770604757</f>
        <v>-1399.2376399332279</v>
      </c>
      <c r="P2372">
        <f>-768.707165651028 -137.287466009401 -233.382039758008</f>
        <v>-1139.3766714184371</v>
      </c>
      <c r="Q2372" t="s">
        <v>30813</v>
      </c>
      <c r="R2372" t="s">
        <v>30814</v>
      </c>
      <c r="S2372" t="s">
        <v>30815</v>
      </c>
      <c r="T2372" t="s">
        <v>30816</v>
      </c>
      <c r="U2372" t="s">
        <v>30817</v>
      </c>
      <c r="V2372">
        <f>-733.619360268794 -12.9327126269188 -94.4694818457006</f>
        <v>-841.02155474141341</v>
      </c>
      <c r="W2372" t="s">
        <v>30818</v>
      </c>
      <c r="X2372" t="s">
        <v>30819</v>
      </c>
      <c r="Y2372" t="s">
        <v>30820</v>
      </c>
    </row>
    <row r="2373" spans="1:25" x14ac:dyDescent="0.3">
      <c r="A2373">
        <v>118600</v>
      </c>
      <c r="B2373" t="s">
        <v>30821</v>
      </c>
      <c r="C2373" t="s">
        <v>30822</v>
      </c>
      <c r="D2373" t="s">
        <v>30823</v>
      </c>
      <c r="E2373" t="s">
        <v>30824</v>
      </c>
      <c r="F2373" t="s">
        <v>30825</v>
      </c>
      <c r="G2373" t="s">
        <v>30826</v>
      </c>
      <c r="H2373" t="s">
        <v>30827</v>
      </c>
      <c r="I2373" t="s">
        <v>30828</v>
      </c>
      <c r="J2373" t="s">
        <v>30829</v>
      </c>
      <c r="K2373" t="s">
        <v>30830</v>
      </c>
      <c r="L2373" t="s">
        <v>30831</v>
      </c>
      <c r="M2373" t="s">
        <v>30832</v>
      </c>
      <c r="N2373" t="s">
        <v>30833</v>
      </c>
      <c r="O2373">
        <f>-774.130996063256 -99.6534630186984 -525.077979344352</f>
        <v>-1398.8624384263064</v>
      </c>
      <c r="P2373">
        <f>-768.63447630904 -136.927161952441 -233.236128369369</f>
        <v>-1138.79776663085</v>
      </c>
      <c r="Q2373" t="s">
        <v>30834</v>
      </c>
      <c r="R2373" t="s">
        <v>30835</v>
      </c>
      <c r="S2373" t="s">
        <v>30836</v>
      </c>
      <c r="T2373" t="s">
        <v>30837</v>
      </c>
      <c r="U2373" t="s">
        <v>30838</v>
      </c>
      <c r="V2373">
        <f>-733.625733543908 -12.4956536059321 -94.4612960960488</f>
        <v>-840.58268324588903</v>
      </c>
      <c r="W2373" t="s">
        <v>30839</v>
      </c>
      <c r="X2373" t="s">
        <v>30840</v>
      </c>
      <c r="Y2373" t="s">
        <v>30841</v>
      </c>
    </row>
    <row r="2374" spans="1:25" x14ac:dyDescent="0.3">
      <c r="A2374">
        <v>118650</v>
      </c>
      <c r="B2374" t="s">
        <v>30842</v>
      </c>
      <c r="C2374" t="s">
        <v>30843</v>
      </c>
      <c r="D2374" t="s">
        <v>30844</v>
      </c>
      <c r="E2374" t="s">
        <v>30845</v>
      </c>
      <c r="F2374" t="s">
        <v>30846</v>
      </c>
      <c r="G2374" t="s">
        <v>30847</v>
      </c>
      <c r="H2374" t="s">
        <v>30848</v>
      </c>
      <c r="I2374" t="s">
        <v>30849</v>
      </c>
      <c r="J2374" t="s">
        <v>30850</v>
      </c>
      <c r="K2374" t="s">
        <v>30851</v>
      </c>
      <c r="L2374" t="s">
        <v>30852</v>
      </c>
      <c r="M2374" t="s">
        <v>30853</v>
      </c>
      <c r="N2374" t="s">
        <v>30854</v>
      </c>
      <c r="O2374">
        <f>-774.203583749935 -99.5058172171248 -525.018323274418</f>
        <v>-1398.7277242414777</v>
      </c>
      <c r="P2374">
        <f>-768.720958681447 -136.58435974884 -233.151305323767</f>
        <v>-1138.4566237540539</v>
      </c>
      <c r="Q2374" t="s">
        <v>30855</v>
      </c>
      <c r="R2374" t="s">
        <v>30856</v>
      </c>
      <c r="S2374" t="s">
        <v>30857</v>
      </c>
      <c r="T2374" t="s">
        <v>30858</v>
      </c>
      <c r="U2374" t="s">
        <v>30859</v>
      </c>
      <c r="V2374">
        <f>-733.591963498984 -12.3005719540824 -94.4651003084601</f>
        <v>-840.35763576152658</v>
      </c>
      <c r="W2374" t="s">
        <v>30860</v>
      </c>
      <c r="X2374" t="s">
        <v>30861</v>
      </c>
      <c r="Y2374" t="s">
        <v>30862</v>
      </c>
    </row>
    <row r="2375" spans="1:25" x14ac:dyDescent="0.3">
      <c r="A2375">
        <v>118700</v>
      </c>
      <c r="B2375" t="s">
        <v>30863</v>
      </c>
      <c r="C2375" t="s">
        <v>30864</v>
      </c>
      <c r="D2375" t="s">
        <v>30865</v>
      </c>
      <c r="E2375" t="s">
        <v>30866</v>
      </c>
      <c r="F2375" t="s">
        <v>30867</v>
      </c>
      <c r="G2375" t="s">
        <v>30868</v>
      </c>
      <c r="H2375" t="s">
        <v>30869</v>
      </c>
      <c r="I2375" t="s">
        <v>30870</v>
      </c>
      <c r="J2375" t="s">
        <v>30871</v>
      </c>
      <c r="K2375" t="s">
        <v>30872</v>
      </c>
      <c r="L2375" t="s">
        <v>30873</v>
      </c>
      <c r="M2375" t="s">
        <v>30874</v>
      </c>
      <c r="N2375" t="s">
        <v>30875</v>
      </c>
      <c r="O2375">
        <f>-774.195488315095 -99.2920201318482 -524.861813190843</f>
        <v>-1398.349321637786</v>
      </c>
      <c r="P2375">
        <f>-768.754844773354 -135.899385753199 -232.934576603248</f>
        <v>-1137.5888071298009</v>
      </c>
      <c r="Q2375" t="s">
        <v>30876</v>
      </c>
      <c r="R2375" t="s">
        <v>30877</v>
      </c>
      <c r="S2375" t="s">
        <v>30878</v>
      </c>
      <c r="T2375" t="s">
        <v>30879</v>
      </c>
      <c r="U2375" t="s">
        <v>30880</v>
      </c>
      <c r="V2375">
        <f>-733.462122677906 -11.9361061080692 -94.4699820030958</f>
        <v>-839.86821078907099</v>
      </c>
      <c r="W2375" t="s">
        <v>30881</v>
      </c>
      <c r="X2375" t="s">
        <v>30882</v>
      </c>
      <c r="Y2375" t="s">
        <v>30883</v>
      </c>
    </row>
    <row r="2376" spans="1:25" x14ac:dyDescent="0.3">
      <c r="A2376">
        <v>118750</v>
      </c>
      <c r="B2376" t="s">
        <v>30884</v>
      </c>
      <c r="C2376" t="s">
        <v>30885</v>
      </c>
      <c r="D2376" t="s">
        <v>30886</v>
      </c>
      <c r="E2376" t="s">
        <v>30887</v>
      </c>
      <c r="F2376" t="s">
        <v>30888</v>
      </c>
      <c r="G2376" t="s">
        <v>30889</v>
      </c>
      <c r="H2376" t="s">
        <v>30890</v>
      </c>
      <c r="I2376" t="s">
        <v>30891</v>
      </c>
      <c r="J2376" t="s">
        <v>30892</v>
      </c>
      <c r="K2376" t="s">
        <v>30893</v>
      </c>
      <c r="L2376" t="s">
        <v>30894</v>
      </c>
      <c r="M2376" t="s">
        <v>30895</v>
      </c>
      <c r="N2376" t="s">
        <v>30896</v>
      </c>
      <c r="O2376">
        <f>-774.054977484536 -99.29482909435 -524.786503574416</f>
        <v>-1398.136310153302</v>
      </c>
      <c r="P2376">
        <f>-768.739801045262 -135.888988455453 -232.855327430281</f>
        <v>-1137.4841169309959</v>
      </c>
      <c r="Q2376" t="s">
        <v>30897</v>
      </c>
      <c r="R2376" t="s">
        <v>30898</v>
      </c>
      <c r="S2376" t="s">
        <v>30899</v>
      </c>
      <c r="T2376" t="s">
        <v>30900</v>
      </c>
      <c r="U2376" t="s">
        <v>30901</v>
      </c>
      <c r="V2376">
        <f>-733.450272541309 -11.9874160306649 -94.4627900675539</f>
        <v>-839.90047863952782</v>
      </c>
      <c r="W2376" t="s">
        <v>30902</v>
      </c>
      <c r="X2376" t="s">
        <v>30903</v>
      </c>
      <c r="Y2376" t="s">
        <v>30904</v>
      </c>
    </row>
    <row r="2377" spans="1:25" x14ac:dyDescent="0.3">
      <c r="A2377">
        <v>118800</v>
      </c>
      <c r="B2377" t="s">
        <v>30905</v>
      </c>
      <c r="C2377" t="s">
        <v>30906</v>
      </c>
      <c r="D2377" t="s">
        <v>30907</v>
      </c>
      <c r="E2377" t="s">
        <v>30908</v>
      </c>
      <c r="F2377" t="s">
        <v>30909</v>
      </c>
      <c r="G2377" t="s">
        <v>30910</v>
      </c>
      <c r="H2377" t="s">
        <v>30911</v>
      </c>
      <c r="I2377" t="s">
        <v>30912</v>
      </c>
      <c r="J2377" t="s">
        <v>30913</v>
      </c>
      <c r="K2377" t="s">
        <v>30914</v>
      </c>
      <c r="L2377" t="s">
        <v>30915</v>
      </c>
      <c r="M2377" t="s">
        <v>30916</v>
      </c>
      <c r="N2377" t="s">
        <v>30917</v>
      </c>
      <c r="O2377">
        <f>-773.791996229383 -99.2513861591892 -524.701940750095</f>
        <v>-1397.7453231386671</v>
      </c>
      <c r="P2377">
        <f>-768.550524487323 -135.626361301374 -232.742017212521</f>
        <v>-1136.918903001218</v>
      </c>
      <c r="Q2377" t="s">
        <v>30918</v>
      </c>
      <c r="R2377" t="s">
        <v>30919</v>
      </c>
      <c r="S2377" t="s">
        <v>30920</v>
      </c>
      <c r="T2377" t="s">
        <v>30921</v>
      </c>
      <c r="U2377" t="s">
        <v>30922</v>
      </c>
      <c r="V2377">
        <f>-733.353334912146 -11.7277017131653 -94.4431940301038</f>
        <v>-839.52423065541507</v>
      </c>
      <c r="W2377" t="s">
        <v>30923</v>
      </c>
      <c r="X2377" t="s">
        <v>30924</v>
      </c>
      <c r="Y2377" t="s">
        <v>30925</v>
      </c>
    </row>
    <row r="2378" spans="1:25" x14ac:dyDescent="0.3">
      <c r="A2378">
        <v>118850</v>
      </c>
      <c r="B2378" t="s">
        <v>30926</v>
      </c>
      <c r="C2378" t="s">
        <v>30927</v>
      </c>
      <c r="D2378" t="s">
        <v>30928</v>
      </c>
      <c r="E2378" t="s">
        <v>30929</v>
      </c>
      <c r="F2378" t="s">
        <v>30930</v>
      </c>
      <c r="G2378" t="s">
        <v>30931</v>
      </c>
      <c r="H2378" t="s">
        <v>30932</v>
      </c>
      <c r="I2378" t="s">
        <v>30933</v>
      </c>
      <c r="J2378" t="s">
        <v>30934</v>
      </c>
      <c r="K2378" t="s">
        <v>30935</v>
      </c>
      <c r="L2378" t="s">
        <v>30936</v>
      </c>
      <c r="M2378" t="s">
        <v>30937</v>
      </c>
      <c r="N2378" t="s">
        <v>30938</v>
      </c>
      <c r="O2378">
        <f>-773.652163640878 -99.132356878358 -524.634713383254</f>
        <v>-1397.4192339024901</v>
      </c>
      <c r="P2378">
        <f>-768.315869361344 -135.456223096721 -232.670187274937</f>
        <v>-1136.4422797330021</v>
      </c>
      <c r="Q2378" t="s">
        <v>30939</v>
      </c>
      <c r="R2378" t="s">
        <v>30940</v>
      </c>
      <c r="S2378" t="s">
        <v>30941</v>
      </c>
      <c r="T2378" t="s">
        <v>30942</v>
      </c>
      <c r="U2378" t="s">
        <v>30943</v>
      </c>
      <c r="V2378">
        <f>-733.345030335891 -11.6703636628315 -94.4344985624105</f>
        <v>-839.44989256113297</v>
      </c>
      <c r="W2378" t="s">
        <v>30944</v>
      </c>
      <c r="X2378" t="s">
        <v>30945</v>
      </c>
      <c r="Y2378" t="s">
        <v>30946</v>
      </c>
    </row>
    <row r="2379" spans="1:25" x14ac:dyDescent="0.3">
      <c r="A2379">
        <v>118900</v>
      </c>
      <c r="B2379" t="s">
        <v>30947</v>
      </c>
      <c r="C2379" t="s">
        <v>30948</v>
      </c>
      <c r="D2379" t="s">
        <v>30949</v>
      </c>
      <c r="E2379" t="s">
        <v>30950</v>
      </c>
      <c r="F2379" t="s">
        <v>30951</v>
      </c>
      <c r="G2379" t="s">
        <v>30952</v>
      </c>
      <c r="H2379" t="s">
        <v>30953</v>
      </c>
      <c r="I2379" t="s">
        <v>30954</v>
      </c>
      <c r="J2379" t="s">
        <v>30955</v>
      </c>
      <c r="K2379" t="s">
        <v>30956</v>
      </c>
      <c r="L2379" t="s">
        <v>30957</v>
      </c>
      <c r="M2379" t="s">
        <v>30958</v>
      </c>
      <c r="N2379" t="s">
        <v>30959</v>
      </c>
      <c r="O2379">
        <f>-773.193918572514 -99.2064178800854 -524.51745068265</f>
        <v>-1396.9177871352495</v>
      </c>
      <c r="P2379">
        <f>-767.816246484695 -135.385576107406 -232.535666087998</f>
        <v>-1135.737488680099</v>
      </c>
      <c r="Q2379" t="s">
        <v>30960</v>
      </c>
      <c r="R2379" t="s">
        <v>30961</v>
      </c>
      <c r="S2379" t="s">
        <v>30962</v>
      </c>
      <c r="T2379" t="s">
        <v>30963</v>
      </c>
      <c r="U2379" t="s">
        <v>30964</v>
      </c>
      <c r="V2379">
        <f>-733.227395534988 -11.6398352095528 -94.434344853419</f>
        <v>-839.30157559795975</v>
      </c>
      <c r="W2379" t="s">
        <v>30965</v>
      </c>
      <c r="X2379" t="s">
        <v>30966</v>
      </c>
      <c r="Y2379" t="s">
        <v>30967</v>
      </c>
    </row>
    <row r="2380" spans="1:25" x14ac:dyDescent="0.3">
      <c r="A2380">
        <v>118950</v>
      </c>
      <c r="B2380" t="s">
        <v>30968</v>
      </c>
      <c r="C2380" t="s">
        <v>30969</v>
      </c>
      <c r="D2380" t="s">
        <v>30970</v>
      </c>
      <c r="E2380" t="s">
        <v>30971</v>
      </c>
      <c r="F2380" t="s">
        <v>30972</v>
      </c>
      <c r="G2380" t="s">
        <v>30973</v>
      </c>
      <c r="H2380" t="s">
        <v>30974</v>
      </c>
      <c r="I2380" t="s">
        <v>30975</v>
      </c>
      <c r="J2380" t="s">
        <v>30976</v>
      </c>
      <c r="K2380" t="s">
        <v>30977</v>
      </c>
      <c r="L2380" t="s">
        <v>30978</v>
      </c>
      <c r="M2380" t="s">
        <v>30979</v>
      </c>
      <c r="N2380" t="s">
        <v>30980</v>
      </c>
      <c r="O2380">
        <f>-773.031241246814 -99.1847807902436 -524.44070223395</f>
        <v>-1396.6567242710075</v>
      </c>
      <c r="P2380">
        <f>-767.616436253246 -135.159319384122 -232.43429853865</f>
        <v>-1135.210054176018</v>
      </c>
      <c r="Q2380" t="s">
        <v>30981</v>
      </c>
      <c r="R2380" t="s">
        <v>30982</v>
      </c>
      <c r="S2380" t="s">
        <v>30983</v>
      </c>
      <c r="T2380" t="s">
        <v>30984</v>
      </c>
      <c r="U2380" t="s">
        <v>30985</v>
      </c>
      <c r="V2380">
        <f>-733.129057185002 -11.5905221780388 -94.4330590929004</f>
        <v>-839.1526384559412</v>
      </c>
      <c r="W2380" t="s">
        <v>30986</v>
      </c>
      <c r="X2380" t="s">
        <v>30987</v>
      </c>
      <c r="Y2380" t="s">
        <v>30988</v>
      </c>
    </row>
    <row r="2381" spans="1:25" x14ac:dyDescent="0.3">
      <c r="A2381">
        <v>119000</v>
      </c>
      <c r="B2381" t="s">
        <v>30989</v>
      </c>
      <c r="C2381" t="s">
        <v>30990</v>
      </c>
      <c r="D2381" t="s">
        <v>30991</v>
      </c>
      <c r="E2381" t="s">
        <v>30992</v>
      </c>
      <c r="F2381" t="s">
        <v>30993</v>
      </c>
      <c r="G2381" t="s">
        <v>30994</v>
      </c>
      <c r="H2381" t="s">
        <v>30995</v>
      </c>
      <c r="I2381" t="s">
        <v>30996</v>
      </c>
      <c r="J2381" t="s">
        <v>30997</v>
      </c>
      <c r="K2381" t="s">
        <v>30998</v>
      </c>
      <c r="L2381" t="s">
        <v>30999</v>
      </c>
      <c r="M2381" t="s">
        <v>31000</v>
      </c>
      <c r="N2381" t="s">
        <v>31001</v>
      </c>
      <c r="O2381">
        <f>-772.702138926501 -99.254956257706 -524.354454356082</f>
        <v>-1396.311549540289</v>
      </c>
      <c r="P2381">
        <f>-767.138947644967 -135.139233002721 -232.339677767004</f>
        <v>-1134.6178584146919</v>
      </c>
      <c r="Q2381" t="s">
        <v>31002</v>
      </c>
      <c r="R2381" t="s">
        <v>31003</v>
      </c>
      <c r="S2381" t="s">
        <v>31004</v>
      </c>
      <c r="T2381" t="s">
        <v>31005</v>
      </c>
      <c r="U2381" t="s">
        <v>31006</v>
      </c>
      <c r="V2381">
        <f>-732.831598771703 -11.4394630981467 -94.4317458868444</f>
        <v>-838.70280775669414</v>
      </c>
      <c r="W2381" t="s">
        <v>31007</v>
      </c>
      <c r="X2381" t="s">
        <v>31008</v>
      </c>
      <c r="Y2381" t="s">
        <v>31009</v>
      </c>
    </row>
    <row r="2382" spans="1:25" x14ac:dyDescent="0.3">
      <c r="A2382">
        <v>119050</v>
      </c>
      <c r="B2382" t="s">
        <v>31010</v>
      </c>
      <c r="C2382" t="s">
        <v>31011</v>
      </c>
      <c r="D2382" t="s">
        <v>31012</v>
      </c>
      <c r="E2382" t="s">
        <v>31013</v>
      </c>
      <c r="F2382" t="s">
        <v>31014</v>
      </c>
      <c r="G2382" t="s">
        <v>31015</v>
      </c>
      <c r="H2382" t="s">
        <v>31016</v>
      </c>
      <c r="I2382" t="s">
        <v>31017</v>
      </c>
      <c r="J2382" t="s">
        <v>31018</v>
      </c>
      <c r="K2382" t="s">
        <v>31019</v>
      </c>
      <c r="L2382" t="s">
        <v>31020</v>
      </c>
      <c r="M2382" t="s">
        <v>31021</v>
      </c>
      <c r="N2382" t="s">
        <v>31022</v>
      </c>
      <c r="O2382">
        <f>-772.645117250773 -99.2778901672468 -524.337681974795</f>
        <v>-1396.2606893928148</v>
      </c>
      <c r="P2382">
        <f>-766.933929286856 -134.996259326055 -232.305613615536</f>
        <v>-1134.235802228447</v>
      </c>
      <c r="Q2382" t="s">
        <v>31023</v>
      </c>
      <c r="R2382" t="s">
        <v>31024</v>
      </c>
      <c r="S2382" t="s">
        <v>31025</v>
      </c>
      <c r="T2382" t="s">
        <v>31026</v>
      </c>
      <c r="U2382" t="s">
        <v>31027</v>
      </c>
      <c r="V2382">
        <f>-732.709986979934 -11.4471752815612 -94.4505909531997</f>
        <v>-838.60775321469487</v>
      </c>
      <c r="W2382" t="s">
        <v>31028</v>
      </c>
      <c r="X2382" t="s">
        <v>31029</v>
      </c>
      <c r="Y2382" t="s">
        <v>31030</v>
      </c>
    </row>
    <row r="2383" spans="1:25" x14ac:dyDescent="0.3">
      <c r="A2383">
        <v>119100</v>
      </c>
      <c r="B2383" t="s">
        <v>31031</v>
      </c>
      <c r="C2383" t="s">
        <v>31032</v>
      </c>
      <c r="D2383" t="s">
        <v>31033</v>
      </c>
      <c r="E2383" t="s">
        <v>31034</v>
      </c>
      <c r="F2383" t="s">
        <v>31035</v>
      </c>
      <c r="G2383" t="s">
        <v>31036</v>
      </c>
      <c r="H2383" t="s">
        <v>31037</v>
      </c>
      <c r="I2383" t="s">
        <v>31038</v>
      </c>
      <c r="J2383" t="s">
        <v>31039</v>
      </c>
      <c r="K2383" t="s">
        <v>31040</v>
      </c>
      <c r="L2383" t="s">
        <v>31041</v>
      </c>
      <c r="M2383" t="s">
        <v>31042</v>
      </c>
      <c r="N2383" t="s">
        <v>31043</v>
      </c>
      <c r="O2383">
        <f>-772.480235564713 -99.2579491917952 -524.304954363236</f>
        <v>-1396.0431391197442</v>
      </c>
      <c r="P2383">
        <f>-766.556635752904 -134.909424874177 -232.268867833973</f>
        <v>-1133.7349284610541</v>
      </c>
      <c r="Q2383" t="s">
        <v>31044</v>
      </c>
      <c r="R2383" t="s">
        <v>31045</v>
      </c>
      <c r="S2383" t="s">
        <v>31046</v>
      </c>
      <c r="T2383" t="s">
        <v>31047</v>
      </c>
      <c r="U2383" t="s">
        <v>31048</v>
      </c>
      <c r="V2383">
        <f>-732.475157700477 -11.2543240374694 -94.4745617897782</f>
        <v>-838.20404352772459</v>
      </c>
      <c r="W2383" t="s">
        <v>31049</v>
      </c>
      <c r="X2383" t="s">
        <v>31050</v>
      </c>
      <c r="Y2383" t="s">
        <v>31051</v>
      </c>
    </row>
    <row r="2384" spans="1:25" x14ac:dyDescent="0.3">
      <c r="A2384">
        <v>119150</v>
      </c>
      <c r="B2384" t="s">
        <v>31052</v>
      </c>
      <c r="C2384" t="s">
        <v>31053</v>
      </c>
      <c r="D2384" t="s">
        <v>31054</v>
      </c>
      <c r="E2384" t="s">
        <v>31055</v>
      </c>
      <c r="F2384" t="s">
        <v>31056</v>
      </c>
      <c r="G2384" t="s">
        <v>31057</v>
      </c>
      <c r="H2384" t="s">
        <v>31058</v>
      </c>
      <c r="I2384" t="s">
        <v>31059</v>
      </c>
      <c r="J2384" t="s">
        <v>31060</v>
      </c>
      <c r="K2384" t="s">
        <v>31061</v>
      </c>
      <c r="L2384" t="s">
        <v>31062</v>
      </c>
      <c r="M2384" t="s">
        <v>31063</v>
      </c>
      <c r="N2384" t="s">
        <v>31064</v>
      </c>
      <c r="O2384">
        <f>-772.385795289208 -99.3158495591388 -524.289368959165</f>
        <v>-1395.9910138075118</v>
      </c>
      <c r="P2384">
        <f>-766.330959587108 -135.020040310109 -232.262445941789</f>
        <v>-1133.6134458390061</v>
      </c>
      <c r="Q2384" t="s">
        <v>31065</v>
      </c>
      <c r="R2384" t="s">
        <v>31066</v>
      </c>
      <c r="S2384" t="s">
        <v>31067</v>
      </c>
      <c r="T2384" t="s">
        <v>31068</v>
      </c>
      <c r="U2384" t="s">
        <v>31069</v>
      </c>
      <c r="V2384">
        <f>-732.501647272458 -11.403218771183 -94.4739111265363</f>
        <v>-838.37877717017727</v>
      </c>
      <c r="W2384" t="s">
        <v>31070</v>
      </c>
      <c r="X2384" t="s">
        <v>31071</v>
      </c>
      <c r="Y2384" t="s">
        <v>31072</v>
      </c>
    </row>
    <row r="2385" spans="1:25" x14ac:dyDescent="0.3">
      <c r="A2385">
        <v>119200</v>
      </c>
      <c r="B2385" t="s">
        <v>31073</v>
      </c>
      <c r="C2385" t="s">
        <v>31074</v>
      </c>
      <c r="D2385" t="s">
        <v>31075</v>
      </c>
      <c r="E2385" t="s">
        <v>31076</v>
      </c>
      <c r="F2385" t="s">
        <v>31077</v>
      </c>
      <c r="G2385" t="s">
        <v>31078</v>
      </c>
      <c r="H2385" t="s">
        <v>31079</v>
      </c>
      <c r="I2385" t="s">
        <v>31080</v>
      </c>
      <c r="J2385" t="s">
        <v>31081</v>
      </c>
      <c r="K2385" t="s">
        <v>31082</v>
      </c>
      <c r="L2385" t="s">
        <v>31083</v>
      </c>
      <c r="M2385" t="s">
        <v>31084</v>
      </c>
      <c r="N2385" t="s">
        <v>31085</v>
      </c>
      <c r="O2385">
        <f>-771.993493499408 -99.00911505717 -524.261448196545</f>
        <v>-1395.264056753123</v>
      </c>
      <c r="P2385">
        <f>-765.778975869814 -134.603018482097 -232.224347863633</f>
        <v>-1132.6063422155439</v>
      </c>
      <c r="Q2385" t="s">
        <v>31086</v>
      </c>
      <c r="R2385" t="s">
        <v>31087</v>
      </c>
      <c r="S2385" t="s">
        <v>31088</v>
      </c>
      <c r="T2385" t="s">
        <v>31089</v>
      </c>
      <c r="U2385" t="s">
        <v>31090</v>
      </c>
      <c r="V2385">
        <f>-732.270847346157 -11.0252364992539 -94.4929748563471</f>
        <v>-837.78905870175799</v>
      </c>
      <c r="W2385" t="s">
        <v>31091</v>
      </c>
      <c r="X2385" t="s">
        <v>31092</v>
      </c>
      <c r="Y2385" t="s">
        <v>31093</v>
      </c>
    </row>
    <row r="2386" spans="1:25" x14ac:dyDescent="0.3">
      <c r="A2386">
        <v>119250</v>
      </c>
      <c r="B2386" t="s">
        <v>31094</v>
      </c>
      <c r="C2386" t="s">
        <v>31095</v>
      </c>
      <c r="D2386" t="s">
        <v>31096</v>
      </c>
      <c r="E2386" t="s">
        <v>31097</v>
      </c>
      <c r="F2386" t="s">
        <v>31098</v>
      </c>
      <c r="G2386" t="s">
        <v>31099</v>
      </c>
      <c r="H2386" t="s">
        <v>31100</v>
      </c>
      <c r="I2386" t="s">
        <v>31101</v>
      </c>
      <c r="J2386" t="s">
        <v>31102</v>
      </c>
      <c r="K2386" t="s">
        <v>31103</v>
      </c>
      <c r="L2386" t="s">
        <v>31104</v>
      </c>
      <c r="M2386" t="s">
        <v>31105</v>
      </c>
      <c r="N2386" t="s">
        <v>31106</v>
      </c>
      <c r="O2386">
        <f>-771.928026564758 -98.7907633313891 -524.280429068791</f>
        <v>-1394.9992189649383</v>
      </c>
      <c r="P2386">
        <f>-765.567313608328 -134.404788293211 -232.248923401242</f>
        <v>-1132.2210253027811</v>
      </c>
      <c r="Q2386" t="s">
        <v>31107</v>
      </c>
      <c r="R2386" t="s">
        <v>31108</v>
      </c>
      <c r="S2386" t="s">
        <v>31109</v>
      </c>
      <c r="T2386" t="s">
        <v>31110</v>
      </c>
      <c r="U2386" t="s">
        <v>31111</v>
      </c>
      <c r="V2386">
        <f>-732.197850256148 -10.8242601530785 -94.5093510563567</f>
        <v>-837.53146146558311</v>
      </c>
      <c r="W2386" t="s">
        <v>31112</v>
      </c>
      <c r="X2386" t="s">
        <v>31113</v>
      </c>
      <c r="Y2386" t="s">
        <v>31114</v>
      </c>
    </row>
    <row r="2387" spans="1:25" x14ac:dyDescent="0.3">
      <c r="A2387">
        <v>119300</v>
      </c>
      <c r="B2387" t="s">
        <v>31115</v>
      </c>
      <c r="C2387" t="s">
        <v>31116</v>
      </c>
      <c r="D2387" t="s">
        <v>31117</v>
      </c>
      <c r="E2387" t="s">
        <v>31118</v>
      </c>
      <c r="F2387" t="s">
        <v>31119</v>
      </c>
      <c r="G2387" t="s">
        <v>31120</v>
      </c>
      <c r="H2387" t="s">
        <v>31121</v>
      </c>
      <c r="I2387" t="s">
        <v>31122</v>
      </c>
      <c r="J2387" t="s">
        <v>31123</v>
      </c>
      <c r="K2387" t="s">
        <v>31124</v>
      </c>
      <c r="L2387" t="s">
        <v>31125</v>
      </c>
      <c r="M2387" t="s">
        <v>31126</v>
      </c>
      <c r="N2387" t="s">
        <v>31127</v>
      </c>
      <c r="O2387">
        <f>-772.078044023537 -98.8071523949718 -524.339054283215</f>
        <v>-1395.2242507017238</v>
      </c>
      <c r="P2387">
        <f>-765.551960888618 -134.486350414115 -232.319189092289</f>
        <v>-1132.357500395022</v>
      </c>
      <c r="Q2387" t="s">
        <v>31128</v>
      </c>
      <c r="R2387" t="s">
        <v>31129</v>
      </c>
      <c r="S2387" t="s">
        <v>31130</v>
      </c>
      <c r="T2387" t="s">
        <v>31131</v>
      </c>
      <c r="U2387" t="s">
        <v>31132</v>
      </c>
      <c r="V2387">
        <f>-732.365341051037 -11.0349168962462 -94.5071529601992</f>
        <v>-837.90741090748236</v>
      </c>
      <c r="W2387" t="s">
        <v>31133</v>
      </c>
      <c r="X2387" t="s">
        <v>31134</v>
      </c>
      <c r="Y2387" t="s">
        <v>31135</v>
      </c>
    </row>
    <row r="2388" spans="1:25" x14ac:dyDescent="0.3">
      <c r="A2388">
        <v>119350</v>
      </c>
      <c r="B2388" t="s">
        <v>31136</v>
      </c>
      <c r="C2388" t="s">
        <v>31137</v>
      </c>
      <c r="D2388" t="s">
        <v>31138</v>
      </c>
      <c r="E2388" t="s">
        <v>31139</v>
      </c>
      <c r="F2388" t="s">
        <v>31140</v>
      </c>
      <c r="G2388" t="s">
        <v>31141</v>
      </c>
      <c r="H2388" t="s">
        <v>31142</v>
      </c>
      <c r="I2388" t="s">
        <v>31143</v>
      </c>
      <c r="J2388" t="s">
        <v>31144</v>
      </c>
      <c r="K2388" t="s">
        <v>31145</v>
      </c>
      <c r="L2388" t="s">
        <v>31146</v>
      </c>
      <c r="M2388" t="s">
        <v>31147</v>
      </c>
      <c r="N2388" t="s">
        <v>31148</v>
      </c>
      <c r="O2388">
        <f>-772.141412155243 -98.6686333021016 -524.375287592905</f>
        <v>-1395.1853330502495</v>
      </c>
      <c r="P2388">
        <f>-765.697664822716 -134.373713894855 -232.356678599358</f>
        <v>-1132.428057316929</v>
      </c>
      <c r="Q2388" t="s">
        <v>31149</v>
      </c>
      <c r="R2388" t="s">
        <v>31150</v>
      </c>
      <c r="S2388" t="s">
        <v>31151</v>
      </c>
      <c r="T2388" t="s">
        <v>31152</v>
      </c>
      <c r="U2388" t="s">
        <v>31153</v>
      </c>
      <c r="V2388">
        <f>-732.422747919375 -10.9207662688682 -94.5067729695709</f>
        <v>-837.85028715781402</v>
      </c>
      <c r="W2388" t="s">
        <v>31154</v>
      </c>
      <c r="X2388" t="s">
        <v>31155</v>
      </c>
      <c r="Y2388" t="s">
        <v>31156</v>
      </c>
    </row>
    <row r="2389" spans="1:25" x14ac:dyDescent="0.3">
      <c r="A2389">
        <v>119400</v>
      </c>
      <c r="B2389" t="s">
        <v>31157</v>
      </c>
      <c r="C2389" t="s">
        <v>31158</v>
      </c>
      <c r="D2389" t="s">
        <v>31159</v>
      </c>
      <c r="E2389" t="s">
        <v>31160</v>
      </c>
      <c r="F2389" t="s">
        <v>31161</v>
      </c>
      <c r="G2389" t="s">
        <v>31162</v>
      </c>
      <c r="H2389" t="s">
        <v>31163</v>
      </c>
      <c r="I2389" t="s">
        <v>31164</v>
      </c>
      <c r="J2389" t="s">
        <v>31165</v>
      </c>
      <c r="K2389" t="s">
        <v>31166</v>
      </c>
      <c r="L2389" t="s">
        <v>31167</v>
      </c>
      <c r="M2389" t="s">
        <v>31168</v>
      </c>
      <c r="N2389" t="s">
        <v>31169</v>
      </c>
      <c r="O2389">
        <f>-772.287424033335 -98.4827435886527 -524.374967916261</f>
        <v>-1395.1451355382487</v>
      </c>
      <c r="P2389">
        <f>-766.043792350208 -134.136865243101 -232.345845340674</f>
        <v>-1132.526502933983</v>
      </c>
      <c r="Q2389" t="s">
        <v>31170</v>
      </c>
      <c r="R2389" t="s">
        <v>31171</v>
      </c>
      <c r="S2389" t="s">
        <v>31172</v>
      </c>
      <c r="T2389" t="s">
        <v>31173</v>
      </c>
      <c r="U2389" t="s">
        <v>31174</v>
      </c>
      <c r="V2389">
        <f>-732.499381881442 -10.8287738241759 -94.5076238296597</f>
        <v>-837.83577953527754</v>
      </c>
      <c r="W2389" t="s">
        <v>31175</v>
      </c>
      <c r="X2389" t="s">
        <v>31176</v>
      </c>
      <c r="Y2389" t="s">
        <v>31177</v>
      </c>
    </row>
    <row r="2390" spans="1:25" x14ac:dyDescent="0.3">
      <c r="A2390">
        <v>119450</v>
      </c>
      <c r="B2390" t="s">
        <v>31178</v>
      </c>
      <c r="C2390" t="s">
        <v>31179</v>
      </c>
      <c r="D2390" t="s">
        <v>31180</v>
      </c>
      <c r="E2390" t="s">
        <v>31181</v>
      </c>
      <c r="F2390" t="s">
        <v>31182</v>
      </c>
      <c r="G2390" t="s">
        <v>31183</v>
      </c>
      <c r="H2390" t="s">
        <v>31184</v>
      </c>
      <c r="I2390" t="s">
        <v>31185</v>
      </c>
      <c r="J2390" t="s">
        <v>31186</v>
      </c>
      <c r="K2390" t="s">
        <v>31187</v>
      </c>
      <c r="L2390" t="s">
        <v>31188</v>
      </c>
      <c r="M2390" t="s">
        <v>31189</v>
      </c>
      <c r="N2390" t="s">
        <v>31190</v>
      </c>
      <c r="O2390">
        <f>-772.511746019497 -98.2978521023683 -524.397667745883</f>
        <v>-1395.2072658677484</v>
      </c>
      <c r="P2390">
        <f>-766.294075835213 -134.065722143883 -232.38196652428</f>
        <v>-1132.7417645033761</v>
      </c>
      <c r="Q2390" t="s">
        <v>31191</v>
      </c>
      <c r="R2390" t="s">
        <v>31192</v>
      </c>
      <c r="S2390" t="s">
        <v>31193</v>
      </c>
      <c r="T2390" t="s">
        <v>31194</v>
      </c>
      <c r="U2390" t="s">
        <v>31195</v>
      </c>
      <c r="V2390">
        <f>-732.569268172471 -10.6260986368302 -94.5025543460638</f>
        <v>-837.69792115536495</v>
      </c>
      <c r="W2390" t="s">
        <v>31196</v>
      </c>
      <c r="X2390" t="s">
        <v>31197</v>
      </c>
      <c r="Y2390" t="s">
        <v>31198</v>
      </c>
    </row>
    <row r="2391" spans="1:25" x14ac:dyDescent="0.3">
      <c r="A2391">
        <v>119500</v>
      </c>
      <c r="B2391" t="s">
        <v>31199</v>
      </c>
      <c r="C2391" t="s">
        <v>31200</v>
      </c>
      <c r="D2391" t="s">
        <v>31201</v>
      </c>
      <c r="E2391" t="s">
        <v>31202</v>
      </c>
      <c r="F2391" t="s">
        <v>31203</v>
      </c>
      <c r="G2391" t="s">
        <v>31204</v>
      </c>
      <c r="H2391" t="s">
        <v>31205</v>
      </c>
      <c r="I2391" t="s">
        <v>31206</v>
      </c>
      <c r="J2391" t="s">
        <v>31207</v>
      </c>
      <c r="K2391" t="s">
        <v>31208</v>
      </c>
      <c r="L2391" t="s">
        <v>31209</v>
      </c>
      <c r="M2391" t="s">
        <v>31210</v>
      </c>
      <c r="N2391" t="s">
        <v>31211</v>
      </c>
      <c r="O2391">
        <f>-773.191942153272 -98.0296431495933 -524.448135940864</f>
        <v>-1395.6697212437293</v>
      </c>
      <c r="P2391">
        <f>-766.902788428498 -133.896882721745 -232.446190991696</f>
        <v>-1133.2458621419389</v>
      </c>
      <c r="Q2391" t="s">
        <v>31212</v>
      </c>
      <c r="R2391" t="s">
        <v>31213</v>
      </c>
      <c r="S2391" t="s">
        <v>31214</v>
      </c>
      <c r="T2391" t="s">
        <v>31215</v>
      </c>
      <c r="U2391" t="s">
        <v>31216</v>
      </c>
      <c r="V2391">
        <f>-732.775271115727 -10.5455533242277 -94.4821719175507</f>
        <v>-837.80299635750544</v>
      </c>
      <c r="W2391" t="s">
        <v>31217</v>
      </c>
      <c r="X2391" t="s">
        <v>31218</v>
      </c>
      <c r="Y2391" t="s">
        <v>31219</v>
      </c>
    </row>
    <row r="2392" spans="1:25" x14ac:dyDescent="0.3">
      <c r="A2392">
        <v>119550</v>
      </c>
      <c r="B2392" t="s">
        <v>31220</v>
      </c>
      <c r="C2392" t="s">
        <v>31221</v>
      </c>
      <c r="D2392" t="s">
        <v>31222</v>
      </c>
      <c r="E2392" t="s">
        <v>31223</v>
      </c>
      <c r="F2392" t="s">
        <v>31224</v>
      </c>
      <c r="G2392" t="s">
        <v>31225</v>
      </c>
      <c r="H2392" t="s">
        <v>31226</v>
      </c>
      <c r="I2392" t="s">
        <v>31227</v>
      </c>
      <c r="J2392" t="s">
        <v>31228</v>
      </c>
      <c r="K2392" t="s">
        <v>31229</v>
      </c>
      <c r="L2392" t="s">
        <v>31230</v>
      </c>
      <c r="M2392" t="s">
        <v>31231</v>
      </c>
      <c r="N2392" t="s">
        <v>31232</v>
      </c>
      <c r="O2392">
        <f>-773.523509552939 -97.8762104194011 -524.458134234522</f>
        <v>-1395.8578542068622</v>
      </c>
      <c r="P2392">
        <f>-767.257839650427 -133.66471357734 -232.446050165366</f>
        <v>-1133.3686033931328</v>
      </c>
      <c r="Q2392" t="s">
        <v>31233</v>
      </c>
      <c r="R2392" t="s">
        <v>31234</v>
      </c>
      <c r="S2392" t="s">
        <v>31235</v>
      </c>
      <c r="T2392" t="s">
        <v>31236</v>
      </c>
      <c r="U2392" t="s">
        <v>31237</v>
      </c>
      <c r="V2392">
        <f>-732.787918736921 -10.4681621583886 -94.4592441262278</f>
        <v>-837.71532502153741</v>
      </c>
      <c r="W2392" t="s">
        <v>31238</v>
      </c>
      <c r="X2392" t="s">
        <v>31239</v>
      </c>
      <c r="Y2392" t="s">
        <v>31240</v>
      </c>
    </row>
    <row r="2393" spans="1:25" x14ac:dyDescent="0.3">
      <c r="A2393">
        <v>119600</v>
      </c>
      <c r="B2393" t="s">
        <v>31241</v>
      </c>
      <c r="C2393" t="s">
        <v>31242</v>
      </c>
      <c r="D2393" t="s">
        <v>31243</v>
      </c>
      <c r="E2393" t="s">
        <v>31244</v>
      </c>
      <c r="F2393" t="s">
        <v>31245</v>
      </c>
      <c r="G2393" t="s">
        <v>31246</v>
      </c>
      <c r="H2393" t="s">
        <v>31247</v>
      </c>
      <c r="I2393" t="s">
        <v>31248</v>
      </c>
      <c r="J2393" t="s">
        <v>31249</v>
      </c>
      <c r="K2393" t="s">
        <v>31250</v>
      </c>
      <c r="L2393" t="s">
        <v>31251</v>
      </c>
      <c r="M2393" t="s">
        <v>31252</v>
      </c>
      <c r="N2393" t="s">
        <v>31253</v>
      </c>
      <c r="O2393">
        <f>-773.913801558172 -97.7417552657762 -524.414056811261</f>
        <v>-1396.0696136352094</v>
      </c>
      <c r="P2393">
        <f>-767.611151164107 -133.437700614093 -232.391351458106</f>
        <v>-1133.4402032363059</v>
      </c>
      <c r="Q2393" t="s">
        <v>31254</v>
      </c>
      <c r="R2393" t="s">
        <v>31255</v>
      </c>
      <c r="S2393" t="s">
        <v>31256</v>
      </c>
      <c r="T2393" t="s">
        <v>31257</v>
      </c>
      <c r="U2393" t="s">
        <v>31258</v>
      </c>
      <c r="V2393">
        <f>-732.907883471766 -10.354849294833 -94.4282506375149</f>
        <v>-837.69098340411392</v>
      </c>
      <c r="W2393" t="s">
        <v>31259</v>
      </c>
      <c r="X2393" t="s">
        <v>31260</v>
      </c>
      <c r="Y2393" t="s">
        <v>31261</v>
      </c>
    </row>
    <row r="2394" spans="1:25" x14ac:dyDescent="0.3">
      <c r="A2394">
        <v>119650</v>
      </c>
      <c r="B2394" t="s">
        <v>31262</v>
      </c>
      <c r="C2394" t="s">
        <v>31263</v>
      </c>
      <c r="D2394" t="s">
        <v>31264</v>
      </c>
      <c r="E2394" t="s">
        <v>31265</v>
      </c>
      <c r="F2394" t="s">
        <v>31266</v>
      </c>
      <c r="G2394" t="s">
        <v>31267</v>
      </c>
      <c r="H2394" t="s">
        <v>31268</v>
      </c>
      <c r="I2394" t="s">
        <v>31269</v>
      </c>
      <c r="J2394" t="s">
        <v>31270</v>
      </c>
      <c r="K2394" t="s">
        <v>31271</v>
      </c>
      <c r="L2394" t="s">
        <v>31272</v>
      </c>
      <c r="M2394" t="s">
        <v>31273</v>
      </c>
      <c r="N2394" t="s">
        <v>31274</v>
      </c>
      <c r="O2394">
        <f>-774.124521394921 -97.6640999527485 -524.329538265399</f>
        <v>-1396.1181596130687</v>
      </c>
      <c r="P2394">
        <f>-767.778123407673 -133.270762755384 -232.296856855772</f>
        <v>-1133.3457430188289</v>
      </c>
      <c r="Q2394" t="s">
        <v>31275</v>
      </c>
      <c r="R2394" t="s">
        <v>31276</v>
      </c>
      <c r="S2394" t="s">
        <v>31277</v>
      </c>
      <c r="T2394" t="s">
        <v>31278</v>
      </c>
      <c r="U2394" t="s">
        <v>31279</v>
      </c>
      <c r="V2394">
        <f>-732.938088728991 -10.2265560048174 -94.4168871857532</f>
        <v>-837.58153191956171</v>
      </c>
      <c r="W2394" t="s">
        <v>31280</v>
      </c>
      <c r="X2394" t="s">
        <v>31281</v>
      </c>
      <c r="Y2394" t="s">
        <v>31282</v>
      </c>
    </row>
    <row r="2395" spans="1:25" x14ac:dyDescent="0.3">
      <c r="A2395">
        <v>119700</v>
      </c>
      <c r="B2395" t="s">
        <v>31283</v>
      </c>
      <c r="C2395" t="s">
        <v>31284</v>
      </c>
      <c r="D2395" t="s">
        <v>31285</v>
      </c>
      <c r="E2395" t="s">
        <v>31286</v>
      </c>
      <c r="F2395" t="s">
        <v>31287</v>
      </c>
      <c r="G2395" t="s">
        <v>31288</v>
      </c>
      <c r="H2395" t="s">
        <v>31289</v>
      </c>
      <c r="I2395" t="s">
        <v>31290</v>
      </c>
      <c r="J2395" t="s">
        <v>31291</v>
      </c>
      <c r="K2395" t="s">
        <v>31292</v>
      </c>
      <c r="L2395" t="s">
        <v>31293</v>
      </c>
      <c r="M2395" t="s">
        <v>31294</v>
      </c>
      <c r="N2395" t="s">
        <v>31295</v>
      </c>
      <c r="O2395">
        <f>-774.66125870576 -97.5601718893313 -524.261759997213</f>
        <v>-1396.4831905923043</v>
      </c>
      <c r="P2395">
        <f>-768.024627049276 -133.419794675128 -232.266400216635</f>
        <v>-1133.7108219410391</v>
      </c>
      <c r="Q2395" t="s">
        <v>31296</v>
      </c>
      <c r="R2395" t="s">
        <v>31297</v>
      </c>
      <c r="S2395" t="s">
        <v>31298</v>
      </c>
      <c r="T2395" t="s">
        <v>31299</v>
      </c>
      <c r="U2395" t="s">
        <v>31300</v>
      </c>
      <c r="V2395">
        <f>-733.109366084024 -10.0842849798066 -94.3817531105095</f>
        <v>-837.57540417434018</v>
      </c>
      <c r="W2395" t="s">
        <v>31301</v>
      </c>
      <c r="X2395" t="s">
        <v>31302</v>
      </c>
      <c r="Y2395" t="s">
        <v>31303</v>
      </c>
    </row>
    <row r="2396" spans="1:25" x14ac:dyDescent="0.3">
      <c r="A2396">
        <v>119750</v>
      </c>
      <c r="B2396" t="s">
        <v>31304</v>
      </c>
      <c r="C2396" t="s">
        <v>31305</v>
      </c>
      <c r="D2396" t="s">
        <v>31306</v>
      </c>
      <c r="E2396" t="s">
        <v>31307</v>
      </c>
      <c r="F2396" t="s">
        <v>31308</v>
      </c>
      <c r="G2396" t="s">
        <v>31309</v>
      </c>
      <c r="H2396" t="s">
        <v>31310</v>
      </c>
      <c r="I2396" t="s">
        <v>31311</v>
      </c>
      <c r="J2396" t="s">
        <v>31312</v>
      </c>
      <c r="K2396" t="s">
        <v>31313</v>
      </c>
      <c r="L2396" t="s">
        <v>31314</v>
      </c>
      <c r="M2396" t="s">
        <v>31315</v>
      </c>
      <c r="N2396" t="s">
        <v>31316</v>
      </c>
      <c r="O2396">
        <f>-775.058530455612 -97.4621185277533 -524.284971485309</f>
        <v>-1396.8056204686743</v>
      </c>
      <c r="P2396">
        <f>-768.168550624364 -133.358653383515 -232.300006836229</f>
        <v>-1133.8272108441079</v>
      </c>
      <c r="Q2396" t="s">
        <v>31317</v>
      </c>
      <c r="R2396" t="s">
        <v>31318</v>
      </c>
      <c r="S2396" t="s">
        <v>31319</v>
      </c>
      <c r="T2396" t="s">
        <v>31320</v>
      </c>
      <c r="U2396" t="s">
        <v>31321</v>
      </c>
      <c r="V2396">
        <f>-733.181941972506 -10.0314743293227 -94.3734809368874</f>
        <v>-837.58689723871612</v>
      </c>
      <c r="W2396" t="s">
        <v>31322</v>
      </c>
      <c r="X2396" t="s">
        <v>31323</v>
      </c>
      <c r="Y2396" t="s">
        <v>31324</v>
      </c>
    </row>
    <row r="2397" spans="1:25" x14ac:dyDescent="0.3">
      <c r="A2397">
        <v>119800</v>
      </c>
      <c r="B2397" t="s">
        <v>31325</v>
      </c>
      <c r="C2397" t="s">
        <v>31326</v>
      </c>
      <c r="D2397" t="s">
        <v>31327</v>
      </c>
      <c r="E2397" t="s">
        <v>31328</v>
      </c>
      <c r="F2397" t="s">
        <v>31329</v>
      </c>
      <c r="G2397" t="s">
        <v>31330</v>
      </c>
      <c r="H2397" t="s">
        <v>31331</v>
      </c>
      <c r="I2397" t="s">
        <v>31332</v>
      </c>
      <c r="J2397" t="s">
        <v>31333</v>
      </c>
      <c r="K2397" t="s">
        <v>31334</v>
      </c>
      <c r="L2397" t="s">
        <v>31335</v>
      </c>
      <c r="M2397" t="s">
        <v>31336</v>
      </c>
      <c r="N2397" t="s">
        <v>31337</v>
      </c>
      <c r="O2397">
        <f>-775.818637614665 -97.3982632894242 -524.328636115102</f>
        <v>-1397.5455370191912</v>
      </c>
      <c r="P2397">
        <f>-768.210048715203 -133.315159411547 -232.364130225794</f>
        <v>-1133.889338352544</v>
      </c>
      <c r="Q2397" t="s">
        <v>31338</v>
      </c>
      <c r="R2397" t="s">
        <v>31339</v>
      </c>
      <c r="S2397" t="s">
        <v>31340</v>
      </c>
      <c r="T2397" t="s">
        <v>31341</v>
      </c>
      <c r="U2397" t="s">
        <v>31342</v>
      </c>
      <c r="V2397">
        <f>-733.30403003075 -9.93236991967706 -94.3710844195269</f>
        <v>-837.60748436995402</v>
      </c>
      <c r="W2397" t="s">
        <v>31343</v>
      </c>
      <c r="X2397" t="s">
        <v>31344</v>
      </c>
      <c r="Y2397" t="s">
        <v>31345</v>
      </c>
    </row>
    <row r="2398" spans="1:25" x14ac:dyDescent="0.3">
      <c r="A2398">
        <v>119850</v>
      </c>
      <c r="B2398" t="s">
        <v>31346</v>
      </c>
      <c r="C2398" t="s">
        <v>31347</v>
      </c>
      <c r="D2398" t="s">
        <v>31348</v>
      </c>
      <c r="E2398" t="s">
        <v>31349</v>
      </c>
      <c r="F2398" t="s">
        <v>31350</v>
      </c>
      <c r="G2398" t="s">
        <v>31351</v>
      </c>
      <c r="H2398" t="s">
        <v>31352</v>
      </c>
      <c r="I2398" t="s">
        <v>31353</v>
      </c>
      <c r="J2398" t="s">
        <v>31354</v>
      </c>
      <c r="K2398" t="s">
        <v>31355</v>
      </c>
      <c r="L2398" t="s">
        <v>31356</v>
      </c>
      <c r="M2398" t="s">
        <v>31357</v>
      </c>
      <c r="N2398" t="s">
        <v>31358</v>
      </c>
      <c r="O2398">
        <f>-776.04701904535 -97.1786252407569 -524.339091135078</f>
        <v>-1397.5647354211849</v>
      </c>
      <c r="P2398">
        <f>-768.174766512005 -132.949141238347 -232.363546442736</f>
        <v>-1133.4874541930881</v>
      </c>
      <c r="Q2398" t="s">
        <v>31359</v>
      </c>
      <c r="R2398" t="s">
        <v>31360</v>
      </c>
      <c r="S2398" t="s">
        <v>31361</v>
      </c>
      <c r="T2398" t="s">
        <v>31362</v>
      </c>
      <c r="U2398" t="s">
        <v>31363</v>
      </c>
      <c r="V2398">
        <f>-733.36378983003 -9.64018107866491 -94.3676376477771</f>
        <v>-837.37160855647198</v>
      </c>
      <c r="W2398" t="s">
        <v>31364</v>
      </c>
      <c r="X2398" t="s">
        <v>31365</v>
      </c>
      <c r="Y2398" t="s">
        <v>31366</v>
      </c>
    </row>
    <row r="2399" spans="1:25" x14ac:dyDescent="0.3">
      <c r="A2399">
        <v>119900</v>
      </c>
      <c r="B2399" t="s">
        <v>31367</v>
      </c>
      <c r="C2399" t="s">
        <v>31368</v>
      </c>
      <c r="D2399" t="s">
        <v>31369</v>
      </c>
      <c r="E2399" t="s">
        <v>31370</v>
      </c>
      <c r="F2399" t="s">
        <v>31371</v>
      </c>
      <c r="G2399" t="s">
        <v>31372</v>
      </c>
      <c r="H2399" t="s">
        <v>31373</v>
      </c>
      <c r="I2399" t="s">
        <v>31374</v>
      </c>
      <c r="J2399" t="s">
        <v>31375</v>
      </c>
      <c r="K2399" t="s">
        <v>31376</v>
      </c>
      <c r="L2399" t="s">
        <v>31377</v>
      </c>
      <c r="M2399" t="s">
        <v>31378</v>
      </c>
      <c r="N2399" t="s">
        <v>31379</v>
      </c>
      <c r="O2399">
        <f>-776.546644788018 -97.0153467038685 -524.289086795672</f>
        <v>-1397.8510782875587</v>
      </c>
      <c r="P2399">
        <f>-768.479289705516 -132.708141931012 -232.309305602808</f>
        <v>-1133.496737239336</v>
      </c>
      <c r="Q2399" t="s">
        <v>31380</v>
      </c>
      <c r="R2399" t="s">
        <v>31381</v>
      </c>
      <c r="S2399" t="s">
        <v>31382</v>
      </c>
      <c r="T2399" t="s">
        <v>31383</v>
      </c>
      <c r="U2399" t="s">
        <v>31384</v>
      </c>
      <c r="V2399">
        <f>-733.778500898431 -9.42699955317244 -94.3610999223031</f>
        <v>-837.56660037390657</v>
      </c>
      <c r="W2399" t="s">
        <v>31385</v>
      </c>
      <c r="X2399" t="s">
        <v>31386</v>
      </c>
      <c r="Y2399" t="s">
        <v>31387</v>
      </c>
    </row>
    <row r="2400" spans="1:25" x14ac:dyDescent="0.3">
      <c r="A2400">
        <v>119950</v>
      </c>
      <c r="B2400" t="s">
        <v>31388</v>
      </c>
      <c r="C2400" t="s">
        <v>31389</v>
      </c>
      <c r="D2400" t="s">
        <v>31390</v>
      </c>
      <c r="E2400" t="s">
        <v>31391</v>
      </c>
      <c r="F2400" t="s">
        <v>31392</v>
      </c>
      <c r="G2400" t="s">
        <v>31393</v>
      </c>
      <c r="H2400" t="s">
        <v>31394</v>
      </c>
      <c r="I2400" t="s">
        <v>31395</v>
      </c>
      <c r="J2400" t="s">
        <v>31396</v>
      </c>
      <c r="K2400" t="s">
        <v>31397</v>
      </c>
      <c r="L2400" t="s">
        <v>31398</v>
      </c>
      <c r="M2400" t="s">
        <v>31399</v>
      </c>
      <c r="N2400" t="s">
        <v>31400</v>
      </c>
      <c r="O2400">
        <f>-776.808608468951 -96.7955135273094 -524.294707697293</f>
        <v>-1397.8988296935534</v>
      </c>
      <c r="P2400">
        <f>-768.664277087108 -132.393175629913 -232.305521279925</f>
        <v>-1133.362973996946</v>
      </c>
      <c r="Q2400" t="s">
        <v>31401</v>
      </c>
      <c r="R2400" t="s">
        <v>31402</v>
      </c>
      <c r="S2400" t="s">
        <v>31403</v>
      </c>
      <c r="T2400" t="s">
        <v>31404</v>
      </c>
      <c r="U2400" t="s">
        <v>31405</v>
      </c>
      <c r="V2400">
        <f>-733.93800659581 -9.16053472244835 -94.358732500957</f>
        <v>-837.45727381921529</v>
      </c>
      <c r="W2400" t="s">
        <v>31406</v>
      </c>
      <c r="X2400" t="s">
        <v>31407</v>
      </c>
      <c r="Y2400" t="s">
        <v>31408</v>
      </c>
    </row>
    <row r="2401" spans="1:25" x14ac:dyDescent="0.3">
      <c r="A2401">
        <v>120000</v>
      </c>
      <c r="B2401" t="s">
        <v>31409</v>
      </c>
      <c r="C2401" t="s">
        <v>31410</v>
      </c>
      <c r="D2401" t="s">
        <v>31411</v>
      </c>
      <c r="E2401" t="s">
        <v>31412</v>
      </c>
      <c r="F2401" t="s">
        <v>31413</v>
      </c>
      <c r="G2401" t="s">
        <v>31414</v>
      </c>
      <c r="H2401" t="s">
        <v>31415</v>
      </c>
      <c r="I2401" t="s">
        <v>31416</v>
      </c>
      <c r="J2401" t="s">
        <v>31417</v>
      </c>
      <c r="K2401" t="s">
        <v>31418</v>
      </c>
      <c r="L2401" t="s">
        <v>31419</v>
      </c>
      <c r="M2401" t="s">
        <v>31420</v>
      </c>
      <c r="N2401" t="s">
        <v>31421</v>
      </c>
      <c r="O2401">
        <f>-777.358106976026 -96.4588689863592 -524.303029716189</f>
        <v>-1398.1200056785742</v>
      </c>
      <c r="P2401">
        <f>-768.973301985256 -132.148944932648 -232.331963770696</f>
        <v>-1133.4542106885999</v>
      </c>
      <c r="Q2401" t="s">
        <v>31422</v>
      </c>
      <c r="R2401" t="s">
        <v>31423</v>
      </c>
      <c r="S2401" t="s">
        <v>31424</v>
      </c>
      <c r="T2401" t="s">
        <v>31425</v>
      </c>
      <c r="U2401" t="s">
        <v>31426</v>
      </c>
      <c r="V2401">
        <f>-734.408520789779 -8.82571294516993 -94.337147560471</f>
        <v>-837.57138129541988</v>
      </c>
      <c r="W2401" t="s">
        <v>31427</v>
      </c>
      <c r="X2401" t="s">
        <v>31428</v>
      </c>
      <c r="Y2401" t="s">
        <v>31429</v>
      </c>
    </row>
    <row r="2402" spans="1:25" x14ac:dyDescent="0.3">
      <c r="A2402">
        <v>120050</v>
      </c>
      <c r="B2402" t="s">
        <v>31430</v>
      </c>
      <c r="C2402" t="s">
        <v>31431</v>
      </c>
      <c r="D2402" t="s">
        <v>31432</v>
      </c>
      <c r="E2402" t="s">
        <v>31433</v>
      </c>
      <c r="F2402" t="s">
        <v>31434</v>
      </c>
      <c r="G2402" t="s">
        <v>31435</v>
      </c>
      <c r="H2402" t="s">
        <v>31436</v>
      </c>
      <c r="I2402" t="s">
        <v>31437</v>
      </c>
      <c r="J2402" t="s">
        <v>31438</v>
      </c>
      <c r="K2402" t="s">
        <v>31439</v>
      </c>
      <c r="L2402" t="s">
        <v>31440</v>
      </c>
      <c r="M2402" t="s">
        <v>31441</v>
      </c>
      <c r="N2402" t="s">
        <v>31442</v>
      </c>
      <c r="O2402">
        <f>-777.634488375622 -96.2087243691763 -524.299112303406</f>
        <v>-1398.1423250482044</v>
      </c>
      <c r="P2402">
        <f>-769.213674203429 -131.849135903621 -232.323063975184</f>
        <v>-1133.3858740822341</v>
      </c>
      <c r="Q2402" t="s">
        <v>31443</v>
      </c>
      <c r="R2402" t="s">
        <v>31444</v>
      </c>
      <c r="S2402" t="s">
        <v>31445</v>
      </c>
      <c r="T2402" t="s">
        <v>31446</v>
      </c>
      <c r="U2402" t="s">
        <v>31447</v>
      </c>
      <c r="V2402">
        <f>-734.624670844498 -8.58321920385674 -94.3333763786536</f>
        <v>-837.5412664270084</v>
      </c>
      <c r="W2402" t="s">
        <v>31448</v>
      </c>
      <c r="X2402" t="s">
        <v>31449</v>
      </c>
      <c r="Y2402" t="s">
        <v>31450</v>
      </c>
    </row>
    <row r="2403" spans="1:25" x14ac:dyDescent="0.3">
      <c r="A2403">
        <v>120100</v>
      </c>
      <c r="B2403" t="s">
        <v>31451</v>
      </c>
      <c r="C2403" t="s">
        <v>31452</v>
      </c>
      <c r="D2403" t="s">
        <v>31453</v>
      </c>
      <c r="E2403" t="s">
        <v>31454</v>
      </c>
      <c r="F2403" t="s">
        <v>31455</v>
      </c>
      <c r="G2403" t="s">
        <v>31456</v>
      </c>
      <c r="H2403" t="s">
        <v>31457</v>
      </c>
      <c r="I2403" t="s">
        <v>31458</v>
      </c>
      <c r="J2403" t="s">
        <v>31459</v>
      </c>
      <c r="K2403" t="s">
        <v>31460</v>
      </c>
      <c r="L2403" t="s">
        <v>31461</v>
      </c>
      <c r="M2403" t="s">
        <v>31462</v>
      </c>
      <c r="N2403" t="s">
        <v>31463</v>
      </c>
      <c r="O2403">
        <f>-778.090356733899 -95.969127872022 -524.255065849659</f>
        <v>-1398.31455045558</v>
      </c>
      <c r="P2403">
        <f>-769.503671540542 -131.455211460906 -232.264877807047</f>
        <v>-1133.2237608084949</v>
      </c>
      <c r="Q2403" t="s">
        <v>31464</v>
      </c>
      <c r="R2403" t="s">
        <v>31465</v>
      </c>
      <c r="S2403" t="s">
        <v>31466</v>
      </c>
      <c r="T2403" t="s">
        <v>31467</v>
      </c>
      <c r="U2403" t="s">
        <v>31468</v>
      </c>
      <c r="V2403">
        <f>-735.107310394183 -8.39118357121492 -94.32639246889</f>
        <v>-837.82488643428792</v>
      </c>
      <c r="W2403" t="s">
        <v>31469</v>
      </c>
      <c r="X2403" t="s">
        <v>31470</v>
      </c>
      <c r="Y2403" t="s">
        <v>31471</v>
      </c>
    </row>
    <row r="2404" spans="1:25" x14ac:dyDescent="0.3">
      <c r="A2404">
        <v>120150</v>
      </c>
      <c r="B2404" t="s">
        <v>31472</v>
      </c>
      <c r="C2404" t="s">
        <v>31473</v>
      </c>
      <c r="D2404" t="s">
        <v>31474</v>
      </c>
      <c r="E2404" t="s">
        <v>31475</v>
      </c>
      <c r="F2404" t="s">
        <v>31476</v>
      </c>
      <c r="G2404" t="s">
        <v>31477</v>
      </c>
      <c r="H2404" t="s">
        <v>31478</v>
      </c>
      <c r="I2404" t="s">
        <v>31479</v>
      </c>
      <c r="J2404" t="s">
        <v>31480</v>
      </c>
      <c r="K2404" t="s">
        <v>31481</v>
      </c>
      <c r="L2404" t="s">
        <v>31482</v>
      </c>
      <c r="M2404" t="s">
        <v>31483</v>
      </c>
      <c r="N2404" t="s">
        <v>31484</v>
      </c>
      <c r="O2404">
        <f>-778.244970474919 -95.8446245920591 -524.286424661849</f>
        <v>-1398.376019728827</v>
      </c>
      <c r="P2404">
        <f>-769.609875334033 -131.310016135932 -232.295256611181</f>
        <v>-1133.2151480811458</v>
      </c>
      <c r="Q2404" t="s">
        <v>31485</v>
      </c>
      <c r="R2404" t="s">
        <v>31486</v>
      </c>
      <c r="S2404" t="s">
        <v>31487</v>
      </c>
      <c r="T2404" t="s">
        <v>31488</v>
      </c>
      <c r="U2404" t="s">
        <v>31489</v>
      </c>
      <c r="V2404">
        <f>-735.260632478114 -8.22139996968008 -94.3270125248631</f>
        <v>-837.80904497265715</v>
      </c>
      <c r="W2404" t="s">
        <v>31490</v>
      </c>
      <c r="X2404" t="s">
        <v>31491</v>
      </c>
      <c r="Y2404" t="s">
        <v>31492</v>
      </c>
    </row>
    <row r="2405" spans="1:25" x14ac:dyDescent="0.3">
      <c r="A2405">
        <v>120200</v>
      </c>
      <c r="B2405" t="s">
        <v>31493</v>
      </c>
      <c r="C2405" t="s">
        <v>31494</v>
      </c>
      <c r="D2405" t="s">
        <v>31495</v>
      </c>
      <c r="E2405" t="s">
        <v>31496</v>
      </c>
      <c r="F2405" t="s">
        <v>31497</v>
      </c>
      <c r="G2405" t="s">
        <v>31498</v>
      </c>
      <c r="H2405" t="s">
        <v>31499</v>
      </c>
      <c r="I2405" t="s">
        <v>31500</v>
      </c>
      <c r="J2405" t="s">
        <v>31501</v>
      </c>
      <c r="K2405" t="s">
        <v>31502</v>
      </c>
      <c r="L2405" t="s">
        <v>31503</v>
      </c>
      <c r="M2405" t="s">
        <v>31504</v>
      </c>
      <c r="N2405" t="s">
        <v>31505</v>
      </c>
      <c r="O2405">
        <f>-778.614653677342 -95.6331840221906 -524.399994635845</f>
        <v>-1398.6478323353776</v>
      </c>
      <c r="P2405">
        <f>-769.893744392371 -131.302862444471 -232.436283709967</f>
        <v>-1133.632890546809</v>
      </c>
      <c r="Q2405" t="s">
        <v>31506</v>
      </c>
      <c r="R2405" t="s">
        <v>31507</v>
      </c>
      <c r="S2405" t="s">
        <v>31508</v>
      </c>
      <c r="T2405" t="s">
        <v>31509</v>
      </c>
      <c r="U2405" t="s">
        <v>31510</v>
      </c>
      <c r="V2405">
        <f>-735.729323736638 -8.33285528418855 -94.3304568438405</f>
        <v>-838.392635864667</v>
      </c>
      <c r="W2405" t="s">
        <v>31511</v>
      </c>
      <c r="X2405" t="s">
        <v>31512</v>
      </c>
      <c r="Y2405" t="s">
        <v>31513</v>
      </c>
    </row>
    <row r="2406" spans="1:25" x14ac:dyDescent="0.3">
      <c r="A2406">
        <v>120250</v>
      </c>
      <c r="B2406" t="s">
        <v>31514</v>
      </c>
      <c r="C2406" t="s">
        <v>31515</v>
      </c>
      <c r="D2406" t="s">
        <v>31516</v>
      </c>
      <c r="E2406" t="s">
        <v>31517</v>
      </c>
      <c r="F2406" t="s">
        <v>31518</v>
      </c>
      <c r="G2406" t="s">
        <v>31519</v>
      </c>
      <c r="H2406" t="s">
        <v>31520</v>
      </c>
      <c r="I2406" t="s">
        <v>31521</v>
      </c>
      <c r="J2406" t="s">
        <v>31522</v>
      </c>
      <c r="K2406" t="s">
        <v>31523</v>
      </c>
      <c r="L2406" t="s">
        <v>31524</v>
      </c>
      <c r="M2406" t="s">
        <v>31525</v>
      </c>
      <c r="N2406" t="s">
        <v>31526</v>
      </c>
      <c r="O2406">
        <f>-778.638524952697 -95.4352405828893 -524.513100525371</f>
        <v>-1398.5868660609572</v>
      </c>
      <c r="P2406">
        <f>-770.026494912397 -131.19089678284 -232.556681746614</f>
        <v>-1133.774073441851</v>
      </c>
      <c r="Q2406" t="s">
        <v>31527</v>
      </c>
      <c r="R2406" t="s">
        <v>31528</v>
      </c>
      <c r="S2406" t="s">
        <v>31529</v>
      </c>
      <c r="T2406" t="s">
        <v>31530</v>
      </c>
      <c r="U2406" t="s">
        <v>31531</v>
      </c>
      <c r="V2406">
        <f>-735.975119259109 -8.40715939664074 -94.3375872078043</f>
        <v>-838.71986586355399</v>
      </c>
      <c r="W2406" t="s">
        <v>31532</v>
      </c>
      <c r="X2406" t="s">
        <v>31533</v>
      </c>
      <c r="Y2406" t="s">
        <v>31534</v>
      </c>
    </row>
    <row r="2407" spans="1:25" x14ac:dyDescent="0.3">
      <c r="A2407">
        <v>120300</v>
      </c>
      <c r="B2407" t="s">
        <v>31535</v>
      </c>
      <c r="C2407" t="s">
        <v>31536</v>
      </c>
      <c r="D2407" t="s">
        <v>31537</v>
      </c>
      <c r="E2407" t="s">
        <v>31538</v>
      </c>
      <c r="F2407" t="s">
        <v>31539</v>
      </c>
      <c r="G2407" t="s">
        <v>31540</v>
      </c>
      <c r="H2407" t="s">
        <v>31541</v>
      </c>
      <c r="I2407" t="s">
        <v>31542</v>
      </c>
      <c r="J2407" t="s">
        <v>31543</v>
      </c>
      <c r="K2407" t="s">
        <v>31544</v>
      </c>
      <c r="L2407" t="s">
        <v>31545</v>
      </c>
      <c r="M2407" t="s">
        <v>31546</v>
      </c>
      <c r="N2407" t="s">
        <v>31547</v>
      </c>
      <c r="O2407">
        <f>-777.72938516092 -94.5801325426603 -524.83185376222</f>
        <v>-1397.1413714658001</v>
      </c>
      <c r="P2407">
        <f>-769.510505447274 -130.861862942504 -232.92900554445</f>
        <v>-1133.301373934228</v>
      </c>
      <c r="Q2407" t="s">
        <v>31548</v>
      </c>
      <c r="R2407" t="s">
        <v>31549</v>
      </c>
      <c r="S2407" t="s">
        <v>31550</v>
      </c>
      <c r="T2407" t="s">
        <v>31551</v>
      </c>
      <c r="U2407" t="s">
        <v>31552</v>
      </c>
      <c r="V2407">
        <f>-736.294673532216 -8.10710661289727 -94.4202504002582</f>
        <v>-838.82203054537149</v>
      </c>
      <c r="W2407" t="s">
        <v>31553</v>
      </c>
      <c r="X2407" t="s">
        <v>31554</v>
      </c>
      <c r="Y2407" t="s">
        <v>31555</v>
      </c>
    </row>
    <row r="2408" spans="1:25" x14ac:dyDescent="0.3">
      <c r="A2408">
        <v>120350</v>
      </c>
      <c r="B2408" t="s">
        <v>31556</v>
      </c>
      <c r="C2408" t="s">
        <v>31557</v>
      </c>
      <c r="D2408" t="s">
        <v>31558</v>
      </c>
      <c r="E2408" t="s">
        <v>31559</v>
      </c>
      <c r="F2408" t="s">
        <v>31560</v>
      </c>
      <c r="G2408" t="s">
        <v>31561</v>
      </c>
      <c r="H2408" t="s">
        <v>31562</v>
      </c>
      <c r="I2408" t="s">
        <v>31563</v>
      </c>
      <c r="J2408" t="s">
        <v>31564</v>
      </c>
      <c r="K2408" t="s">
        <v>31565</v>
      </c>
      <c r="L2408" t="s">
        <v>31566</v>
      </c>
      <c r="M2408" t="s">
        <v>31567</v>
      </c>
      <c r="N2408" t="s">
        <v>31568</v>
      </c>
      <c r="O2408">
        <f>-777.017223438908 -94.0123243574287 -524.940120988749</f>
        <v>-1395.9696687850856</v>
      </c>
      <c r="P2408">
        <f>-769.069566483082 -130.506416854792 -233.056211166638</f>
        <v>-1132.632194504512</v>
      </c>
      <c r="Q2408" t="s">
        <v>31569</v>
      </c>
      <c r="R2408" t="s">
        <v>31570</v>
      </c>
      <c r="S2408" t="s">
        <v>31571</v>
      </c>
      <c r="T2408" t="s">
        <v>31572</v>
      </c>
      <c r="U2408" t="s">
        <v>31573</v>
      </c>
      <c r="V2408">
        <f>-736.452343405417 -7.79697323669234 -94.4560951544551</f>
        <v>-838.70541179656436</v>
      </c>
      <c r="W2408" t="s">
        <v>31574</v>
      </c>
      <c r="X2408" t="s">
        <v>31575</v>
      </c>
      <c r="Y2408" t="s">
        <v>31576</v>
      </c>
    </row>
    <row r="2409" spans="1:25" x14ac:dyDescent="0.3">
      <c r="A2409">
        <v>120400</v>
      </c>
      <c r="B2409" t="s">
        <v>31577</v>
      </c>
      <c r="C2409" t="s">
        <v>31578</v>
      </c>
      <c r="D2409" t="s">
        <v>31579</v>
      </c>
      <c r="E2409" t="s">
        <v>31580</v>
      </c>
      <c r="F2409" t="s">
        <v>31581</v>
      </c>
      <c r="G2409" t="s">
        <v>31582</v>
      </c>
      <c r="H2409" t="s">
        <v>31583</v>
      </c>
      <c r="I2409" t="s">
        <v>31584</v>
      </c>
      <c r="J2409" t="s">
        <v>31585</v>
      </c>
      <c r="K2409" t="s">
        <v>31586</v>
      </c>
      <c r="L2409" t="s">
        <v>31587</v>
      </c>
      <c r="M2409" t="s">
        <v>31588</v>
      </c>
      <c r="N2409" t="s">
        <v>31589</v>
      </c>
      <c r="O2409">
        <f>-775.730831270878 -92.9488693625394 -524.997836438572</f>
        <v>-1393.6775370719893</v>
      </c>
      <c r="P2409">
        <f>-768.509881465412 -129.745310495184 -233.133079661971</f>
        <v>-1131.3882716225671</v>
      </c>
      <c r="Q2409" t="s">
        <v>31590</v>
      </c>
      <c r="R2409" t="s">
        <v>31591</v>
      </c>
      <c r="S2409" t="s">
        <v>31592</v>
      </c>
      <c r="T2409" t="s">
        <v>31593</v>
      </c>
      <c r="U2409" t="s">
        <v>31594</v>
      </c>
      <c r="V2409">
        <f>-736.74406884504 -7.07133008258393 -94.4622110115452</f>
        <v>-838.27760993916911</v>
      </c>
      <c r="W2409" t="s">
        <v>31595</v>
      </c>
      <c r="X2409" t="s">
        <v>31596</v>
      </c>
      <c r="Y2409" t="s">
        <v>31597</v>
      </c>
    </row>
    <row r="2410" spans="1:25" x14ac:dyDescent="0.3">
      <c r="A2410">
        <v>120450</v>
      </c>
      <c r="B2410" t="s">
        <v>31598</v>
      </c>
      <c r="C2410" t="s">
        <v>31599</v>
      </c>
      <c r="D2410" t="s">
        <v>31600</v>
      </c>
      <c r="E2410" t="s">
        <v>31601</v>
      </c>
      <c r="F2410" t="s">
        <v>31602</v>
      </c>
      <c r="G2410" t="s">
        <v>31603</v>
      </c>
      <c r="H2410" t="s">
        <v>31604</v>
      </c>
      <c r="I2410" t="s">
        <v>31605</v>
      </c>
      <c r="J2410" t="s">
        <v>31606</v>
      </c>
      <c r="K2410" t="s">
        <v>31607</v>
      </c>
      <c r="L2410" t="s">
        <v>31608</v>
      </c>
      <c r="M2410" t="s">
        <v>31609</v>
      </c>
      <c r="N2410" t="s">
        <v>31610</v>
      </c>
      <c r="O2410">
        <f>-775.284319998859 -92.5949963042228 -524.937161566279</f>
        <v>-1392.8164778693608</v>
      </c>
      <c r="P2410">
        <f>-768.511446099719 -129.660155642825 -233.095517112121</f>
        <v>-1131.2671188546651</v>
      </c>
      <c r="Q2410" t="s">
        <v>31611</v>
      </c>
      <c r="R2410" t="s">
        <v>31612</v>
      </c>
      <c r="S2410" t="s">
        <v>31613</v>
      </c>
      <c r="T2410" t="s">
        <v>31614</v>
      </c>
      <c r="U2410" t="s">
        <v>31615</v>
      </c>
      <c r="V2410">
        <f>-737.016303280838 -7.04849889462002 -94.4526449192424</f>
        <v>-838.5174470947004</v>
      </c>
      <c r="W2410" t="s">
        <v>31616</v>
      </c>
      <c r="X2410" t="s">
        <v>31617</v>
      </c>
      <c r="Y2410" t="s">
        <v>31618</v>
      </c>
    </row>
    <row r="2411" spans="1:25" x14ac:dyDescent="0.3">
      <c r="A2411">
        <v>120500</v>
      </c>
      <c r="B2411" t="s">
        <v>31619</v>
      </c>
      <c r="C2411" t="s">
        <v>31620</v>
      </c>
      <c r="D2411" t="s">
        <v>31621</v>
      </c>
      <c r="E2411" t="s">
        <v>31622</v>
      </c>
      <c r="F2411" t="s">
        <v>31623</v>
      </c>
      <c r="G2411" t="s">
        <v>31624</v>
      </c>
      <c r="H2411" t="s">
        <v>31625</v>
      </c>
      <c r="I2411" t="s">
        <v>31626</v>
      </c>
      <c r="J2411" t="s">
        <v>31627</v>
      </c>
      <c r="K2411" t="s">
        <v>31628</v>
      </c>
      <c r="L2411" t="s">
        <v>31629</v>
      </c>
      <c r="M2411" t="s">
        <v>31630</v>
      </c>
      <c r="N2411" t="s">
        <v>31631</v>
      </c>
      <c r="O2411">
        <f>-774.677054345863 -92.2843575709289 -524.690445797415</f>
        <v>-1391.6518577142069</v>
      </c>
      <c r="P2411">
        <f>-769.619426327449 -129.109221522065 -232.783736235615</f>
        <v>-1131.512384085129</v>
      </c>
      <c r="Q2411" t="s">
        <v>31632</v>
      </c>
      <c r="R2411" t="s">
        <v>31633</v>
      </c>
      <c r="S2411" t="s">
        <v>31634</v>
      </c>
      <c r="T2411" t="s">
        <v>31635</v>
      </c>
      <c r="U2411" t="s">
        <v>31636</v>
      </c>
      <c r="V2411">
        <f>-737.417400506736 -7.24250508233831 -94.400171468651</f>
        <v>-839.06007705772538</v>
      </c>
      <c r="W2411" t="s">
        <v>31637</v>
      </c>
      <c r="X2411" t="s">
        <v>31638</v>
      </c>
      <c r="Y2411" t="s">
        <v>31639</v>
      </c>
    </row>
    <row r="2412" spans="1:25" x14ac:dyDescent="0.3">
      <c r="A2412">
        <v>120550</v>
      </c>
      <c r="B2412" t="s">
        <v>31640</v>
      </c>
      <c r="C2412" t="s">
        <v>31641</v>
      </c>
      <c r="D2412" t="s">
        <v>31642</v>
      </c>
      <c r="E2412" t="s">
        <v>31643</v>
      </c>
      <c r="F2412" t="s">
        <v>31644</v>
      </c>
      <c r="G2412" t="s">
        <v>31645</v>
      </c>
      <c r="H2412" t="s">
        <v>31646</v>
      </c>
      <c r="I2412" t="s">
        <v>31647</v>
      </c>
      <c r="J2412" t="s">
        <v>31648</v>
      </c>
      <c r="K2412" t="s">
        <v>31649</v>
      </c>
      <c r="L2412" t="s">
        <v>31650</v>
      </c>
      <c r="M2412" t="s">
        <v>31651</v>
      </c>
      <c r="N2412" t="s">
        <v>31652</v>
      </c>
      <c r="O2412">
        <f>-774.569192469097 -92.0663756181127 -524.548153723369</f>
        <v>-1391.1837218105786</v>
      </c>
      <c r="P2412">
        <f>-770.442801266311 -128.916531776878 -232.629913064784</f>
        <v>-1131.989246107973</v>
      </c>
      <c r="Q2412" t="s">
        <v>31653</v>
      </c>
      <c r="R2412" t="s">
        <v>31654</v>
      </c>
      <c r="S2412" t="s">
        <v>31655</v>
      </c>
      <c r="T2412" t="s">
        <v>31656</v>
      </c>
      <c r="U2412" t="s">
        <v>31657</v>
      </c>
      <c r="V2412">
        <f>-737.611012723987 -7.26232084960861 -94.3691581957038</f>
        <v>-839.24249176929936</v>
      </c>
      <c r="W2412" t="s">
        <v>31658</v>
      </c>
      <c r="X2412" t="s">
        <v>31659</v>
      </c>
      <c r="Y2412" t="s">
        <v>31660</v>
      </c>
    </row>
    <row r="2413" spans="1:25" x14ac:dyDescent="0.3">
      <c r="A2413">
        <v>120600</v>
      </c>
      <c r="B2413" t="s">
        <v>31661</v>
      </c>
      <c r="C2413" t="s">
        <v>31662</v>
      </c>
      <c r="D2413" t="s">
        <v>31663</v>
      </c>
      <c r="E2413" t="s">
        <v>31664</v>
      </c>
      <c r="F2413" t="s">
        <v>31665</v>
      </c>
      <c r="G2413" t="s">
        <v>31666</v>
      </c>
      <c r="H2413" t="s">
        <v>31667</v>
      </c>
      <c r="I2413" t="s">
        <v>31668</v>
      </c>
      <c r="J2413" t="s">
        <v>31669</v>
      </c>
      <c r="K2413" t="s">
        <v>31670</v>
      </c>
      <c r="L2413" t="s">
        <v>31671</v>
      </c>
      <c r="M2413" t="s">
        <v>31672</v>
      </c>
      <c r="N2413" t="s">
        <v>31673</v>
      </c>
      <c r="O2413">
        <f>-773.918056028718 -92.0279465167612 -524.29705875777</f>
        <v>-1390.2430613032491</v>
      </c>
      <c r="P2413">
        <f>-771.624818929483 -129.282074319402 -232.409977107001</f>
        <v>-1133.3168703558861</v>
      </c>
      <c r="Q2413" t="s">
        <v>31674</v>
      </c>
      <c r="R2413" t="s">
        <v>31675</v>
      </c>
      <c r="S2413" t="s">
        <v>31676</v>
      </c>
      <c r="T2413" t="s">
        <v>31677</v>
      </c>
      <c r="U2413" t="s">
        <v>31678</v>
      </c>
      <c r="V2413">
        <f>-737.513185788546 -7.37922120602684 -94.2654410965749</f>
        <v>-839.1578480911478</v>
      </c>
      <c r="W2413" t="s">
        <v>31679</v>
      </c>
      <c r="X2413" t="s">
        <v>31680</v>
      </c>
      <c r="Y2413" t="s">
        <v>31681</v>
      </c>
    </row>
    <row r="2414" spans="1:25" x14ac:dyDescent="0.3">
      <c r="A2414">
        <v>120650</v>
      </c>
      <c r="B2414" t="s">
        <v>31682</v>
      </c>
      <c r="C2414" t="s">
        <v>31683</v>
      </c>
      <c r="D2414" t="s">
        <v>31684</v>
      </c>
      <c r="E2414" t="s">
        <v>31685</v>
      </c>
      <c r="F2414" t="s">
        <v>31686</v>
      </c>
      <c r="G2414" t="s">
        <v>31687</v>
      </c>
      <c r="H2414" t="s">
        <v>31688</v>
      </c>
      <c r="I2414" t="s">
        <v>31689</v>
      </c>
      <c r="J2414" t="s">
        <v>31690</v>
      </c>
      <c r="K2414" t="s">
        <v>31691</v>
      </c>
      <c r="L2414" t="s">
        <v>31692</v>
      </c>
      <c r="M2414" t="s">
        <v>31693</v>
      </c>
      <c r="N2414" t="s">
        <v>31694</v>
      </c>
      <c r="O2414">
        <f>-773.350080866544 -91.9823585150041 -524.251429390311</f>
        <v>-1389.5838687718592</v>
      </c>
      <c r="P2414">
        <f>-771.730547593743 -129.464663727694 -232.389118434429</f>
        <v>-1133.5843297558661</v>
      </c>
      <c r="Q2414" t="s">
        <v>31695</v>
      </c>
      <c r="R2414" t="s">
        <v>31696</v>
      </c>
      <c r="S2414" t="s">
        <v>31697</v>
      </c>
      <c r="T2414" t="s">
        <v>31698</v>
      </c>
      <c r="U2414" t="s">
        <v>31699</v>
      </c>
      <c r="V2414">
        <f>-737.01219094516 -7.42126074092721 -94.2321319985264</f>
        <v>-838.66558368461358</v>
      </c>
      <c r="W2414" t="s">
        <v>31700</v>
      </c>
      <c r="X2414" t="s">
        <v>31701</v>
      </c>
      <c r="Y2414" t="s">
        <v>31702</v>
      </c>
    </row>
    <row r="2415" spans="1:25" x14ac:dyDescent="0.3">
      <c r="A2415">
        <v>120700</v>
      </c>
      <c r="B2415" t="s">
        <v>31703</v>
      </c>
      <c r="C2415" t="s">
        <v>31704</v>
      </c>
      <c r="D2415" t="s">
        <v>31705</v>
      </c>
      <c r="E2415" t="s">
        <v>31706</v>
      </c>
      <c r="F2415" t="s">
        <v>31707</v>
      </c>
      <c r="G2415" t="s">
        <v>31708</v>
      </c>
      <c r="H2415" t="s">
        <v>31709</v>
      </c>
      <c r="I2415" t="s">
        <v>31710</v>
      </c>
      <c r="J2415" t="s">
        <v>31711</v>
      </c>
      <c r="K2415" t="s">
        <v>31712</v>
      </c>
      <c r="L2415" t="s">
        <v>31713</v>
      </c>
      <c r="M2415" t="s">
        <v>31714</v>
      </c>
      <c r="N2415" t="s">
        <v>31715</v>
      </c>
      <c r="O2415">
        <f>-772.086166343919 -92.168844931967 -524.206736152966</f>
        <v>-1388.461747428852</v>
      </c>
      <c r="P2415">
        <f>-771.147535375089 -130.293509002799 -232.424444558584</f>
        <v>-1133.865488936472</v>
      </c>
      <c r="Q2415" t="s">
        <v>31716</v>
      </c>
      <c r="R2415" t="s">
        <v>31717</v>
      </c>
      <c r="S2415" t="s">
        <v>31718</v>
      </c>
      <c r="T2415" t="s">
        <v>31719</v>
      </c>
      <c r="U2415" t="s">
        <v>31720</v>
      </c>
      <c r="V2415">
        <f>-735.819681369606 -7.87743788685953 -94.2175190109281</f>
        <v>-837.91463826739357</v>
      </c>
      <c r="W2415" t="s">
        <v>31721</v>
      </c>
      <c r="X2415" t="s">
        <v>31722</v>
      </c>
      <c r="Y2415" t="s">
        <v>31723</v>
      </c>
    </row>
    <row r="2416" spans="1:25" x14ac:dyDescent="0.3">
      <c r="A2416">
        <v>120750</v>
      </c>
      <c r="B2416" t="s">
        <v>31724</v>
      </c>
      <c r="C2416" t="s">
        <v>31725</v>
      </c>
      <c r="D2416" t="s">
        <v>31726</v>
      </c>
      <c r="E2416" t="s">
        <v>31727</v>
      </c>
      <c r="F2416" t="s">
        <v>31728</v>
      </c>
      <c r="G2416" t="s">
        <v>31729</v>
      </c>
      <c r="H2416" t="s">
        <v>31730</v>
      </c>
      <c r="I2416" t="s">
        <v>31731</v>
      </c>
      <c r="J2416" t="s">
        <v>31732</v>
      </c>
      <c r="K2416" t="s">
        <v>31733</v>
      </c>
      <c r="L2416" t="s">
        <v>31734</v>
      </c>
      <c r="M2416" t="s">
        <v>31735</v>
      </c>
      <c r="N2416" t="s">
        <v>31736</v>
      </c>
      <c r="O2416">
        <f>-771.720260094547 -92.5358003922315 -524.151183588814</f>
        <v>-1388.4072440755926</v>
      </c>
      <c r="P2416">
        <f>-770.778678828653 -130.681334499185 -232.371662311626</f>
        <v>-1133.831675639464</v>
      </c>
      <c r="Q2416" t="s">
        <v>31737</v>
      </c>
      <c r="R2416" t="s">
        <v>31738</v>
      </c>
      <c r="S2416" t="s">
        <v>31739</v>
      </c>
      <c r="T2416" t="s">
        <v>31740</v>
      </c>
      <c r="U2416" t="s">
        <v>31741</v>
      </c>
      <c r="V2416">
        <f>-735.436108239822 -8.37531886185798 -94.2072215143933</f>
        <v>-838.01864861607328</v>
      </c>
      <c r="W2416" t="s">
        <v>31742</v>
      </c>
      <c r="X2416" t="s">
        <v>31743</v>
      </c>
      <c r="Y2416" t="s">
        <v>31744</v>
      </c>
    </row>
    <row r="2417" spans="1:25" x14ac:dyDescent="0.3">
      <c r="A2417">
        <v>120800</v>
      </c>
      <c r="B2417" t="s">
        <v>31745</v>
      </c>
      <c r="C2417" t="s">
        <v>31746</v>
      </c>
      <c r="D2417" t="s">
        <v>31747</v>
      </c>
      <c r="E2417" t="s">
        <v>31748</v>
      </c>
      <c r="F2417" t="s">
        <v>31749</v>
      </c>
      <c r="G2417" t="s">
        <v>31750</v>
      </c>
      <c r="H2417" t="s">
        <v>31751</v>
      </c>
      <c r="I2417" t="s">
        <v>31752</v>
      </c>
      <c r="J2417" t="s">
        <v>31753</v>
      </c>
      <c r="K2417" t="s">
        <v>31754</v>
      </c>
      <c r="L2417" t="s">
        <v>31755</v>
      </c>
      <c r="M2417" t="s">
        <v>31756</v>
      </c>
      <c r="N2417" t="s">
        <v>31757</v>
      </c>
      <c r="O2417">
        <f>-771.275172940823 -93.277003838117 -524.053829046546</f>
        <v>-1388.6060058254861</v>
      </c>
      <c r="P2417">
        <f>-770.297083828649 -131.363895734265 -232.266873993601</f>
        <v>-1133.9278535565149</v>
      </c>
      <c r="Q2417" t="s">
        <v>31758</v>
      </c>
      <c r="R2417" t="s">
        <v>31759</v>
      </c>
      <c r="S2417" t="s">
        <v>31760</v>
      </c>
      <c r="T2417" t="s">
        <v>31761</v>
      </c>
      <c r="U2417" t="s">
        <v>31762</v>
      </c>
      <c r="V2417">
        <f>-734.439077967723 -9.10761290601545 -94.2355461584888</f>
        <v>-837.78223703222727</v>
      </c>
      <c r="W2417" t="s">
        <v>31763</v>
      </c>
      <c r="X2417" t="s">
        <v>31764</v>
      </c>
      <c r="Y2417" t="s">
        <v>31765</v>
      </c>
    </row>
    <row r="2418" spans="1:25" x14ac:dyDescent="0.3">
      <c r="A2418">
        <v>120850</v>
      </c>
      <c r="B2418" t="s">
        <v>31766</v>
      </c>
      <c r="C2418" t="s">
        <v>31767</v>
      </c>
      <c r="D2418" t="s">
        <v>31768</v>
      </c>
      <c r="E2418" t="s">
        <v>31769</v>
      </c>
      <c r="F2418" t="s">
        <v>31770</v>
      </c>
      <c r="G2418" t="s">
        <v>31771</v>
      </c>
      <c r="H2418" t="s">
        <v>31772</v>
      </c>
      <c r="I2418" t="s">
        <v>31773</v>
      </c>
      <c r="J2418" t="s">
        <v>31774</v>
      </c>
      <c r="K2418" t="s">
        <v>31775</v>
      </c>
      <c r="L2418" t="s">
        <v>31776</v>
      </c>
      <c r="M2418" t="s">
        <v>31777</v>
      </c>
      <c r="N2418" t="s">
        <v>31778</v>
      </c>
      <c r="O2418">
        <f>-771.030521386339 -93.5869754409516 -523.993720108183</f>
        <v>-1388.6112169354737</v>
      </c>
      <c r="P2418">
        <f>-770.157567749971 -131.445473443954 -232.176655496298</f>
        <v>-1133.7796966902231</v>
      </c>
      <c r="Q2418" t="s">
        <v>31779</v>
      </c>
      <c r="R2418" t="s">
        <v>31780</v>
      </c>
      <c r="S2418" t="s">
        <v>31781</v>
      </c>
      <c r="T2418" t="s">
        <v>31782</v>
      </c>
      <c r="U2418" t="s">
        <v>31783</v>
      </c>
      <c r="V2418">
        <f>-733.605845772154 -9.29464075664873 -94.2698089969862</f>
        <v>-837.1702955257889</v>
      </c>
      <c r="W2418" t="s">
        <v>31784</v>
      </c>
      <c r="X2418" t="s">
        <v>31785</v>
      </c>
      <c r="Y2418" t="s">
        <v>31786</v>
      </c>
    </row>
    <row r="2419" spans="1:25" x14ac:dyDescent="0.3">
      <c r="A2419">
        <v>120900</v>
      </c>
      <c r="B2419" t="s">
        <v>31787</v>
      </c>
      <c r="C2419" t="s">
        <v>31788</v>
      </c>
      <c r="D2419" t="s">
        <v>31789</v>
      </c>
      <c r="E2419" t="s">
        <v>31790</v>
      </c>
      <c r="F2419" t="s">
        <v>31791</v>
      </c>
      <c r="G2419" t="s">
        <v>31792</v>
      </c>
      <c r="H2419" t="s">
        <v>31793</v>
      </c>
      <c r="I2419" t="s">
        <v>31794</v>
      </c>
      <c r="J2419" t="s">
        <v>31795</v>
      </c>
      <c r="K2419" t="s">
        <v>31796</v>
      </c>
      <c r="L2419" t="s">
        <v>31797</v>
      </c>
      <c r="M2419" t="s">
        <v>31798</v>
      </c>
      <c r="N2419" t="s">
        <v>31799</v>
      </c>
      <c r="O2419">
        <f>-770.842815328929 -94.5720487692658 -523.802733963922</f>
        <v>-1389.2175980621168</v>
      </c>
      <c r="P2419">
        <f>-770.171971568235 -131.903163752232 -231.917195570465</f>
        <v>-1133.992330890932</v>
      </c>
      <c r="Q2419" t="s">
        <v>31800</v>
      </c>
      <c r="R2419" t="s">
        <v>31801</v>
      </c>
      <c r="S2419" t="s">
        <v>31802</v>
      </c>
      <c r="T2419" t="s">
        <v>31803</v>
      </c>
      <c r="U2419" t="s">
        <v>31804</v>
      </c>
      <c r="V2419">
        <f>-731.773486671841 -9.92926042876343 -94.3173662514158</f>
        <v>-836.0201133520203</v>
      </c>
      <c r="W2419" t="s">
        <v>31805</v>
      </c>
      <c r="X2419" t="s">
        <v>31806</v>
      </c>
      <c r="Y2419" t="s">
        <v>31807</v>
      </c>
    </row>
    <row r="2420" spans="1:25" x14ac:dyDescent="0.3">
      <c r="A2420">
        <v>120950</v>
      </c>
      <c r="B2420" t="s">
        <v>31808</v>
      </c>
      <c r="C2420" t="s">
        <v>31809</v>
      </c>
      <c r="D2420" t="s">
        <v>31810</v>
      </c>
      <c r="E2420" t="s">
        <v>31811</v>
      </c>
      <c r="F2420" t="s">
        <v>31812</v>
      </c>
      <c r="G2420" t="s">
        <v>31813</v>
      </c>
      <c r="H2420" t="s">
        <v>31814</v>
      </c>
      <c r="I2420" t="s">
        <v>31815</v>
      </c>
      <c r="J2420" t="s">
        <v>31816</v>
      </c>
      <c r="K2420" t="s">
        <v>31817</v>
      </c>
      <c r="L2420" t="s">
        <v>31818</v>
      </c>
      <c r="M2420" t="s">
        <v>31819</v>
      </c>
      <c r="N2420" t="s">
        <v>31820</v>
      </c>
      <c r="O2420">
        <f>-770.790485010505 -95.1482022027628 -523.677724128635</f>
        <v>-1389.6164113419027</v>
      </c>
      <c r="P2420">
        <f>-770.295915863591 -132.162848565295 -231.751599460616</f>
        <v>-1134.2103638895019</v>
      </c>
      <c r="Q2420" t="s">
        <v>31821</v>
      </c>
      <c r="R2420" t="s">
        <v>31822</v>
      </c>
      <c r="S2420" t="s">
        <v>31823</v>
      </c>
      <c r="T2420" t="s">
        <v>31824</v>
      </c>
      <c r="U2420" t="s">
        <v>31825</v>
      </c>
      <c r="V2420">
        <f>-731.076088834213 -10.0600586297935 -94.2946789522754</f>
        <v>-835.43082641628189</v>
      </c>
      <c r="W2420" t="s">
        <v>31826</v>
      </c>
      <c r="X2420" t="s">
        <v>31827</v>
      </c>
      <c r="Y2420" t="s">
        <v>31828</v>
      </c>
    </row>
    <row r="2421" spans="1:25" x14ac:dyDescent="0.3">
      <c r="A2421">
        <v>121000</v>
      </c>
      <c r="B2421" t="s">
        <v>31829</v>
      </c>
      <c r="C2421" t="s">
        <v>31830</v>
      </c>
      <c r="D2421" t="s">
        <v>31831</v>
      </c>
      <c r="E2421" t="s">
        <v>31832</v>
      </c>
      <c r="F2421" t="s">
        <v>31833</v>
      </c>
      <c r="G2421" t="s">
        <v>31834</v>
      </c>
      <c r="H2421" t="s">
        <v>31835</v>
      </c>
      <c r="I2421" t="s">
        <v>31836</v>
      </c>
      <c r="J2421" t="s">
        <v>31837</v>
      </c>
      <c r="K2421" t="s">
        <v>31838</v>
      </c>
      <c r="L2421" t="s">
        <v>31839</v>
      </c>
      <c r="M2421" t="s">
        <v>31840</v>
      </c>
      <c r="N2421" t="s">
        <v>31841</v>
      </c>
      <c r="O2421">
        <f>-770.310844725051 -95.903066532348 -523.343112387365</f>
        <v>-1389.5570236447638</v>
      </c>
      <c r="P2421">
        <f>-770.549914766397 -132.528181324144 -231.367384234703</f>
        <v>-1134.445480325244</v>
      </c>
      <c r="Q2421" t="s">
        <v>31842</v>
      </c>
      <c r="R2421" t="s">
        <v>31843</v>
      </c>
      <c r="S2421" t="s">
        <v>31844</v>
      </c>
      <c r="T2421" t="s">
        <v>31845</v>
      </c>
      <c r="U2421" t="s">
        <v>31846</v>
      </c>
      <c r="V2421">
        <f>-729.955134465888 -10.3947085332591 -94.3301379470005</f>
        <v>-834.67998094614757</v>
      </c>
      <c r="W2421" t="s">
        <v>31847</v>
      </c>
      <c r="X2421" t="s">
        <v>31848</v>
      </c>
      <c r="Y2421" t="s">
        <v>31849</v>
      </c>
    </row>
    <row r="2422" spans="1:25" x14ac:dyDescent="0.3">
      <c r="A2422">
        <v>121050</v>
      </c>
      <c r="B2422" t="s">
        <v>31850</v>
      </c>
      <c r="C2422" t="s">
        <v>31851</v>
      </c>
      <c r="D2422" t="s">
        <v>31852</v>
      </c>
      <c r="E2422" t="s">
        <v>31853</v>
      </c>
      <c r="F2422" t="s">
        <v>31854</v>
      </c>
      <c r="G2422" t="s">
        <v>31855</v>
      </c>
      <c r="H2422" t="s">
        <v>31856</v>
      </c>
      <c r="I2422" t="s">
        <v>31857</v>
      </c>
      <c r="J2422" t="s">
        <v>31858</v>
      </c>
      <c r="K2422" t="s">
        <v>31859</v>
      </c>
      <c r="L2422" t="s">
        <v>31860</v>
      </c>
      <c r="M2422" t="s">
        <v>31861</v>
      </c>
      <c r="N2422" t="s">
        <v>31862</v>
      </c>
      <c r="O2422">
        <f>-769.921421353031 -96.0994727700763 -523.182704190756</f>
        <v>-1389.2035983138633</v>
      </c>
      <c r="P2422">
        <f>-770.630828935511 -132.545411177302 -231.185507419898</f>
        <v>-1134.361747532711</v>
      </c>
      <c r="Q2422" t="s">
        <v>31863</v>
      </c>
      <c r="R2422" t="s">
        <v>31864</v>
      </c>
      <c r="S2422" t="s">
        <v>31865</v>
      </c>
      <c r="T2422" t="s">
        <v>31866</v>
      </c>
      <c r="U2422" t="s">
        <v>31867</v>
      </c>
      <c r="V2422">
        <f>-729.748086164329 -10.4207417368953 -94.3372870152976</f>
        <v>-834.50611491652194</v>
      </c>
      <c r="W2422" t="s">
        <v>31868</v>
      </c>
      <c r="X2422" t="s">
        <v>31869</v>
      </c>
      <c r="Y2422" t="s">
        <v>31870</v>
      </c>
    </row>
    <row r="2423" spans="1:25" x14ac:dyDescent="0.3">
      <c r="A2423">
        <v>121100</v>
      </c>
      <c r="B2423" t="s">
        <v>31871</v>
      </c>
      <c r="C2423" t="s">
        <v>31872</v>
      </c>
      <c r="D2423" t="s">
        <v>31873</v>
      </c>
      <c r="E2423" t="s">
        <v>31874</v>
      </c>
      <c r="F2423" t="s">
        <v>31875</v>
      </c>
      <c r="G2423" t="s">
        <v>31876</v>
      </c>
      <c r="H2423" t="s">
        <v>31877</v>
      </c>
      <c r="I2423" t="s">
        <v>31878</v>
      </c>
      <c r="J2423" t="s">
        <v>31879</v>
      </c>
      <c r="K2423" t="s">
        <v>31880</v>
      </c>
      <c r="L2423" t="s">
        <v>31881</v>
      </c>
      <c r="M2423" t="s">
        <v>31882</v>
      </c>
      <c r="N2423" t="s">
        <v>31883</v>
      </c>
      <c r="O2423">
        <f>-769.14917977906 -96.1477905409167 -522.855405133353</f>
        <v>-1388.1523754533296</v>
      </c>
      <c r="P2423">
        <f>-770.287442288773 -132.183885108002 -230.80863217749</f>
        <v>-1133.2799595742649</v>
      </c>
      <c r="Q2423" t="s">
        <v>31884</v>
      </c>
      <c r="R2423" t="s">
        <v>31885</v>
      </c>
      <c r="S2423" t="s">
        <v>31886</v>
      </c>
      <c r="T2423" t="s">
        <v>31887</v>
      </c>
      <c r="U2423" t="s">
        <v>31888</v>
      </c>
      <c r="V2423">
        <f>-729.423517900925 -9.94499023407639 -94.3635412704549</f>
        <v>-833.73204940545634</v>
      </c>
      <c r="W2423" t="s">
        <v>31889</v>
      </c>
      <c r="X2423" t="s">
        <v>31890</v>
      </c>
      <c r="Y2423" t="s">
        <v>31891</v>
      </c>
    </row>
    <row r="2424" spans="1:25" x14ac:dyDescent="0.3">
      <c r="A2424">
        <v>121150</v>
      </c>
      <c r="B2424" t="s">
        <v>31892</v>
      </c>
      <c r="C2424" t="s">
        <v>31893</v>
      </c>
      <c r="D2424" t="s">
        <v>31894</v>
      </c>
      <c r="E2424" t="s">
        <v>31895</v>
      </c>
      <c r="F2424" t="s">
        <v>31896</v>
      </c>
      <c r="G2424" t="s">
        <v>31897</v>
      </c>
      <c r="H2424" t="s">
        <v>31898</v>
      </c>
      <c r="I2424" t="s">
        <v>31899</v>
      </c>
      <c r="J2424" t="s">
        <v>31900</v>
      </c>
      <c r="K2424" t="s">
        <v>31901</v>
      </c>
      <c r="L2424" t="s">
        <v>31902</v>
      </c>
      <c r="M2424" t="s">
        <v>31903</v>
      </c>
      <c r="N2424" t="s">
        <v>31904</v>
      </c>
      <c r="O2424">
        <f>-768.972032220367 -96.3701193140391 -522.716881051145</f>
        <v>-1388.0590325855512</v>
      </c>
      <c r="P2424">
        <f>-770.044460605232 -132.079711898089 -230.629796136905</f>
        <v>-1132.753968640226</v>
      </c>
      <c r="Q2424" t="s">
        <v>31905</v>
      </c>
      <c r="R2424" t="s">
        <v>31906</v>
      </c>
      <c r="S2424" t="s">
        <v>31907</v>
      </c>
      <c r="T2424" t="s">
        <v>31908</v>
      </c>
      <c r="U2424" t="s">
        <v>31909</v>
      </c>
      <c r="V2424">
        <f>-729.488047840657 -10.1044421469667 -94.3899551401767</f>
        <v>-833.98244512780036</v>
      </c>
      <c r="W2424" t="s">
        <v>31910</v>
      </c>
      <c r="X2424" t="s">
        <v>31911</v>
      </c>
      <c r="Y2424" t="s">
        <v>31912</v>
      </c>
    </row>
    <row r="2425" spans="1:25" x14ac:dyDescent="0.3">
      <c r="A2425">
        <v>121200</v>
      </c>
      <c r="B2425" t="s">
        <v>31913</v>
      </c>
      <c r="C2425" t="s">
        <v>31914</v>
      </c>
      <c r="D2425" t="s">
        <v>31915</v>
      </c>
      <c r="E2425" t="s">
        <v>31916</v>
      </c>
      <c r="F2425" t="s">
        <v>31917</v>
      </c>
      <c r="G2425" t="s">
        <v>31918</v>
      </c>
      <c r="H2425" t="s">
        <v>31919</v>
      </c>
      <c r="I2425" t="s">
        <v>31920</v>
      </c>
      <c r="J2425" t="s">
        <v>31921</v>
      </c>
      <c r="K2425" t="s">
        <v>31922</v>
      </c>
      <c r="L2425" t="s">
        <v>31923</v>
      </c>
      <c r="M2425" t="s">
        <v>31924</v>
      </c>
      <c r="N2425" t="s">
        <v>31925</v>
      </c>
      <c r="O2425">
        <f>-768.713052554809 -96.933837905184 -522.629330002311</f>
        <v>-1388.2762204623041</v>
      </c>
      <c r="P2425">
        <f>-769.337703957763 -132.241008069142 -230.49208540795</f>
        <v>-1132.070797434855</v>
      </c>
      <c r="Q2425" t="s">
        <v>31926</v>
      </c>
      <c r="R2425" t="s">
        <v>31927</v>
      </c>
      <c r="S2425" t="s">
        <v>31928</v>
      </c>
      <c r="T2425" t="s">
        <v>31929</v>
      </c>
      <c r="U2425" t="s">
        <v>31930</v>
      </c>
      <c r="V2425">
        <f>-729.493532661686 -10.4675374648893 -94.4687477822902</f>
        <v>-834.42981790886552</v>
      </c>
      <c r="W2425" t="s">
        <v>31931</v>
      </c>
      <c r="X2425" t="s">
        <v>31932</v>
      </c>
      <c r="Y2425" t="s">
        <v>31933</v>
      </c>
    </row>
    <row r="2426" spans="1:25" x14ac:dyDescent="0.3">
      <c r="A2426">
        <v>121250</v>
      </c>
      <c r="B2426" t="s">
        <v>31934</v>
      </c>
      <c r="C2426" t="s">
        <v>31935</v>
      </c>
      <c r="D2426" t="s">
        <v>31936</v>
      </c>
      <c r="E2426" t="s">
        <v>31937</v>
      </c>
      <c r="F2426" t="s">
        <v>31938</v>
      </c>
      <c r="G2426" t="s">
        <v>31939</v>
      </c>
      <c r="H2426" t="s">
        <v>31940</v>
      </c>
      <c r="I2426" t="s">
        <v>31941</v>
      </c>
      <c r="J2426" t="s">
        <v>31942</v>
      </c>
      <c r="K2426" t="s">
        <v>31943</v>
      </c>
      <c r="L2426" t="s">
        <v>31944</v>
      </c>
      <c r="M2426" t="s">
        <v>31945</v>
      </c>
      <c r="N2426" t="s">
        <v>31946</v>
      </c>
      <c r="O2426">
        <f>-768.708033975847 -97.1938619309794 -522.679971842571</f>
        <v>-1388.5818677493976</v>
      </c>
      <c r="P2426">
        <f>-769.013434845549 -132.444533041911 -230.535346391064</f>
        <v>-1131.9933142785239</v>
      </c>
      <c r="Q2426" t="s">
        <v>31947</v>
      </c>
      <c r="R2426" t="s">
        <v>31948</v>
      </c>
      <c r="S2426" t="s">
        <v>31949</v>
      </c>
      <c r="T2426" t="s">
        <v>31950</v>
      </c>
      <c r="U2426" t="s">
        <v>31951</v>
      </c>
      <c r="V2426">
        <f>-729.539213790456 -10.6656712925108 -94.5160133058049</f>
        <v>-834.72089838877162</v>
      </c>
      <c r="W2426" t="s">
        <v>31952</v>
      </c>
      <c r="X2426" t="s">
        <v>31953</v>
      </c>
      <c r="Y2426" t="s">
        <v>31954</v>
      </c>
    </row>
    <row r="2427" spans="1:25" x14ac:dyDescent="0.3">
      <c r="A2427">
        <v>121300</v>
      </c>
      <c r="B2427" t="s">
        <v>31955</v>
      </c>
      <c r="C2427" t="s">
        <v>31956</v>
      </c>
      <c r="D2427" t="s">
        <v>31957</v>
      </c>
      <c r="E2427" t="s">
        <v>31958</v>
      </c>
      <c r="F2427" t="s">
        <v>31959</v>
      </c>
      <c r="G2427" t="s">
        <v>31960</v>
      </c>
      <c r="H2427" t="s">
        <v>31961</v>
      </c>
      <c r="I2427" t="s">
        <v>31962</v>
      </c>
      <c r="J2427" t="s">
        <v>31963</v>
      </c>
      <c r="K2427" t="s">
        <v>31964</v>
      </c>
      <c r="L2427" t="s">
        <v>31965</v>
      </c>
      <c r="M2427" t="s">
        <v>31966</v>
      </c>
      <c r="N2427" t="s">
        <v>31967</v>
      </c>
      <c r="O2427">
        <f>-769.043595414077 -97.5075908816216 -522.828953314964</f>
        <v>-1389.3801396106626</v>
      </c>
      <c r="P2427">
        <f>-768.790850457227 -132.6619442091 -230.672582373467</f>
        <v>-1132.1253770397941</v>
      </c>
      <c r="Q2427" t="s">
        <v>31968</v>
      </c>
      <c r="R2427" t="s">
        <v>31969</v>
      </c>
      <c r="S2427" t="s">
        <v>31970</v>
      </c>
      <c r="T2427" t="s">
        <v>31971</v>
      </c>
      <c r="U2427" t="s">
        <v>31972</v>
      </c>
      <c r="V2427">
        <f>-729.847516976662 -10.7242330227107 -94.5578759698238</f>
        <v>-835.12962596919647</v>
      </c>
      <c r="W2427" t="s">
        <v>31973</v>
      </c>
      <c r="X2427" t="s">
        <v>31974</v>
      </c>
      <c r="Y2427" t="s">
        <v>31975</v>
      </c>
    </row>
    <row r="2428" spans="1:25" x14ac:dyDescent="0.3">
      <c r="A2428">
        <v>121350</v>
      </c>
      <c r="B2428" t="s">
        <v>31976</v>
      </c>
      <c r="C2428" t="s">
        <v>31977</v>
      </c>
      <c r="D2428" t="s">
        <v>31978</v>
      </c>
      <c r="E2428" t="s">
        <v>31979</v>
      </c>
      <c r="F2428" t="s">
        <v>31980</v>
      </c>
      <c r="G2428" t="s">
        <v>31981</v>
      </c>
      <c r="H2428" t="s">
        <v>31982</v>
      </c>
      <c r="I2428" t="s">
        <v>31983</v>
      </c>
      <c r="J2428" t="s">
        <v>31984</v>
      </c>
      <c r="K2428" t="s">
        <v>31985</v>
      </c>
      <c r="L2428" t="s">
        <v>31986</v>
      </c>
      <c r="M2428" t="s">
        <v>31987</v>
      </c>
      <c r="N2428" t="s">
        <v>31988</v>
      </c>
      <c r="O2428">
        <f>-769.245915398526 -97.3903529959341 -522.870197179675</f>
        <v>-1389.5064655741351</v>
      </c>
      <c r="P2428">
        <f>-768.734663562738 -132.606613106414 -230.72171437179</f>
        <v>-1132.0629910409421</v>
      </c>
      <c r="Q2428" t="s">
        <v>31989</v>
      </c>
      <c r="R2428" t="s">
        <v>31990</v>
      </c>
      <c r="S2428" t="s">
        <v>31991</v>
      </c>
      <c r="T2428" t="s">
        <v>31992</v>
      </c>
      <c r="U2428" t="s">
        <v>31993</v>
      </c>
      <c r="V2428">
        <f>-730.033554486218 -10.5009169118423 -94.561164428145</f>
        <v>-835.09563582620535</v>
      </c>
      <c r="W2428" t="s">
        <v>31994</v>
      </c>
      <c r="X2428" t="s">
        <v>31995</v>
      </c>
      <c r="Y2428" t="s">
        <v>31996</v>
      </c>
    </row>
    <row r="2429" spans="1:25" x14ac:dyDescent="0.3">
      <c r="A2429">
        <v>121400</v>
      </c>
      <c r="B2429" t="s">
        <v>31997</v>
      </c>
      <c r="C2429" t="s">
        <v>31998</v>
      </c>
      <c r="D2429" t="s">
        <v>31999</v>
      </c>
      <c r="E2429" t="s">
        <v>32000</v>
      </c>
      <c r="F2429" t="s">
        <v>32001</v>
      </c>
      <c r="G2429" t="s">
        <v>32002</v>
      </c>
      <c r="H2429" t="s">
        <v>32003</v>
      </c>
      <c r="I2429" t="s">
        <v>32004</v>
      </c>
      <c r="J2429" t="s">
        <v>32005</v>
      </c>
      <c r="K2429" t="s">
        <v>32006</v>
      </c>
      <c r="L2429" t="s">
        <v>32007</v>
      </c>
      <c r="M2429" t="s">
        <v>32008</v>
      </c>
      <c r="N2429" t="s">
        <v>32009</v>
      </c>
      <c r="O2429">
        <f>-770.122877268485 -97.3745351124683 -522.918502592173</f>
        <v>-1390.4159149731263</v>
      </c>
      <c r="P2429">
        <f>-768.979854949002 -132.461558899726 -230.75615238441</f>
        <v>-1132.1975662331379</v>
      </c>
      <c r="Q2429" t="s">
        <v>32010</v>
      </c>
      <c r="R2429" t="s">
        <v>32011</v>
      </c>
      <c r="S2429" t="s">
        <v>32012</v>
      </c>
      <c r="T2429" t="s">
        <v>32013</v>
      </c>
      <c r="U2429" t="s">
        <v>32014</v>
      </c>
      <c r="V2429">
        <f>-730.816273977117 -10.5939818677703 -94.5655698002316</f>
        <v>-835.9758256451189</v>
      </c>
      <c r="W2429" t="s">
        <v>32015</v>
      </c>
      <c r="X2429" t="s">
        <v>32016</v>
      </c>
      <c r="Y2429" t="s">
        <v>32017</v>
      </c>
    </row>
    <row r="2430" spans="1:25" x14ac:dyDescent="0.3">
      <c r="A2430">
        <v>121450</v>
      </c>
      <c r="B2430" t="s">
        <v>32018</v>
      </c>
      <c r="C2430" t="s">
        <v>32019</v>
      </c>
      <c r="D2430" t="s">
        <v>32020</v>
      </c>
      <c r="E2430" t="s">
        <v>32021</v>
      </c>
      <c r="F2430" t="s">
        <v>32022</v>
      </c>
      <c r="G2430" t="s">
        <v>32023</v>
      </c>
      <c r="H2430" t="s">
        <v>32024</v>
      </c>
      <c r="I2430" t="s">
        <v>32025</v>
      </c>
      <c r="J2430" t="s">
        <v>32026</v>
      </c>
      <c r="K2430" t="s">
        <v>32027</v>
      </c>
      <c r="L2430" t="s">
        <v>32028</v>
      </c>
      <c r="M2430" t="s">
        <v>32029</v>
      </c>
      <c r="N2430" t="s">
        <v>32030</v>
      </c>
      <c r="O2430">
        <f>-770.662128111693 -97.3150318895864 -522.925548667411</f>
        <v>-1390.9027086686906</v>
      </c>
      <c r="P2430">
        <f>-769.081058617604 -132.392830399318 -230.764312746682</f>
        <v>-1132.2382017636039</v>
      </c>
      <c r="Q2430" t="s">
        <v>32031</v>
      </c>
      <c r="R2430" t="s">
        <v>32032</v>
      </c>
      <c r="S2430" t="s">
        <v>32033</v>
      </c>
      <c r="T2430" t="s">
        <v>32034</v>
      </c>
      <c r="U2430" t="s">
        <v>32035</v>
      </c>
      <c r="V2430">
        <f>-731.25365771754 -10.4453967981497 -94.5716911759038</f>
        <v>-836.27074569159345</v>
      </c>
      <c r="W2430" t="s">
        <v>32036</v>
      </c>
      <c r="X2430" t="s">
        <v>32037</v>
      </c>
      <c r="Y2430" t="s">
        <v>32038</v>
      </c>
    </row>
    <row r="2431" spans="1:25" x14ac:dyDescent="0.3">
      <c r="A2431">
        <v>121500</v>
      </c>
      <c r="B2431" t="s">
        <v>32039</v>
      </c>
      <c r="C2431" t="s">
        <v>32040</v>
      </c>
      <c r="D2431" t="s">
        <v>32041</v>
      </c>
      <c r="E2431" t="s">
        <v>32042</v>
      </c>
      <c r="F2431" t="s">
        <v>32043</v>
      </c>
      <c r="G2431" t="s">
        <v>32044</v>
      </c>
      <c r="H2431" t="s">
        <v>32045</v>
      </c>
      <c r="I2431" t="s">
        <v>32046</v>
      </c>
      <c r="J2431" t="s">
        <v>32047</v>
      </c>
      <c r="K2431" t="s">
        <v>32048</v>
      </c>
      <c r="L2431" t="s">
        <v>32049</v>
      </c>
      <c r="M2431" t="s">
        <v>32050</v>
      </c>
      <c r="N2431" t="s">
        <v>32051</v>
      </c>
      <c r="O2431">
        <f>-772.082723855547 -97.3561157591002 -522.9414953135</f>
        <v>-1392.3803349281472</v>
      </c>
      <c r="P2431">
        <f>-769.834766890768 -132.3691228914 -230.776675584988</f>
        <v>-1132.980565367156</v>
      </c>
      <c r="Q2431" t="s">
        <v>32052</v>
      </c>
      <c r="R2431" t="s">
        <v>32053</v>
      </c>
      <c r="S2431" t="s">
        <v>32054</v>
      </c>
      <c r="T2431" t="s">
        <v>32055</v>
      </c>
      <c r="U2431" t="s">
        <v>32056</v>
      </c>
      <c r="V2431">
        <f>-732.005672126361 -10.4947935926252 -94.5456131264324</f>
        <v>-837.04607884541861</v>
      </c>
      <c r="W2431" t="s">
        <v>32057</v>
      </c>
      <c r="X2431" t="s">
        <v>32058</v>
      </c>
      <c r="Y2431" t="s">
        <v>32059</v>
      </c>
    </row>
    <row r="2432" spans="1:25" x14ac:dyDescent="0.3">
      <c r="A2432">
        <v>121550</v>
      </c>
      <c r="B2432" t="s">
        <v>32060</v>
      </c>
      <c r="C2432" t="s">
        <v>32061</v>
      </c>
      <c r="D2432" t="s">
        <v>32062</v>
      </c>
      <c r="E2432" t="s">
        <v>32063</v>
      </c>
      <c r="F2432" t="s">
        <v>32064</v>
      </c>
      <c r="G2432" t="s">
        <v>32065</v>
      </c>
      <c r="H2432" t="s">
        <v>32066</v>
      </c>
      <c r="I2432" t="s">
        <v>32067</v>
      </c>
      <c r="J2432" t="s">
        <v>32068</v>
      </c>
      <c r="K2432" t="s">
        <v>32069</v>
      </c>
      <c r="L2432" t="s">
        <v>32070</v>
      </c>
      <c r="M2432" t="s">
        <v>32071</v>
      </c>
      <c r="N2432" t="s">
        <v>32072</v>
      </c>
      <c r="O2432">
        <f>-772.796056436223 -97.4599130239071 -522.953133755027</f>
        <v>-1393.209103215157</v>
      </c>
      <c r="P2432">
        <f>-770.287926689387 -132.422857262567 -230.784454239878</f>
        <v>-1133.495238191832</v>
      </c>
      <c r="Q2432" t="s">
        <v>32073</v>
      </c>
      <c r="R2432" t="s">
        <v>32074</v>
      </c>
      <c r="S2432" t="s">
        <v>32075</v>
      </c>
      <c r="T2432" t="s">
        <v>32076</v>
      </c>
      <c r="U2432" t="s">
        <v>32077</v>
      </c>
      <c r="V2432">
        <f>-732.323752135779 -10.5763813121164 -94.5066655708494</f>
        <v>-837.40679901874478</v>
      </c>
      <c r="W2432" t="s">
        <v>32078</v>
      </c>
      <c r="X2432" t="s">
        <v>32079</v>
      </c>
      <c r="Y2432" t="s">
        <v>32080</v>
      </c>
    </row>
    <row r="2433" spans="1:25" x14ac:dyDescent="0.3">
      <c r="A2433">
        <v>121600</v>
      </c>
      <c r="B2433" t="s">
        <v>32081</v>
      </c>
      <c r="C2433" t="s">
        <v>32082</v>
      </c>
      <c r="D2433" t="s">
        <v>32083</v>
      </c>
      <c r="E2433" t="s">
        <v>32084</v>
      </c>
      <c r="F2433" t="s">
        <v>32085</v>
      </c>
      <c r="G2433" t="s">
        <v>32086</v>
      </c>
      <c r="H2433" t="s">
        <v>32087</v>
      </c>
      <c r="I2433" t="s">
        <v>32088</v>
      </c>
      <c r="J2433" t="s">
        <v>32089</v>
      </c>
      <c r="K2433" t="s">
        <v>32090</v>
      </c>
      <c r="L2433" t="s">
        <v>32091</v>
      </c>
      <c r="M2433" t="s">
        <v>32092</v>
      </c>
      <c r="N2433" t="s">
        <v>32093</v>
      </c>
      <c r="O2433">
        <f>-774.076991004146 -97.6192632291304 -522.979137323157</f>
        <v>-1394.6753915564334</v>
      </c>
      <c r="P2433">
        <f>-770.927937029986 -132.628149226032 -230.822201619576</f>
        <v>-1134.378287875594</v>
      </c>
      <c r="Q2433" t="s">
        <v>32094</v>
      </c>
      <c r="R2433" t="s">
        <v>32095</v>
      </c>
      <c r="S2433" t="s">
        <v>32096</v>
      </c>
      <c r="T2433" t="s">
        <v>32097</v>
      </c>
      <c r="U2433" t="s">
        <v>32098</v>
      </c>
      <c r="V2433">
        <f>-732.899071093553 -10.6587055829768 -94.4482649786588</f>
        <v>-838.0060416551886</v>
      </c>
      <c r="W2433" t="s">
        <v>32099</v>
      </c>
      <c r="X2433" t="s">
        <v>32100</v>
      </c>
      <c r="Y2433" t="s">
        <v>32101</v>
      </c>
    </row>
    <row r="2434" spans="1:25" x14ac:dyDescent="0.3">
      <c r="A2434">
        <v>121650</v>
      </c>
      <c r="B2434" t="s">
        <v>32102</v>
      </c>
      <c r="C2434" t="s">
        <v>32103</v>
      </c>
      <c r="D2434" t="s">
        <v>32104</v>
      </c>
      <c r="E2434" t="s">
        <v>32105</v>
      </c>
      <c r="F2434" t="s">
        <v>32106</v>
      </c>
      <c r="G2434" t="s">
        <v>32107</v>
      </c>
      <c r="H2434" t="s">
        <v>32108</v>
      </c>
      <c r="I2434" t="s">
        <v>32109</v>
      </c>
      <c r="J2434" t="s">
        <v>32110</v>
      </c>
      <c r="K2434" t="s">
        <v>32111</v>
      </c>
      <c r="L2434" t="s">
        <v>32112</v>
      </c>
      <c r="M2434" t="s">
        <v>32113</v>
      </c>
      <c r="N2434" t="s">
        <v>32114</v>
      </c>
      <c r="O2434">
        <f>-774.791875840987 -97.7658875733525 -522.965361970865</f>
        <v>-1395.5231253852046</v>
      </c>
      <c r="P2434">
        <f>-771.25193024581 -132.843119955314 -230.821149590608</f>
        <v>-1134.916199791732</v>
      </c>
      <c r="Q2434" t="s">
        <v>32115</v>
      </c>
      <c r="R2434" t="s">
        <v>32116</v>
      </c>
      <c r="S2434" t="s">
        <v>32117</v>
      </c>
      <c r="T2434" t="s">
        <v>32118</v>
      </c>
      <c r="U2434" t="s">
        <v>32119</v>
      </c>
      <c r="V2434">
        <f>-733.248009953614 -10.7508355290231 -94.4231933335961</f>
        <v>-838.42203881623323</v>
      </c>
      <c r="W2434" t="s">
        <v>32120</v>
      </c>
      <c r="X2434" t="s">
        <v>32121</v>
      </c>
      <c r="Y2434" t="s">
        <v>32122</v>
      </c>
    </row>
    <row r="2435" spans="1:25" x14ac:dyDescent="0.3">
      <c r="A2435">
        <v>121700</v>
      </c>
      <c r="B2435" t="s">
        <v>32123</v>
      </c>
      <c r="C2435" t="s">
        <v>32124</v>
      </c>
      <c r="D2435" t="s">
        <v>32125</v>
      </c>
      <c r="E2435" t="s">
        <v>32126</v>
      </c>
      <c r="F2435" t="s">
        <v>32127</v>
      </c>
      <c r="G2435" t="s">
        <v>32128</v>
      </c>
      <c r="H2435" t="s">
        <v>32129</v>
      </c>
      <c r="I2435" t="s">
        <v>32130</v>
      </c>
      <c r="J2435" t="s">
        <v>32131</v>
      </c>
      <c r="K2435" t="s">
        <v>32132</v>
      </c>
      <c r="L2435" t="s">
        <v>32133</v>
      </c>
      <c r="M2435" t="s">
        <v>32134</v>
      </c>
      <c r="N2435" t="s">
        <v>32135</v>
      </c>
      <c r="O2435">
        <f>-776.373579077162 -98.184289182255 -522.916251506771</f>
        <v>-1397.4741197661881</v>
      </c>
      <c r="P2435">
        <f>-771.989785986713 -133.214894222547 -230.777860751333</f>
        <v>-1135.982540960593</v>
      </c>
      <c r="Q2435" t="s">
        <v>32136</v>
      </c>
      <c r="R2435" t="s">
        <v>32137</v>
      </c>
      <c r="S2435" t="s">
        <v>32138</v>
      </c>
      <c r="T2435" t="s">
        <v>32139</v>
      </c>
      <c r="U2435" t="s">
        <v>32140</v>
      </c>
      <c r="V2435">
        <f>-733.781688978492 -10.9754645361072 -94.3621017749095</f>
        <v>-839.11925528950871</v>
      </c>
      <c r="W2435" t="s">
        <v>32141</v>
      </c>
      <c r="X2435" t="s">
        <v>32142</v>
      </c>
      <c r="Y2435" t="s">
        <v>32143</v>
      </c>
    </row>
    <row r="2436" spans="1:25" x14ac:dyDescent="0.3">
      <c r="A2436">
        <v>121750</v>
      </c>
      <c r="B2436" t="s">
        <v>32144</v>
      </c>
      <c r="C2436" t="s">
        <v>32145</v>
      </c>
      <c r="D2436" t="s">
        <v>32146</v>
      </c>
      <c r="E2436" t="s">
        <v>32147</v>
      </c>
      <c r="F2436" t="s">
        <v>32148</v>
      </c>
      <c r="G2436" t="s">
        <v>32149</v>
      </c>
      <c r="H2436" t="s">
        <v>32150</v>
      </c>
      <c r="I2436" t="s">
        <v>32151</v>
      </c>
      <c r="J2436" t="s">
        <v>32152</v>
      </c>
      <c r="K2436" t="s">
        <v>32153</v>
      </c>
      <c r="L2436" t="s">
        <v>32154</v>
      </c>
      <c r="M2436" t="s">
        <v>32155</v>
      </c>
      <c r="N2436" t="s">
        <v>32156</v>
      </c>
      <c r="O2436">
        <f>-777.142246603757 -98.4908490818768 -522.872378423492</f>
        <v>-1398.5054741091258</v>
      </c>
      <c r="P2436">
        <f>-772.313455969575 -133.486710501104 -230.736823045407</f>
        <v>-1136.5369895160859</v>
      </c>
      <c r="Q2436" t="s">
        <v>32157</v>
      </c>
      <c r="R2436" t="s">
        <v>32158</v>
      </c>
      <c r="S2436" t="s">
        <v>32159</v>
      </c>
      <c r="T2436" t="s">
        <v>32160</v>
      </c>
      <c r="U2436" t="s">
        <v>32161</v>
      </c>
      <c r="V2436">
        <f>-733.947085337334 -11.2397993330894 -94.331969880571</f>
        <v>-839.51885455099443</v>
      </c>
      <c r="W2436" t="s">
        <v>32162</v>
      </c>
      <c r="X2436" t="s">
        <v>32163</v>
      </c>
      <c r="Y2436" t="s">
        <v>32164</v>
      </c>
    </row>
    <row r="2437" spans="1:25" x14ac:dyDescent="0.3">
      <c r="A2437">
        <v>121800</v>
      </c>
      <c r="B2437" t="s">
        <v>32165</v>
      </c>
      <c r="C2437" t="s">
        <v>32166</v>
      </c>
      <c r="D2437" t="s">
        <v>32167</v>
      </c>
      <c r="E2437" t="s">
        <v>32168</v>
      </c>
      <c r="F2437" t="s">
        <v>32169</v>
      </c>
      <c r="G2437" t="s">
        <v>32170</v>
      </c>
      <c r="H2437" t="s">
        <v>32171</v>
      </c>
      <c r="I2437" t="s">
        <v>32172</v>
      </c>
      <c r="J2437" t="s">
        <v>32173</v>
      </c>
      <c r="K2437" t="s">
        <v>32174</v>
      </c>
      <c r="L2437" t="s">
        <v>32175</v>
      </c>
      <c r="M2437" t="s">
        <v>32176</v>
      </c>
      <c r="N2437" t="s">
        <v>32177</v>
      </c>
      <c r="O2437">
        <f>-778.501546407135 -99.0601042798373 -522.841163088761</f>
        <v>-1400.4028137757334</v>
      </c>
      <c r="P2437">
        <f>-773.152006674098 -133.984338870612 -230.706125740038</f>
        <v>-1137.8424712847479</v>
      </c>
      <c r="Q2437" t="s">
        <v>32178</v>
      </c>
      <c r="R2437" t="s">
        <v>32179</v>
      </c>
      <c r="S2437" t="s">
        <v>32180</v>
      </c>
      <c r="T2437" t="s">
        <v>32181</v>
      </c>
      <c r="U2437" t="s">
        <v>32182</v>
      </c>
      <c r="V2437">
        <f>-734.461283344952 -11.5633075075266 -94.2695728123234</f>
        <v>-840.294163664802</v>
      </c>
      <c r="W2437" t="s">
        <v>32183</v>
      </c>
      <c r="X2437" t="s">
        <v>32184</v>
      </c>
      <c r="Y2437" t="s">
        <v>32185</v>
      </c>
    </row>
    <row r="2438" spans="1:25" x14ac:dyDescent="0.3">
      <c r="A2438">
        <v>121850</v>
      </c>
      <c r="B2438" t="s">
        <v>32186</v>
      </c>
      <c r="C2438" t="s">
        <v>32187</v>
      </c>
      <c r="D2438" t="s">
        <v>32188</v>
      </c>
      <c r="E2438" t="s">
        <v>32189</v>
      </c>
      <c r="F2438" t="s">
        <v>32190</v>
      </c>
      <c r="G2438" t="s">
        <v>32191</v>
      </c>
      <c r="H2438" t="s">
        <v>32192</v>
      </c>
      <c r="I2438" t="s">
        <v>32193</v>
      </c>
      <c r="J2438" t="s">
        <v>32194</v>
      </c>
      <c r="K2438" t="s">
        <v>32195</v>
      </c>
      <c r="L2438" t="s">
        <v>32196</v>
      </c>
      <c r="M2438" t="s">
        <v>32197</v>
      </c>
      <c r="N2438" t="s">
        <v>32198</v>
      </c>
      <c r="O2438">
        <f>-779.14155749559 -99.2316123078213 -522.829396545255</f>
        <v>-1401.2025663486661</v>
      </c>
      <c r="P2438">
        <f>-773.483346551278 -134.217667420823 -230.707667736881</f>
        <v>-1138.4086817089819</v>
      </c>
      <c r="Q2438" t="s">
        <v>32199</v>
      </c>
      <c r="R2438" t="s">
        <v>32200</v>
      </c>
      <c r="S2438" t="s">
        <v>32201</v>
      </c>
      <c r="T2438" t="s">
        <v>32202</v>
      </c>
      <c r="U2438" t="s">
        <v>32203</v>
      </c>
      <c r="V2438">
        <f>-734.661832098202 -11.5458663110937 -94.2698330646206</f>
        <v>-840.47753147391632</v>
      </c>
      <c r="W2438" t="s">
        <v>32204</v>
      </c>
      <c r="X2438" t="s">
        <v>32205</v>
      </c>
      <c r="Y2438" t="s">
        <v>32206</v>
      </c>
    </row>
    <row r="2439" spans="1:25" x14ac:dyDescent="0.3">
      <c r="A2439">
        <v>121900</v>
      </c>
      <c r="B2439" t="s">
        <v>32207</v>
      </c>
      <c r="C2439" t="s">
        <v>32208</v>
      </c>
      <c r="D2439" t="s">
        <v>32209</v>
      </c>
      <c r="E2439" t="s">
        <v>32210</v>
      </c>
      <c r="F2439" t="s">
        <v>32211</v>
      </c>
      <c r="G2439" t="s">
        <v>32212</v>
      </c>
      <c r="H2439" t="s">
        <v>32213</v>
      </c>
      <c r="I2439" t="s">
        <v>32214</v>
      </c>
      <c r="J2439" t="s">
        <v>32215</v>
      </c>
      <c r="K2439" t="s">
        <v>32216</v>
      </c>
      <c r="L2439" t="s">
        <v>32217</v>
      </c>
      <c r="M2439" t="s">
        <v>32218</v>
      </c>
      <c r="N2439" t="s">
        <v>32219</v>
      </c>
      <c r="O2439">
        <f>-780.368334211501 -99.2988678917784 -522.817143893787</f>
        <v>-1402.4843459970664</v>
      </c>
      <c r="P2439">
        <f>-774.402382729135 -134.159599363697 -230.686502033903</f>
        <v>-1139.2484841267349</v>
      </c>
      <c r="Q2439" t="s">
        <v>32220</v>
      </c>
      <c r="R2439" t="s">
        <v>32221</v>
      </c>
      <c r="S2439" t="s">
        <v>32222</v>
      </c>
      <c r="T2439" t="s">
        <v>32223</v>
      </c>
      <c r="U2439" t="s">
        <v>32224</v>
      </c>
      <c r="V2439">
        <f>-735.318300359755 -11.4898668590929 -94.2351270314699</f>
        <v>-841.04329425031779</v>
      </c>
      <c r="W2439" t="s">
        <v>32225</v>
      </c>
      <c r="X2439" t="s">
        <v>32226</v>
      </c>
      <c r="Y2439" t="s">
        <v>32227</v>
      </c>
    </row>
    <row r="2440" spans="1:25" x14ac:dyDescent="0.3">
      <c r="A2440">
        <v>121950</v>
      </c>
      <c r="B2440" t="s">
        <v>32228</v>
      </c>
      <c r="C2440" t="s">
        <v>32229</v>
      </c>
      <c r="D2440" t="s">
        <v>32230</v>
      </c>
      <c r="E2440" t="s">
        <v>32231</v>
      </c>
      <c r="F2440" t="s">
        <v>32232</v>
      </c>
      <c r="G2440" t="s">
        <v>32233</v>
      </c>
      <c r="H2440" t="s">
        <v>32234</v>
      </c>
      <c r="I2440" t="s">
        <v>32235</v>
      </c>
      <c r="J2440" t="s">
        <v>32236</v>
      </c>
      <c r="K2440" t="s">
        <v>32237</v>
      </c>
      <c r="L2440" t="s">
        <v>32238</v>
      </c>
      <c r="M2440" t="s">
        <v>32239</v>
      </c>
      <c r="N2440" t="s">
        <v>32240</v>
      </c>
      <c r="O2440">
        <f>-780.922065339272 -99.1546220380876 -522.839070492916</f>
        <v>-1402.9157578702757</v>
      </c>
      <c r="P2440">
        <f>-774.908465033736 -134.056879725974 -230.714333644329</f>
        <v>-1139.6796784040389</v>
      </c>
      <c r="Q2440" t="s">
        <v>32241</v>
      </c>
      <c r="R2440" t="s">
        <v>32242</v>
      </c>
      <c r="S2440" t="s">
        <v>32243</v>
      </c>
      <c r="T2440" t="s">
        <v>32244</v>
      </c>
      <c r="U2440" t="s">
        <v>32245</v>
      </c>
      <c r="V2440">
        <f>-735.707305658569 -11.3006387211644 -94.2203500931498</f>
        <v>-841.22829447288325</v>
      </c>
      <c r="W2440" t="s">
        <v>32246</v>
      </c>
      <c r="X2440" t="s">
        <v>32247</v>
      </c>
      <c r="Y2440" t="s">
        <v>32248</v>
      </c>
    </row>
    <row r="2441" spans="1:25" x14ac:dyDescent="0.3">
      <c r="A2441">
        <v>122000</v>
      </c>
      <c r="B2441" t="s">
        <v>32249</v>
      </c>
      <c r="C2441" t="s">
        <v>32250</v>
      </c>
      <c r="D2441" t="s">
        <v>32251</v>
      </c>
      <c r="E2441" t="s">
        <v>32252</v>
      </c>
      <c r="F2441" t="s">
        <v>32253</v>
      </c>
      <c r="G2441" t="s">
        <v>32254</v>
      </c>
      <c r="H2441" t="s">
        <v>32255</v>
      </c>
      <c r="I2441" t="s">
        <v>32256</v>
      </c>
      <c r="J2441" t="s">
        <v>32257</v>
      </c>
      <c r="K2441" t="s">
        <v>32258</v>
      </c>
      <c r="L2441" t="s">
        <v>32259</v>
      </c>
      <c r="M2441" t="s">
        <v>32260</v>
      </c>
      <c r="N2441" t="s">
        <v>32261</v>
      </c>
      <c r="O2441">
        <f>-782.093401311346 -99.0485308587722 -522.889312369775</f>
        <v>-1404.0312445398931</v>
      </c>
      <c r="P2441">
        <f>-775.944848379749 -133.984542745815 -230.771399433885</f>
        <v>-1140.7007905594492</v>
      </c>
      <c r="Q2441" t="s">
        <v>32262</v>
      </c>
      <c r="R2441" t="s">
        <v>32263</v>
      </c>
      <c r="S2441" t="s">
        <v>32264</v>
      </c>
      <c r="T2441" t="s">
        <v>32265</v>
      </c>
      <c r="U2441" t="s">
        <v>32266</v>
      </c>
      <c r="V2441">
        <f>-736.540797145444 -11.4162304630202 -94.1944519518584</f>
        <v>-842.15147956032251</v>
      </c>
      <c r="W2441" t="s">
        <v>32267</v>
      </c>
      <c r="X2441" t="s">
        <v>32268</v>
      </c>
      <c r="Y2441" t="s">
        <v>32269</v>
      </c>
    </row>
    <row r="2442" spans="1:25" x14ac:dyDescent="0.3">
      <c r="A2442">
        <v>122050</v>
      </c>
      <c r="B2442" t="s">
        <v>32270</v>
      </c>
      <c r="C2442" t="s">
        <v>32271</v>
      </c>
      <c r="D2442" t="s">
        <v>32272</v>
      </c>
      <c r="E2442" t="s">
        <v>32273</v>
      </c>
      <c r="F2442" t="s">
        <v>32274</v>
      </c>
      <c r="G2442" t="s">
        <v>32275</v>
      </c>
      <c r="H2442" t="s">
        <v>32276</v>
      </c>
      <c r="I2442" t="s">
        <v>32277</v>
      </c>
      <c r="J2442" t="s">
        <v>32278</v>
      </c>
      <c r="K2442" t="s">
        <v>32279</v>
      </c>
      <c r="L2442" t="s">
        <v>32280</v>
      </c>
      <c r="M2442" t="s">
        <v>32281</v>
      </c>
      <c r="N2442" t="s">
        <v>32282</v>
      </c>
      <c r="O2442">
        <f>-782.521094704097 -98.971136569802 -522.926717886193</f>
        <v>-1404.4189491600919</v>
      </c>
      <c r="P2442">
        <f>-776.369234428111 -133.910686234943 -230.809322876783</f>
        <v>-1141.0892435398371</v>
      </c>
      <c r="Q2442" t="s">
        <v>32283</v>
      </c>
      <c r="R2442" t="s">
        <v>32284</v>
      </c>
      <c r="S2442" t="s">
        <v>32285</v>
      </c>
      <c r="T2442" t="s">
        <v>32286</v>
      </c>
      <c r="U2442" t="s">
        <v>32287</v>
      </c>
      <c r="V2442">
        <f>-736.855062768829 -11.3806791591171 -94.1882484146254</f>
        <v>-842.42399034257153</v>
      </c>
      <c r="W2442" t="s">
        <v>32288</v>
      </c>
      <c r="X2442" t="s">
        <v>32289</v>
      </c>
      <c r="Y2442" t="s">
        <v>32290</v>
      </c>
    </row>
    <row r="2443" spans="1:25" x14ac:dyDescent="0.3">
      <c r="A2443">
        <v>122100</v>
      </c>
      <c r="B2443" t="s">
        <v>32291</v>
      </c>
      <c r="C2443" t="s">
        <v>32292</v>
      </c>
      <c r="D2443" t="s">
        <v>32293</v>
      </c>
      <c r="E2443" t="s">
        <v>32294</v>
      </c>
      <c r="F2443" t="s">
        <v>32295</v>
      </c>
      <c r="G2443" t="s">
        <v>32296</v>
      </c>
      <c r="H2443" t="s">
        <v>32297</v>
      </c>
      <c r="I2443" t="s">
        <v>32298</v>
      </c>
      <c r="J2443" t="s">
        <v>32299</v>
      </c>
      <c r="K2443" t="s">
        <v>32300</v>
      </c>
      <c r="L2443" t="s">
        <v>32301</v>
      </c>
      <c r="M2443" t="s">
        <v>32302</v>
      </c>
      <c r="N2443" t="s">
        <v>32303</v>
      </c>
      <c r="O2443">
        <f>-783.361214397962 -98.7455671983319 -523.009410637733</f>
        <v>-1405.116192234027</v>
      </c>
      <c r="P2443">
        <f>-777.16622851579 -133.879253802026 -230.91615181248</f>
        <v>-1141.961634130296</v>
      </c>
      <c r="Q2443" t="s">
        <v>32304</v>
      </c>
      <c r="R2443" t="s">
        <v>32305</v>
      </c>
      <c r="S2443" t="s">
        <v>32306</v>
      </c>
      <c r="T2443" t="s">
        <v>32307</v>
      </c>
      <c r="U2443" t="s">
        <v>32308</v>
      </c>
      <c r="V2443">
        <f>-737.584840496651 -11.3060458571333 -94.1367739212766</f>
        <v>-843.02766027506095</v>
      </c>
      <c r="W2443" t="s">
        <v>32309</v>
      </c>
      <c r="X2443" t="s">
        <v>32310</v>
      </c>
      <c r="Y2443" t="s">
        <v>32311</v>
      </c>
    </row>
    <row r="2444" spans="1:25" x14ac:dyDescent="0.3">
      <c r="A2444">
        <v>122150</v>
      </c>
      <c r="B2444" t="s">
        <v>32312</v>
      </c>
      <c r="C2444" t="s">
        <v>32313</v>
      </c>
      <c r="D2444" t="s">
        <v>32314</v>
      </c>
      <c r="E2444" t="s">
        <v>32315</v>
      </c>
      <c r="F2444" t="s">
        <v>32316</v>
      </c>
      <c r="G2444" t="s">
        <v>32317</v>
      </c>
      <c r="H2444" t="s">
        <v>32318</v>
      </c>
      <c r="I2444" t="s">
        <v>32319</v>
      </c>
      <c r="J2444" t="s">
        <v>32320</v>
      </c>
      <c r="K2444" t="s">
        <v>32321</v>
      </c>
      <c r="L2444" t="s">
        <v>32322</v>
      </c>
      <c r="M2444" t="s">
        <v>32323</v>
      </c>
      <c r="N2444" t="s">
        <v>32324</v>
      </c>
      <c r="O2444">
        <f>-783.769592452543 -98.6331285259357 -523.045292061714</f>
        <v>-1405.4480130401926</v>
      </c>
      <c r="P2444">
        <f>-777.46545319399 -133.804362370613 -230.958962693316</f>
        <v>-1142.228778257919</v>
      </c>
      <c r="Q2444" t="s">
        <v>32325</v>
      </c>
      <c r="R2444" t="s">
        <v>32326</v>
      </c>
      <c r="S2444" t="s">
        <v>32327</v>
      </c>
      <c r="T2444" t="s">
        <v>32328</v>
      </c>
      <c r="U2444" t="s">
        <v>32329</v>
      </c>
      <c r="V2444">
        <f>-737.931519931871 -11.2676137436654 -94.1132579978675</f>
        <v>-843.31239167340391</v>
      </c>
      <c r="W2444" t="s">
        <v>32330</v>
      </c>
      <c r="X2444" t="s">
        <v>32331</v>
      </c>
      <c r="Y2444" t="s">
        <v>32332</v>
      </c>
    </row>
    <row r="2445" spans="1:25" x14ac:dyDescent="0.3">
      <c r="A2445">
        <v>122200</v>
      </c>
      <c r="B2445" t="s">
        <v>32333</v>
      </c>
      <c r="C2445" t="s">
        <v>32334</v>
      </c>
      <c r="D2445" t="s">
        <v>32335</v>
      </c>
      <c r="E2445" t="s">
        <v>32336</v>
      </c>
      <c r="F2445" t="s">
        <v>32337</v>
      </c>
      <c r="G2445" t="s">
        <v>32338</v>
      </c>
      <c r="H2445" t="s">
        <v>32339</v>
      </c>
      <c r="I2445" t="s">
        <v>32340</v>
      </c>
      <c r="J2445" t="s">
        <v>32341</v>
      </c>
      <c r="K2445" t="s">
        <v>32342</v>
      </c>
      <c r="L2445" t="s">
        <v>32343</v>
      </c>
      <c r="M2445" t="s">
        <v>32344</v>
      </c>
      <c r="N2445" t="s">
        <v>32345</v>
      </c>
      <c r="O2445">
        <f>-784.310768979517 -98.3694185674417 -523.095132145081</f>
        <v>-1405.7753196920398</v>
      </c>
      <c r="P2445">
        <f>-777.761049098841 -133.571097719192 -231.017740365835</f>
        <v>-1142.3498871838681</v>
      </c>
      <c r="Q2445" t="s">
        <v>32346</v>
      </c>
      <c r="R2445" t="s">
        <v>32347</v>
      </c>
      <c r="S2445" t="s">
        <v>32348</v>
      </c>
      <c r="T2445" t="s">
        <v>32349</v>
      </c>
      <c r="U2445" t="s">
        <v>32350</v>
      </c>
      <c r="V2445">
        <f>-738.509546738809 -10.8657266058408 -94.0810008324213</f>
        <v>-843.45627417707112</v>
      </c>
      <c r="W2445" t="s">
        <v>32351</v>
      </c>
      <c r="X2445" t="s">
        <v>32352</v>
      </c>
      <c r="Y2445" t="s">
        <v>32353</v>
      </c>
    </row>
    <row r="2446" spans="1:25" x14ac:dyDescent="0.3">
      <c r="A2446">
        <v>122250</v>
      </c>
      <c r="B2446" t="s">
        <v>32354</v>
      </c>
      <c r="C2446" t="s">
        <v>32355</v>
      </c>
      <c r="D2446" t="s">
        <v>32356</v>
      </c>
      <c r="E2446" t="s">
        <v>32357</v>
      </c>
      <c r="F2446" t="s">
        <v>32358</v>
      </c>
      <c r="G2446" t="s">
        <v>32359</v>
      </c>
      <c r="H2446" t="s">
        <v>32360</v>
      </c>
      <c r="I2446" t="s">
        <v>32361</v>
      </c>
      <c r="J2446" t="s">
        <v>32362</v>
      </c>
      <c r="K2446" t="s">
        <v>32363</v>
      </c>
      <c r="L2446" t="s">
        <v>32364</v>
      </c>
      <c r="M2446" t="s">
        <v>32365</v>
      </c>
      <c r="N2446" t="s">
        <v>32366</v>
      </c>
      <c r="O2446">
        <f>-784.517237587885 -98.2891196831688 -523.107227617494</f>
        <v>-1405.9135848885478</v>
      </c>
      <c r="P2446">
        <f>-777.859305204374 -133.48712242657 -231.031874083264</f>
        <v>-1142.378301714208</v>
      </c>
      <c r="Q2446" t="s">
        <v>32367</v>
      </c>
      <c r="R2446" t="s">
        <v>32368</v>
      </c>
      <c r="S2446" t="s">
        <v>32369</v>
      </c>
      <c r="T2446" t="s">
        <v>32370</v>
      </c>
      <c r="U2446" t="s">
        <v>32371</v>
      </c>
      <c r="V2446">
        <f>-738.795240140304 -10.8222733279804 -94.0626097471819</f>
        <v>-843.68012321546632</v>
      </c>
      <c r="W2446" t="s">
        <v>32372</v>
      </c>
      <c r="X2446" t="s">
        <v>32373</v>
      </c>
      <c r="Y2446" t="s">
        <v>32374</v>
      </c>
    </row>
    <row r="2447" spans="1:25" x14ac:dyDescent="0.3">
      <c r="A2447">
        <v>122300</v>
      </c>
      <c r="B2447" t="s">
        <v>32375</v>
      </c>
      <c r="C2447" t="s">
        <v>32376</v>
      </c>
      <c r="D2447" t="s">
        <v>32377</v>
      </c>
      <c r="E2447" t="s">
        <v>32378</v>
      </c>
      <c r="F2447" t="s">
        <v>32379</v>
      </c>
      <c r="G2447" t="s">
        <v>32380</v>
      </c>
      <c r="H2447" t="s">
        <v>32381</v>
      </c>
      <c r="I2447" t="s">
        <v>32382</v>
      </c>
      <c r="J2447" t="s">
        <v>32383</v>
      </c>
      <c r="K2447" t="s">
        <v>32384</v>
      </c>
      <c r="L2447" t="s">
        <v>32385</v>
      </c>
      <c r="M2447" t="s">
        <v>32386</v>
      </c>
      <c r="N2447" t="s">
        <v>32387</v>
      </c>
      <c r="O2447">
        <f>-784.659533367753 -98.0387287403166 -523.095539023868</f>
        <v>-1405.7938011319377</v>
      </c>
      <c r="P2447">
        <f>-777.94359420511 -133.278823949251 -231.026682972514</f>
        <v>-1142.2491011268751</v>
      </c>
      <c r="Q2447" t="s">
        <v>32388</v>
      </c>
      <c r="R2447" t="s">
        <v>32389</v>
      </c>
      <c r="S2447" t="s">
        <v>32390</v>
      </c>
      <c r="T2447" t="s">
        <v>32391</v>
      </c>
      <c r="U2447" t="s">
        <v>32392</v>
      </c>
      <c r="V2447">
        <f>-739.320664720705 -10.5861764926542 -93.9985754863735</f>
        <v>-843.90541669973277</v>
      </c>
      <c r="W2447" t="s">
        <v>32393</v>
      </c>
      <c r="X2447" t="s">
        <v>32394</v>
      </c>
      <c r="Y2447" t="s">
        <v>32395</v>
      </c>
    </row>
    <row r="2448" spans="1:25" x14ac:dyDescent="0.3">
      <c r="A2448">
        <v>122350</v>
      </c>
      <c r="B2448" t="s">
        <v>32396</v>
      </c>
      <c r="C2448" t="s">
        <v>32397</v>
      </c>
      <c r="D2448" t="s">
        <v>32398</v>
      </c>
      <c r="E2448" t="s">
        <v>32399</v>
      </c>
      <c r="F2448" t="s">
        <v>32400</v>
      </c>
      <c r="G2448" t="s">
        <v>32401</v>
      </c>
      <c r="H2448" t="s">
        <v>32402</v>
      </c>
      <c r="I2448" t="s">
        <v>32403</v>
      </c>
      <c r="J2448" t="s">
        <v>32404</v>
      </c>
      <c r="K2448" t="s">
        <v>32405</v>
      </c>
      <c r="L2448" t="s">
        <v>32406</v>
      </c>
      <c r="M2448" t="s">
        <v>32407</v>
      </c>
      <c r="N2448" t="s">
        <v>32408</v>
      </c>
      <c r="O2448">
        <f>-784.610808491685 -97.9333008920798 -523.069636572005</f>
        <v>-1405.6137459557699</v>
      </c>
      <c r="P2448">
        <f>-777.934317061835 -133.161264826898 -230.998354277479</f>
        <v>-1142.093936166212</v>
      </c>
      <c r="Q2448" t="s">
        <v>32409</v>
      </c>
      <c r="R2448" t="s">
        <v>32410</v>
      </c>
      <c r="S2448" t="s">
        <v>32411</v>
      </c>
      <c r="T2448" t="s">
        <v>32412</v>
      </c>
      <c r="U2448" t="s">
        <v>32413</v>
      </c>
      <c r="V2448">
        <f>-739.546418463857 -10.4928085312918 -93.9724399740977</f>
        <v>-844.01166696924645</v>
      </c>
      <c r="W2448" t="s">
        <v>32414</v>
      </c>
      <c r="X2448" t="s">
        <v>32415</v>
      </c>
      <c r="Y2448" t="s">
        <v>32416</v>
      </c>
    </row>
    <row r="2449" spans="1:25" x14ac:dyDescent="0.3">
      <c r="A2449">
        <v>122400</v>
      </c>
      <c r="B2449" t="s">
        <v>32417</v>
      </c>
      <c r="C2449" t="s">
        <v>32418</v>
      </c>
      <c r="D2449" t="s">
        <v>32419</v>
      </c>
      <c r="E2449" t="s">
        <v>32420</v>
      </c>
      <c r="F2449" t="s">
        <v>32421</v>
      </c>
      <c r="G2449" t="s">
        <v>32422</v>
      </c>
      <c r="H2449" t="s">
        <v>32423</v>
      </c>
      <c r="I2449" t="s">
        <v>32424</v>
      </c>
      <c r="J2449" t="s">
        <v>32425</v>
      </c>
      <c r="K2449" t="s">
        <v>32426</v>
      </c>
      <c r="L2449" t="s">
        <v>32427</v>
      </c>
      <c r="M2449" t="s">
        <v>32428</v>
      </c>
      <c r="N2449" t="s">
        <v>32429</v>
      </c>
      <c r="O2449">
        <f>-784.41406789505 -97.5995567456646 -523.050570063977</f>
        <v>-1405.0641947046915</v>
      </c>
      <c r="P2449">
        <f>-777.761946692291 -132.797958394854 -230.97524809683</f>
        <v>-1141.5351531839749</v>
      </c>
      <c r="Q2449" t="s">
        <v>32430</v>
      </c>
      <c r="R2449" t="s">
        <v>32431</v>
      </c>
      <c r="S2449" t="s">
        <v>32432</v>
      </c>
      <c r="T2449" t="s">
        <v>32433</v>
      </c>
      <c r="U2449" t="s">
        <v>32434</v>
      </c>
      <c r="V2449">
        <f>-739.900852051882 -10.1142471533301 -93.9490757224912</f>
        <v>-843.96417492770331</v>
      </c>
      <c r="W2449" t="s">
        <v>32435</v>
      </c>
      <c r="X2449" t="s">
        <v>32436</v>
      </c>
      <c r="Y2449" t="s">
        <v>32437</v>
      </c>
    </row>
    <row r="2450" spans="1:25" x14ac:dyDescent="0.3">
      <c r="A2450">
        <v>122450</v>
      </c>
      <c r="B2450" t="s">
        <v>32438</v>
      </c>
      <c r="C2450" t="s">
        <v>32439</v>
      </c>
      <c r="D2450" t="s">
        <v>32440</v>
      </c>
      <c r="E2450" t="s">
        <v>32441</v>
      </c>
      <c r="F2450" t="s">
        <v>32442</v>
      </c>
      <c r="G2450" t="s">
        <v>32443</v>
      </c>
      <c r="H2450" t="s">
        <v>32444</v>
      </c>
      <c r="I2450" t="s">
        <v>32445</v>
      </c>
      <c r="J2450" t="s">
        <v>32446</v>
      </c>
      <c r="K2450" t="s">
        <v>32447</v>
      </c>
      <c r="L2450" t="s">
        <v>32448</v>
      </c>
      <c r="M2450" t="s">
        <v>32449</v>
      </c>
      <c r="N2450" t="s">
        <v>32450</v>
      </c>
      <c r="O2450">
        <f>-784.351457598763 -97.4776096281173 -523.038018553153</f>
        <v>-1404.8670857800334</v>
      </c>
      <c r="P2450">
        <f>-777.653006690316 -132.646103864993 -230.960036139208</f>
        <v>-1141.2591466945169</v>
      </c>
      <c r="Q2450" t="s">
        <v>32451</v>
      </c>
      <c r="R2450" t="s">
        <v>32452</v>
      </c>
      <c r="S2450" t="s">
        <v>32453</v>
      </c>
      <c r="T2450" t="s">
        <v>32454</v>
      </c>
      <c r="U2450" t="s">
        <v>32455</v>
      </c>
      <c r="V2450">
        <f>-740.116802779889 -9.96458091009072 -93.9329043453887</f>
        <v>-844.01428803536839</v>
      </c>
      <c r="W2450" t="s">
        <v>32456</v>
      </c>
      <c r="X2450" t="s">
        <v>32457</v>
      </c>
      <c r="Y2450" t="s">
        <v>32458</v>
      </c>
    </row>
    <row r="2451" spans="1:25" x14ac:dyDescent="0.3">
      <c r="A2451">
        <v>122500</v>
      </c>
      <c r="B2451" t="s">
        <v>32459</v>
      </c>
      <c r="C2451" t="s">
        <v>32460</v>
      </c>
      <c r="D2451" t="s">
        <v>32461</v>
      </c>
      <c r="E2451" t="s">
        <v>32462</v>
      </c>
      <c r="F2451" t="s">
        <v>32463</v>
      </c>
      <c r="G2451" t="s">
        <v>32464</v>
      </c>
      <c r="H2451" t="s">
        <v>32465</v>
      </c>
      <c r="I2451" t="s">
        <v>32466</v>
      </c>
      <c r="J2451" t="s">
        <v>32467</v>
      </c>
      <c r="K2451" t="s">
        <v>32468</v>
      </c>
      <c r="L2451" t="s">
        <v>32469</v>
      </c>
      <c r="M2451" t="s">
        <v>32470</v>
      </c>
      <c r="N2451" t="s">
        <v>32471</v>
      </c>
      <c r="O2451">
        <f>-784.12094161955 -97.2709160294935 -523.030104040522</f>
        <v>-1404.4219616895655</v>
      </c>
      <c r="P2451">
        <f>-777.240249367485 -132.365172410358 -230.947472879176</f>
        <v>-1140.5528946570191</v>
      </c>
      <c r="Q2451" t="s">
        <v>32472</v>
      </c>
      <c r="R2451" t="s">
        <v>32473</v>
      </c>
      <c r="S2451" t="s">
        <v>32474</v>
      </c>
      <c r="T2451" t="s">
        <v>32475</v>
      </c>
      <c r="U2451" t="s">
        <v>32476</v>
      </c>
      <c r="V2451">
        <f>-740.595125670741 -9.76534404871131 -93.8986341263503</f>
        <v>-844.25910384580266</v>
      </c>
      <c r="W2451" t="s">
        <v>32477</v>
      </c>
      <c r="X2451" t="s">
        <v>32478</v>
      </c>
      <c r="Y2451" t="s">
        <v>32479</v>
      </c>
    </row>
    <row r="2452" spans="1:25" x14ac:dyDescent="0.3">
      <c r="A2452">
        <v>122550</v>
      </c>
      <c r="B2452" t="s">
        <v>32480</v>
      </c>
      <c r="C2452" t="s">
        <v>32481</v>
      </c>
      <c r="D2452" t="s">
        <v>32482</v>
      </c>
      <c r="E2452" t="s">
        <v>32483</v>
      </c>
      <c r="F2452" t="s">
        <v>32484</v>
      </c>
      <c r="G2452" t="s">
        <v>32485</v>
      </c>
      <c r="H2452" t="s">
        <v>32486</v>
      </c>
      <c r="I2452" t="s">
        <v>32487</v>
      </c>
      <c r="J2452" t="s">
        <v>32488</v>
      </c>
      <c r="K2452" t="s">
        <v>32489</v>
      </c>
      <c r="L2452" t="s">
        <v>32490</v>
      </c>
      <c r="M2452" t="s">
        <v>32491</v>
      </c>
      <c r="N2452" t="s">
        <v>32492</v>
      </c>
      <c r="O2452">
        <f>-783.817425703297 -97.1991574615447 -523.055901351668</f>
        <v>-1404.0724845165096</v>
      </c>
      <c r="P2452">
        <f>-776.91531292024 -132.272810104467 -230.97146713052</f>
        <v>-1140.1595901552271</v>
      </c>
      <c r="Q2452" t="s">
        <v>32493</v>
      </c>
      <c r="R2452" t="s">
        <v>32494</v>
      </c>
      <c r="S2452" t="s">
        <v>32495</v>
      </c>
      <c r="T2452" t="s">
        <v>32496</v>
      </c>
      <c r="U2452" t="s">
        <v>32497</v>
      </c>
      <c r="V2452">
        <f>-740.763986151179 -9.54312378043869 -93.9101323631571</f>
        <v>-844.21724229477479</v>
      </c>
      <c r="W2452" t="s">
        <v>32498</v>
      </c>
      <c r="X2452" t="s">
        <v>32499</v>
      </c>
      <c r="Y2452" t="s">
        <v>32500</v>
      </c>
    </row>
    <row r="2453" spans="1:25" x14ac:dyDescent="0.3">
      <c r="A2453">
        <v>122600</v>
      </c>
      <c r="B2453" t="s">
        <v>32501</v>
      </c>
      <c r="C2453" t="s">
        <v>32502</v>
      </c>
      <c r="D2453" t="s">
        <v>32503</v>
      </c>
      <c r="E2453" t="s">
        <v>32504</v>
      </c>
      <c r="F2453" t="s">
        <v>32505</v>
      </c>
      <c r="G2453" t="s">
        <v>32506</v>
      </c>
      <c r="H2453" t="s">
        <v>32507</v>
      </c>
      <c r="I2453" t="s">
        <v>32508</v>
      </c>
      <c r="J2453" t="s">
        <v>32509</v>
      </c>
      <c r="K2453" t="s">
        <v>32510</v>
      </c>
      <c r="L2453" t="s">
        <v>32511</v>
      </c>
      <c r="M2453" t="s">
        <v>32512</v>
      </c>
      <c r="N2453" t="s">
        <v>32513</v>
      </c>
      <c r="O2453">
        <f>-783.376364760901 -96.9615476968547 -522.985355642897</f>
        <v>-1403.3232681006527</v>
      </c>
      <c r="P2453">
        <f>-776.479658135689 -131.870868292203 -230.881041080254</f>
        <v>-1139.2315675081459</v>
      </c>
      <c r="Q2453" t="s">
        <v>32514</v>
      </c>
      <c r="R2453" t="s">
        <v>32515</v>
      </c>
      <c r="S2453" t="s">
        <v>32516</v>
      </c>
      <c r="T2453" t="s">
        <v>32517</v>
      </c>
      <c r="U2453" t="s">
        <v>32518</v>
      </c>
      <c r="V2453">
        <f>-741.202523536524 -9.08888712712974 -93.923064151433</f>
        <v>-844.21447481508676</v>
      </c>
      <c r="W2453" t="s">
        <v>32519</v>
      </c>
      <c r="X2453" t="s">
        <v>32520</v>
      </c>
      <c r="Y2453" t="s">
        <v>32521</v>
      </c>
    </row>
    <row r="2454" spans="1:25" x14ac:dyDescent="0.3">
      <c r="A2454">
        <v>122650</v>
      </c>
      <c r="B2454" t="s">
        <v>32522</v>
      </c>
      <c r="C2454" t="s">
        <v>32523</v>
      </c>
      <c r="D2454" t="s">
        <v>32524</v>
      </c>
      <c r="E2454" t="s">
        <v>32525</v>
      </c>
      <c r="F2454" t="s">
        <v>32526</v>
      </c>
      <c r="G2454" t="s">
        <v>32527</v>
      </c>
      <c r="H2454" t="s">
        <v>32528</v>
      </c>
      <c r="I2454" t="s">
        <v>32529</v>
      </c>
      <c r="J2454" t="s">
        <v>32530</v>
      </c>
      <c r="K2454" t="s">
        <v>32531</v>
      </c>
      <c r="L2454" t="s">
        <v>32532</v>
      </c>
      <c r="M2454" t="s">
        <v>32533</v>
      </c>
      <c r="N2454" t="s">
        <v>32534</v>
      </c>
      <c r="O2454">
        <f>-783.273296444028 -96.7417800465084 -522.928222111742</f>
        <v>-1402.9432986022784</v>
      </c>
      <c r="P2454">
        <f>-776.401500283535 -131.492552321882 -230.804426296796</f>
        <v>-1138.6984789022131</v>
      </c>
      <c r="Q2454" t="s">
        <v>32535</v>
      </c>
      <c r="R2454" t="s">
        <v>32536</v>
      </c>
      <c r="S2454" t="s">
        <v>32537</v>
      </c>
      <c r="T2454" t="s">
        <v>32538</v>
      </c>
      <c r="U2454" t="s">
        <v>32539</v>
      </c>
      <c r="V2454">
        <f>-741.372650525671 -8.70303573156343 -93.9248895309506</f>
        <v>-844.00057578818507</v>
      </c>
      <c r="W2454" t="s">
        <v>32540</v>
      </c>
      <c r="X2454" t="s">
        <v>32541</v>
      </c>
      <c r="Y2454" t="s">
        <v>32542</v>
      </c>
    </row>
    <row r="2455" spans="1:25" x14ac:dyDescent="0.3">
      <c r="A2455">
        <v>122700</v>
      </c>
      <c r="B2455" t="s">
        <v>32543</v>
      </c>
      <c r="C2455" t="s">
        <v>32544</v>
      </c>
      <c r="D2455" t="s">
        <v>32545</v>
      </c>
      <c r="E2455" t="s">
        <v>32546</v>
      </c>
      <c r="F2455" t="s">
        <v>32547</v>
      </c>
      <c r="G2455" t="s">
        <v>32548</v>
      </c>
      <c r="H2455" t="s">
        <v>32549</v>
      </c>
      <c r="I2455" t="s">
        <v>32550</v>
      </c>
      <c r="J2455" t="s">
        <v>32551</v>
      </c>
      <c r="K2455" t="s">
        <v>32552</v>
      </c>
      <c r="L2455" t="s">
        <v>32553</v>
      </c>
      <c r="M2455" t="s">
        <v>32554</v>
      </c>
      <c r="N2455" t="s">
        <v>32555</v>
      </c>
      <c r="O2455">
        <f>-783.505281982455 -96.5730776849909 -522.758312344886</f>
        <v>-1402.836672012332</v>
      </c>
      <c r="P2455">
        <f>-776.698731708056 -131.006422938476 -230.595267466773</f>
        <v>-1138.3004221133051</v>
      </c>
      <c r="Q2455" t="s">
        <v>32556</v>
      </c>
      <c r="R2455" t="s">
        <v>32557</v>
      </c>
      <c r="S2455" t="s">
        <v>32558</v>
      </c>
      <c r="T2455" t="s">
        <v>32559</v>
      </c>
      <c r="U2455" t="s">
        <v>32560</v>
      </c>
      <c r="V2455">
        <f>-741.90333811571 -8.21715833461053 -93.8878453121321</f>
        <v>-844.00834176245257</v>
      </c>
      <c r="W2455" t="s">
        <v>32561</v>
      </c>
      <c r="X2455" t="s">
        <v>32562</v>
      </c>
      <c r="Y2455" t="s">
        <v>32563</v>
      </c>
    </row>
    <row r="2456" spans="1:25" x14ac:dyDescent="0.3">
      <c r="A2456">
        <v>122750</v>
      </c>
      <c r="B2456" t="s">
        <v>32564</v>
      </c>
      <c r="C2456" t="s">
        <v>32565</v>
      </c>
      <c r="D2456" t="s">
        <v>32566</v>
      </c>
      <c r="E2456" t="s">
        <v>32567</v>
      </c>
      <c r="F2456" t="s">
        <v>32568</v>
      </c>
      <c r="G2456" t="s">
        <v>32569</v>
      </c>
      <c r="H2456" t="s">
        <v>32570</v>
      </c>
      <c r="I2456" t="s">
        <v>32571</v>
      </c>
      <c r="J2456" t="s">
        <v>32572</v>
      </c>
      <c r="K2456" t="s">
        <v>32573</v>
      </c>
      <c r="L2456" t="s">
        <v>32574</v>
      </c>
      <c r="M2456" t="s">
        <v>32575</v>
      </c>
      <c r="N2456" t="s">
        <v>32576</v>
      </c>
      <c r="O2456">
        <f>-783.72241648774 -96.4029010616007 -522.653591333017</f>
        <v>-1402.7789088823577</v>
      </c>
      <c r="P2456">
        <f>-776.949151859423 -130.719953255055 -230.476094429128</f>
        <v>-1138.1451995436059</v>
      </c>
      <c r="Q2456" t="s">
        <v>32577</v>
      </c>
      <c r="R2456" t="s">
        <v>32578</v>
      </c>
      <c r="S2456" t="s">
        <v>32579</v>
      </c>
      <c r="T2456" t="s">
        <v>32580</v>
      </c>
      <c r="U2456" t="s">
        <v>32581</v>
      </c>
      <c r="V2456">
        <f>-742.142603293 -7.92022235103354 -93.8547832831028</f>
        <v>-843.91760892713637</v>
      </c>
      <c r="W2456" t="s">
        <v>32582</v>
      </c>
      <c r="X2456" t="s">
        <v>32583</v>
      </c>
      <c r="Y2456" t="s">
        <v>32584</v>
      </c>
    </row>
    <row r="2457" spans="1:25" x14ac:dyDescent="0.3">
      <c r="A2457">
        <v>122800</v>
      </c>
      <c r="B2457" t="s">
        <v>32585</v>
      </c>
      <c r="C2457" t="s">
        <v>32586</v>
      </c>
      <c r="D2457" t="s">
        <v>32587</v>
      </c>
      <c r="E2457" t="s">
        <v>32588</v>
      </c>
      <c r="F2457" t="s">
        <v>32589</v>
      </c>
      <c r="G2457" t="s">
        <v>32590</v>
      </c>
      <c r="H2457" t="s">
        <v>32591</v>
      </c>
      <c r="I2457" t="s">
        <v>32592</v>
      </c>
      <c r="J2457" t="s">
        <v>32593</v>
      </c>
      <c r="K2457" t="s">
        <v>32594</v>
      </c>
      <c r="L2457" t="s">
        <v>32595</v>
      </c>
      <c r="M2457" t="s">
        <v>32596</v>
      </c>
      <c r="N2457" t="s">
        <v>32597</v>
      </c>
      <c r="O2457">
        <f>-784.145791471228 -95.946758995839 -522.504170873079</f>
        <v>-1402.5967213401459</v>
      </c>
      <c r="P2457">
        <f>-777.570571464309 -129.99819493459 -230.291172085343</f>
        <v>-1137.8599384842421</v>
      </c>
      <c r="Q2457" t="s">
        <v>32598</v>
      </c>
      <c r="R2457" t="s">
        <v>32599</v>
      </c>
      <c r="S2457" t="s">
        <v>32600</v>
      </c>
      <c r="T2457" t="s">
        <v>32601</v>
      </c>
      <c r="U2457" t="s">
        <v>32602</v>
      </c>
      <c r="V2457">
        <f>-742.625170041382 -7.49917425809417 -93.8081855878855</f>
        <v>-843.93252988736174</v>
      </c>
      <c r="W2457" t="s">
        <v>32603</v>
      </c>
      <c r="X2457" t="s">
        <v>32604</v>
      </c>
      <c r="Y2457" t="s">
        <v>32605</v>
      </c>
    </row>
    <row r="2458" spans="1:25" x14ac:dyDescent="0.3">
      <c r="A2458">
        <v>122850</v>
      </c>
      <c r="B2458" t="s">
        <v>32606</v>
      </c>
      <c r="C2458" t="s">
        <v>32607</v>
      </c>
      <c r="D2458" t="s">
        <v>32608</v>
      </c>
      <c r="E2458" t="s">
        <v>32609</v>
      </c>
      <c r="F2458" t="s">
        <v>32610</v>
      </c>
      <c r="G2458" t="s">
        <v>32611</v>
      </c>
      <c r="H2458" t="s">
        <v>32612</v>
      </c>
      <c r="I2458" t="s">
        <v>32613</v>
      </c>
      <c r="J2458" t="s">
        <v>32614</v>
      </c>
      <c r="K2458" t="s">
        <v>32615</v>
      </c>
      <c r="L2458" t="s">
        <v>32616</v>
      </c>
      <c r="M2458" t="s">
        <v>32617</v>
      </c>
      <c r="N2458" t="s">
        <v>32618</v>
      </c>
      <c r="O2458">
        <f>-784.420838593687 -95.4833360706727 -522.421812583492</f>
        <v>-1402.3259872478518</v>
      </c>
      <c r="P2458">
        <f>-777.994999164221 -129.515802763766 -230.203201881026</f>
        <v>-1137.7140038090131</v>
      </c>
      <c r="Q2458" t="s">
        <v>32619</v>
      </c>
      <c r="R2458" t="s">
        <v>32620</v>
      </c>
      <c r="S2458" t="s">
        <v>32621</v>
      </c>
      <c r="T2458" t="s">
        <v>32622</v>
      </c>
      <c r="U2458" t="s">
        <v>32623</v>
      </c>
      <c r="V2458">
        <f>-743.110702332005 -7.10645405356991 -93.7758210055546</f>
        <v>-843.99297739112944</v>
      </c>
      <c r="W2458" t="s">
        <v>32624</v>
      </c>
      <c r="X2458" t="s">
        <v>32625</v>
      </c>
      <c r="Y2458" t="s">
        <v>32626</v>
      </c>
    </row>
    <row r="2459" spans="1:25" x14ac:dyDescent="0.3">
      <c r="A2459">
        <v>122900</v>
      </c>
      <c r="B2459" t="s">
        <v>32627</v>
      </c>
      <c r="C2459" t="s">
        <v>32628</v>
      </c>
      <c r="D2459" t="s">
        <v>32629</v>
      </c>
      <c r="E2459" t="s">
        <v>32630</v>
      </c>
      <c r="F2459" t="s">
        <v>32631</v>
      </c>
      <c r="G2459" t="s">
        <v>32632</v>
      </c>
      <c r="H2459" t="s">
        <v>32633</v>
      </c>
      <c r="I2459" t="s">
        <v>32634</v>
      </c>
      <c r="J2459" t="s">
        <v>32635</v>
      </c>
      <c r="K2459" t="s">
        <v>32636</v>
      </c>
      <c r="L2459" t="s">
        <v>32637</v>
      </c>
      <c r="M2459" t="s">
        <v>32638</v>
      </c>
      <c r="N2459" t="s">
        <v>32639</v>
      </c>
      <c r="O2459">
        <f>-784.345240949152 -95.1118414738421 -522.414096351215</f>
        <v>-1401.8711787742091</v>
      </c>
      <c r="P2459">
        <f>-778.124410695293 -129.188900881037 -230.196152737891</f>
        <v>-1137.5094643142211</v>
      </c>
      <c r="Q2459" t="s">
        <v>32640</v>
      </c>
      <c r="R2459" t="s">
        <v>32641</v>
      </c>
      <c r="S2459" t="s">
        <v>32642</v>
      </c>
      <c r="T2459" t="s">
        <v>32643</v>
      </c>
      <c r="U2459" t="s">
        <v>32644</v>
      </c>
      <c r="V2459">
        <f>-743.227493091606 -6.80382124439734 -93.7617782569292</f>
        <v>-843.79309259293257</v>
      </c>
      <c r="W2459" t="s">
        <v>32645</v>
      </c>
      <c r="X2459" t="s">
        <v>32646</v>
      </c>
      <c r="Y2459" t="s">
        <v>32647</v>
      </c>
    </row>
    <row r="2460" spans="1:25" x14ac:dyDescent="0.3">
      <c r="A2460">
        <v>122950</v>
      </c>
      <c r="B2460" t="s">
        <v>32648</v>
      </c>
      <c r="C2460" t="s">
        <v>32649</v>
      </c>
      <c r="D2460" t="s">
        <v>32650</v>
      </c>
      <c r="E2460" t="s">
        <v>32651</v>
      </c>
      <c r="F2460" t="s">
        <v>32652</v>
      </c>
      <c r="G2460" t="s">
        <v>32653</v>
      </c>
      <c r="H2460" t="s">
        <v>32654</v>
      </c>
      <c r="I2460" t="s">
        <v>32655</v>
      </c>
      <c r="J2460" t="s">
        <v>32656</v>
      </c>
      <c r="K2460" t="s">
        <v>32657</v>
      </c>
      <c r="L2460" t="s">
        <v>32658</v>
      </c>
      <c r="M2460" t="s">
        <v>32659</v>
      </c>
      <c r="N2460" t="s">
        <v>32660</v>
      </c>
      <c r="O2460">
        <f>-784.195285787124 -94.7662212182934 -522.432538574674</f>
        <v>-1401.3940455800914</v>
      </c>
      <c r="P2460">
        <f>-778.279997529937 -128.896529001563 -230.21447022846</f>
        <v>-1137.39099675996</v>
      </c>
      <c r="Q2460" t="s">
        <v>32661</v>
      </c>
      <c r="R2460" t="s">
        <v>32662</v>
      </c>
      <c r="S2460" t="s">
        <v>32663</v>
      </c>
      <c r="T2460" t="s">
        <v>32664</v>
      </c>
      <c r="U2460" t="s">
        <v>32665</v>
      </c>
      <c r="V2460">
        <f>-743.408896380286 -6.65317690698748 -93.7357194449895</f>
        <v>-843.79779273226302</v>
      </c>
      <c r="W2460" t="s">
        <v>32666</v>
      </c>
      <c r="X2460" t="s">
        <v>32667</v>
      </c>
      <c r="Y2460" t="s">
        <v>32668</v>
      </c>
    </row>
    <row r="2461" spans="1:25" x14ac:dyDescent="0.3">
      <c r="A2461">
        <v>123000</v>
      </c>
      <c r="B2461" t="s">
        <v>32669</v>
      </c>
      <c r="C2461" t="s">
        <v>32670</v>
      </c>
      <c r="D2461" t="s">
        <v>32671</v>
      </c>
      <c r="E2461" t="s">
        <v>32672</v>
      </c>
      <c r="F2461" t="s">
        <v>32673</v>
      </c>
      <c r="G2461" t="s">
        <v>32674</v>
      </c>
      <c r="H2461" t="s">
        <v>32675</v>
      </c>
      <c r="I2461" t="s">
        <v>32676</v>
      </c>
      <c r="J2461" t="s">
        <v>32677</v>
      </c>
      <c r="K2461" t="s">
        <v>32678</v>
      </c>
      <c r="L2461" t="s">
        <v>32679</v>
      </c>
      <c r="M2461" t="s">
        <v>32680</v>
      </c>
      <c r="N2461" t="s">
        <v>32681</v>
      </c>
      <c r="O2461">
        <f>-783.468480113529 -93.9343956639559 -522.456615599172</f>
        <v>-1399.8594913766569</v>
      </c>
      <c r="P2461">
        <f>-778.262209263818 -128.301810966541 -230.253068956648</f>
        <v>-1136.817089187007</v>
      </c>
      <c r="Q2461" t="s">
        <v>32682</v>
      </c>
      <c r="R2461" t="s">
        <v>32683</v>
      </c>
      <c r="S2461" t="s">
        <v>32684</v>
      </c>
      <c r="T2461" t="s">
        <v>32685</v>
      </c>
      <c r="U2461" t="s">
        <v>32686</v>
      </c>
      <c r="V2461">
        <f>-743.373812463846 -6.15969269767083 -93.7157591272646</f>
        <v>-843.24926428878143</v>
      </c>
      <c r="W2461" t="s">
        <v>32687</v>
      </c>
      <c r="X2461" t="s">
        <v>32688</v>
      </c>
      <c r="Y2461" t="s">
        <v>32689</v>
      </c>
    </row>
    <row r="2462" spans="1:25" x14ac:dyDescent="0.3">
      <c r="A2462">
        <v>123050</v>
      </c>
      <c r="B2462" t="s">
        <v>32690</v>
      </c>
      <c r="C2462" t="s">
        <v>32691</v>
      </c>
      <c r="D2462" t="s">
        <v>32692</v>
      </c>
      <c r="E2462" t="s">
        <v>32693</v>
      </c>
      <c r="F2462" t="s">
        <v>32694</v>
      </c>
      <c r="G2462" t="s">
        <v>32695</v>
      </c>
      <c r="H2462" t="s">
        <v>32696</v>
      </c>
      <c r="I2462" t="s">
        <v>32697</v>
      </c>
      <c r="J2462" t="s">
        <v>32698</v>
      </c>
      <c r="K2462" t="s">
        <v>32699</v>
      </c>
      <c r="L2462" t="s">
        <v>32700</v>
      </c>
      <c r="M2462" t="s">
        <v>32701</v>
      </c>
      <c r="N2462" t="s">
        <v>32702</v>
      </c>
      <c r="O2462">
        <f>-783.126107449752 -93.5916925646638 -522.445422348808</f>
        <v>-1399.1632223632239</v>
      </c>
      <c r="P2462">
        <f>-778.262125659755 -128.066293102279 -230.248558171394</f>
        <v>-1136.5769769334281</v>
      </c>
      <c r="Q2462" t="s">
        <v>32703</v>
      </c>
      <c r="R2462" t="s">
        <v>32704</v>
      </c>
      <c r="S2462" t="s">
        <v>32705</v>
      </c>
      <c r="T2462" t="s">
        <v>32706</v>
      </c>
      <c r="U2462" t="s">
        <v>32707</v>
      </c>
      <c r="V2462">
        <f>-743.373913018914 -6.05154633645043 -93.6670796181791</f>
        <v>-843.09253897354347</v>
      </c>
      <c r="W2462" t="s">
        <v>32708</v>
      </c>
      <c r="X2462" t="s">
        <v>32709</v>
      </c>
      <c r="Y2462" t="s">
        <v>32710</v>
      </c>
    </row>
    <row r="2463" spans="1:25" x14ac:dyDescent="0.3">
      <c r="A2463">
        <v>123100</v>
      </c>
      <c r="B2463" t="s">
        <v>32711</v>
      </c>
      <c r="C2463" t="s">
        <v>32712</v>
      </c>
      <c r="D2463" t="s">
        <v>32713</v>
      </c>
      <c r="E2463" t="s">
        <v>32714</v>
      </c>
      <c r="F2463" t="s">
        <v>32715</v>
      </c>
      <c r="G2463" t="s">
        <v>32716</v>
      </c>
      <c r="H2463" t="s">
        <v>32717</v>
      </c>
      <c r="I2463" t="s">
        <v>32718</v>
      </c>
      <c r="J2463" t="s">
        <v>32719</v>
      </c>
      <c r="K2463" t="s">
        <v>32720</v>
      </c>
      <c r="L2463" t="s">
        <v>32721</v>
      </c>
      <c r="M2463" t="s">
        <v>32722</v>
      </c>
      <c r="N2463" t="s">
        <v>32723</v>
      </c>
      <c r="O2463">
        <f>-782.056897733582 -93.2665253121127 -522.429386295735</f>
        <v>-1397.7528093414296</v>
      </c>
      <c r="P2463">
        <f>-777.821789666194 -127.951569878346 -230.247684989062</f>
        <v>-1136.021044533602</v>
      </c>
      <c r="Q2463" t="s">
        <v>32724</v>
      </c>
      <c r="R2463" t="s">
        <v>32725</v>
      </c>
      <c r="S2463" t="s">
        <v>32726</v>
      </c>
      <c r="T2463" t="s">
        <v>32727</v>
      </c>
      <c r="U2463" t="s">
        <v>32728</v>
      </c>
      <c r="V2463">
        <f>-743.093080205038 -6.25592193039006 -93.6465507633077</f>
        <v>-842.9955528987357</v>
      </c>
      <c r="W2463" t="s">
        <v>32729</v>
      </c>
      <c r="X2463" t="s">
        <v>32730</v>
      </c>
      <c r="Y2463" t="s">
        <v>32731</v>
      </c>
    </row>
    <row r="2464" spans="1:25" x14ac:dyDescent="0.3">
      <c r="A2464">
        <v>123150</v>
      </c>
      <c r="B2464" t="s">
        <v>32732</v>
      </c>
      <c r="C2464" t="s">
        <v>32733</v>
      </c>
      <c r="D2464" t="s">
        <v>32734</v>
      </c>
      <c r="E2464" t="s">
        <v>32735</v>
      </c>
      <c r="F2464" t="s">
        <v>32736</v>
      </c>
      <c r="G2464" t="s">
        <v>32737</v>
      </c>
      <c r="H2464" t="s">
        <v>32738</v>
      </c>
      <c r="I2464" t="s">
        <v>32739</v>
      </c>
      <c r="J2464" t="s">
        <v>32740</v>
      </c>
      <c r="K2464" t="s">
        <v>32741</v>
      </c>
      <c r="L2464" t="s">
        <v>32742</v>
      </c>
      <c r="M2464" t="s">
        <v>32743</v>
      </c>
      <c r="N2464" t="s">
        <v>32744</v>
      </c>
      <c r="O2464">
        <f>-781.20146838648 -93.2569223444623 -522.405263113199</f>
        <v>-1396.8636538441413</v>
      </c>
      <c r="P2464">
        <f>-777.304801892494 -128.091563082528 -230.236429875014</f>
        <v>-1135.6327948500359</v>
      </c>
      <c r="Q2464" t="s">
        <v>32745</v>
      </c>
      <c r="R2464" t="s">
        <v>32746</v>
      </c>
      <c r="S2464" t="s">
        <v>32747</v>
      </c>
      <c r="T2464" t="s">
        <v>32748</v>
      </c>
      <c r="U2464" t="s">
        <v>32749</v>
      </c>
      <c r="V2464">
        <f>-742.809435992731 -6.34283836805616 -93.6377235357243</f>
        <v>-842.78999789651141</v>
      </c>
      <c r="W2464" t="s">
        <v>32750</v>
      </c>
      <c r="X2464" t="s">
        <v>32751</v>
      </c>
      <c r="Y2464" t="s">
        <v>32752</v>
      </c>
    </row>
    <row r="2465" spans="1:25" x14ac:dyDescent="0.3">
      <c r="A2465">
        <v>123200</v>
      </c>
      <c r="B2465" t="s">
        <v>32753</v>
      </c>
      <c r="C2465" t="s">
        <v>32754</v>
      </c>
      <c r="D2465" t="s">
        <v>32755</v>
      </c>
      <c r="E2465" t="s">
        <v>32756</v>
      </c>
      <c r="F2465" t="s">
        <v>32757</v>
      </c>
      <c r="G2465" t="s">
        <v>32758</v>
      </c>
      <c r="H2465" t="s">
        <v>32759</v>
      </c>
      <c r="I2465" t="s">
        <v>32760</v>
      </c>
      <c r="J2465" t="s">
        <v>32761</v>
      </c>
      <c r="K2465" t="s">
        <v>32762</v>
      </c>
      <c r="L2465" t="s">
        <v>32763</v>
      </c>
      <c r="M2465" t="s">
        <v>32764</v>
      </c>
      <c r="N2465" t="s">
        <v>32765</v>
      </c>
      <c r="O2465">
        <f>-780.021735345141 -93.7379602388444 -522.188547679046</f>
        <v>-1395.9482432630314</v>
      </c>
      <c r="P2465">
        <f>-776.775454493046 -128.854947666538 -230.045688075513</f>
        <v>-1135.676090235097</v>
      </c>
      <c r="Q2465" t="s">
        <v>32766</v>
      </c>
      <c r="R2465" t="s">
        <v>32767</v>
      </c>
      <c r="S2465" t="s">
        <v>32768</v>
      </c>
      <c r="T2465" t="s">
        <v>32769</v>
      </c>
      <c r="U2465" t="s">
        <v>32770</v>
      </c>
      <c r="V2465">
        <f>-742.30268585595 -6.99640504021227 -93.5292682319755</f>
        <v>-842.82835912813778</v>
      </c>
      <c r="W2465" t="s">
        <v>32771</v>
      </c>
      <c r="X2465" t="s">
        <v>32772</v>
      </c>
      <c r="Y2465" t="s">
        <v>32773</v>
      </c>
    </row>
    <row r="2466" spans="1:25" x14ac:dyDescent="0.3">
      <c r="A2466">
        <v>123250</v>
      </c>
      <c r="B2466" t="s">
        <v>32774</v>
      </c>
      <c r="C2466" t="s">
        <v>32775</v>
      </c>
      <c r="D2466" t="s">
        <v>32776</v>
      </c>
      <c r="E2466" t="s">
        <v>32777</v>
      </c>
      <c r="F2466" t="s">
        <v>32778</v>
      </c>
      <c r="G2466" t="s">
        <v>32779</v>
      </c>
      <c r="H2466" t="s">
        <v>32780</v>
      </c>
      <c r="I2466" t="s">
        <v>32781</v>
      </c>
      <c r="J2466" t="s">
        <v>32782</v>
      </c>
      <c r="K2466" t="s">
        <v>32783</v>
      </c>
      <c r="L2466" t="s">
        <v>32784</v>
      </c>
      <c r="M2466" t="s">
        <v>32785</v>
      </c>
      <c r="N2466" t="s">
        <v>32786</v>
      </c>
      <c r="O2466">
        <f>-779.815977085474 -94.1355078255774 -522.077413318685</f>
        <v>-1396.0288982297363</v>
      </c>
      <c r="P2466">
        <f>-776.933490092138 -129.284551667336 -229.934499215388</f>
        <v>-1136.1525409748619</v>
      </c>
      <c r="Q2466" t="s">
        <v>32787</v>
      </c>
      <c r="R2466" t="s">
        <v>32788</v>
      </c>
      <c r="S2466" t="s">
        <v>32789</v>
      </c>
      <c r="T2466" t="s">
        <v>32790</v>
      </c>
      <c r="U2466" t="s">
        <v>32791</v>
      </c>
      <c r="V2466">
        <f>-741.888456234516 -7.56041246395989 -93.4912423488765</f>
        <v>-842.94011104735239</v>
      </c>
      <c r="W2466" t="s">
        <v>32792</v>
      </c>
      <c r="X2466" t="s">
        <v>32793</v>
      </c>
      <c r="Y2466" t="s">
        <v>32794</v>
      </c>
    </row>
    <row r="2467" spans="1:25" x14ac:dyDescent="0.3">
      <c r="A2467">
        <v>123300</v>
      </c>
      <c r="B2467" t="s">
        <v>32795</v>
      </c>
      <c r="C2467" t="s">
        <v>32796</v>
      </c>
      <c r="D2467" t="s">
        <v>32797</v>
      </c>
      <c r="E2467" t="s">
        <v>32798</v>
      </c>
      <c r="F2467" t="s">
        <v>32799</v>
      </c>
      <c r="G2467" t="s">
        <v>32800</v>
      </c>
      <c r="H2467" t="s">
        <v>32801</v>
      </c>
      <c r="I2467" t="s">
        <v>32802</v>
      </c>
      <c r="J2467" t="s">
        <v>32803</v>
      </c>
      <c r="K2467" t="s">
        <v>32804</v>
      </c>
      <c r="L2467" t="s">
        <v>32805</v>
      </c>
      <c r="M2467" t="s">
        <v>32806</v>
      </c>
      <c r="N2467" t="s">
        <v>32807</v>
      </c>
      <c r="O2467">
        <f>-780.119207113684 -94.6616565800357 -522.007910960623</f>
        <v>-1396.7887746543427</v>
      </c>
      <c r="P2467">
        <f>-778.107823291267 -129.773296307484 -229.853187737668</f>
        <v>-1137.7343073364191</v>
      </c>
      <c r="Q2467" t="s">
        <v>32808</v>
      </c>
      <c r="R2467" t="s">
        <v>32809</v>
      </c>
      <c r="S2467" t="s">
        <v>32810</v>
      </c>
      <c r="T2467" t="s">
        <v>32811</v>
      </c>
      <c r="U2467" t="s">
        <v>32812</v>
      </c>
      <c r="V2467">
        <f>-740.696856029542 -8.12049624537326 -93.4562225461558</f>
        <v>-842.27357482107107</v>
      </c>
      <c r="W2467" t="s">
        <v>32813</v>
      </c>
      <c r="X2467" t="s">
        <v>32814</v>
      </c>
      <c r="Y2467" t="s">
        <v>32815</v>
      </c>
    </row>
    <row r="2468" spans="1:25" x14ac:dyDescent="0.3">
      <c r="A2468">
        <v>123350</v>
      </c>
      <c r="B2468" t="s">
        <v>32816</v>
      </c>
      <c r="C2468" t="s">
        <v>32817</v>
      </c>
      <c r="D2468" t="s">
        <v>32818</v>
      </c>
      <c r="E2468" t="s">
        <v>32819</v>
      </c>
      <c r="F2468" t="s">
        <v>32820</v>
      </c>
      <c r="G2468" t="s">
        <v>32821</v>
      </c>
      <c r="H2468" t="s">
        <v>32822</v>
      </c>
      <c r="I2468" t="s">
        <v>32823</v>
      </c>
      <c r="J2468" t="s">
        <v>32824</v>
      </c>
      <c r="K2468" t="s">
        <v>32825</v>
      </c>
      <c r="L2468" t="s">
        <v>32826</v>
      </c>
      <c r="M2468" t="s">
        <v>32827</v>
      </c>
      <c r="N2468" t="s">
        <v>32828</v>
      </c>
      <c r="O2468">
        <f>-780.684130998433 -94.8751628364528 -522.021323844437</f>
        <v>-1397.5806176793228</v>
      </c>
      <c r="P2468">
        <f>-778.951005417599 -130.042936123519 -229.871635157512</f>
        <v>-1138.8655766986301</v>
      </c>
      <c r="Q2468" t="s">
        <v>32829</v>
      </c>
      <c r="R2468" t="s">
        <v>32830</v>
      </c>
      <c r="S2468" t="s">
        <v>32831</v>
      </c>
      <c r="T2468" t="s">
        <v>32832</v>
      </c>
      <c r="U2468" t="s">
        <v>32833</v>
      </c>
      <c r="V2468">
        <f>-740.072540110207 -8.41285860287621 -93.4520845835999</f>
        <v>-841.93748329668313</v>
      </c>
      <c r="W2468" t="s">
        <v>32834</v>
      </c>
      <c r="X2468" t="s">
        <v>32835</v>
      </c>
      <c r="Y2468" t="s">
        <v>32836</v>
      </c>
    </row>
    <row r="2469" spans="1:25" x14ac:dyDescent="0.3">
      <c r="A2469">
        <v>123400</v>
      </c>
      <c r="B2469" t="s">
        <v>32837</v>
      </c>
      <c r="C2469" t="s">
        <v>32838</v>
      </c>
      <c r="D2469" t="s">
        <v>32839</v>
      </c>
      <c r="E2469" t="s">
        <v>32840</v>
      </c>
      <c r="F2469" t="s">
        <v>32841</v>
      </c>
      <c r="G2469" t="s">
        <v>32842</v>
      </c>
      <c r="H2469" t="s">
        <v>32843</v>
      </c>
      <c r="I2469" t="s">
        <v>32844</v>
      </c>
      <c r="J2469" t="s">
        <v>32845</v>
      </c>
      <c r="K2469" t="s">
        <v>32846</v>
      </c>
      <c r="L2469" t="s">
        <v>32847</v>
      </c>
      <c r="M2469" t="s">
        <v>32848</v>
      </c>
      <c r="N2469" t="s">
        <v>32849</v>
      </c>
      <c r="O2469">
        <f>-782.078791410619 -95.2824023599337 -522.178543444074</f>
        <v>-1399.5397372146267</v>
      </c>
      <c r="P2469">
        <f>-780.787505296944 -130.509387718713 -230.033840720758</f>
        <v>-1141.3307337364149</v>
      </c>
      <c r="Q2469" t="s">
        <v>32850</v>
      </c>
      <c r="R2469" t="s">
        <v>32851</v>
      </c>
      <c r="S2469" t="s">
        <v>32852</v>
      </c>
      <c r="T2469" t="s">
        <v>32853</v>
      </c>
      <c r="U2469" t="s">
        <v>32854</v>
      </c>
      <c r="V2469">
        <f>-738.786591615438 -9.2562427767823 -93.4832109981012</f>
        <v>-841.52604539032154</v>
      </c>
      <c r="W2469" t="s">
        <v>32855</v>
      </c>
      <c r="X2469" t="s">
        <v>32856</v>
      </c>
      <c r="Y2469" t="s">
        <v>32857</v>
      </c>
    </row>
    <row r="2470" spans="1:25" x14ac:dyDescent="0.3">
      <c r="A2470">
        <v>123450</v>
      </c>
      <c r="B2470" t="s">
        <v>32858</v>
      </c>
      <c r="C2470" t="s">
        <v>32859</v>
      </c>
      <c r="D2470" t="s">
        <v>32860</v>
      </c>
      <c r="E2470" t="s">
        <v>32861</v>
      </c>
      <c r="F2470" t="s">
        <v>32862</v>
      </c>
      <c r="G2470" t="s">
        <v>32863</v>
      </c>
      <c r="H2470" t="s">
        <v>32864</v>
      </c>
      <c r="I2470" t="s">
        <v>32865</v>
      </c>
      <c r="J2470" t="s">
        <v>32866</v>
      </c>
      <c r="K2470" t="s">
        <v>32867</v>
      </c>
      <c r="L2470" t="s">
        <v>32868</v>
      </c>
      <c r="M2470" t="s">
        <v>32869</v>
      </c>
      <c r="N2470" t="s">
        <v>32870</v>
      </c>
      <c r="O2470">
        <f>-782.812000086492 -95.5387100049857 -522.273245960444</f>
        <v>-1400.6239560519216</v>
      </c>
      <c r="P2470">
        <f>-781.740757014774 -130.802716842248 -230.131924365245</f>
        <v>-1142.6753982222669</v>
      </c>
      <c r="Q2470" t="s">
        <v>32871</v>
      </c>
      <c r="R2470" t="s">
        <v>32872</v>
      </c>
      <c r="S2470" t="s">
        <v>32873</v>
      </c>
      <c r="T2470" t="s">
        <v>32874</v>
      </c>
      <c r="U2470" t="s">
        <v>32875</v>
      </c>
      <c r="V2470">
        <f>-738.258071840824 -9.83453059477893 -93.5102261127687</f>
        <v>-841.60282854837158</v>
      </c>
      <c r="W2470" t="s">
        <v>32876</v>
      </c>
      <c r="X2470" t="s">
        <v>32877</v>
      </c>
      <c r="Y2470" t="s">
        <v>32878</v>
      </c>
    </row>
    <row r="2471" spans="1:25" x14ac:dyDescent="0.3">
      <c r="A2471">
        <v>123500</v>
      </c>
      <c r="B2471" t="s">
        <v>32879</v>
      </c>
      <c r="C2471" t="s">
        <v>32880</v>
      </c>
      <c r="D2471" t="s">
        <v>32881</v>
      </c>
      <c r="E2471" t="s">
        <v>32882</v>
      </c>
      <c r="F2471" t="s">
        <v>32883</v>
      </c>
      <c r="G2471" t="s">
        <v>32884</v>
      </c>
      <c r="H2471" t="s">
        <v>32885</v>
      </c>
      <c r="I2471" t="s">
        <v>32886</v>
      </c>
      <c r="J2471" t="s">
        <v>32887</v>
      </c>
      <c r="K2471" t="s">
        <v>32888</v>
      </c>
      <c r="L2471" t="s">
        <v>32889</v>
      </c>
      <c r="M2471" t="s">
        <v>32890</v>
      </c>
      <c r="N2471" t="s">
        <v>32891</v>
      </c>
      <c r="O2471">
        <f>-783.90288144187 -96.27053879293 -522.412996522124</f>
        <v>-1402.5864167569239</v>
      </c>
      <c r="P2471">
        <f>-783.370827276063 -131.701942068802 -230.29053376956</f>
        <v>-1145.363303114425</v>
      </c>
      <c r="Q2471" t="s">
        <v>32892</v>
      </c>
      <c r="R2471" t="s">
        <v>32893</v>
      </c>
      <c r="S2471" t="s">
        <v>32894</v>
      </c>
      <c r="T2471" t="s">
        <v>32895</v>
      </c>
      <c r="U2471" t="s">
        <v>32896</v>
      </c>
      <c r="V2471">
        <f>-737.232880580981 -11.0254372640893 -93.5721409709219</f>
        <v>-841.83045881599219</v>
      </c>
      <c r="W2471" t="s">
        <v>32897</v>
      </c>
      <c r="X2471" t="s">
        <v>32898</v>
      </c>
      <c r="Y2471" t="s">
        <v>32899</v>
      </c>
    </row>
    <row r="2472" spans="1:25" x14ac:dyDescent="0.3">
      <c r="A2472">
        <v>123550</v>
      </c>
      <c r="B2472" t="s">
        <v>32900</v>
      </c>
      <c r="C2472" t="s">
        <v>32901</v>
      </c>
      <c r="D2472" t="s">
        <v>32902</v>
      </c>
      <c r="E2472" t="s">
        <v>32903</v>
      </c>
      <c r="F2472" t="s">
        <v>32904</v>
      </c>
      <c r="G2472" t="s">
        <v>32905</v>
      </c>
      <c r="H2472" t="s">
        <v>32906</v>
      </c>
      <c r="I2472" t="s">
        <v>32907</v>
      </c>
      <c r="J2472" t="s">
        <v>32908</v>
      </c>
      <c r="K2472" t="s">
        <v>32909</v>
      </c>
      <c r="L2472" t="s">
        <v>32910</v>
      </c>
      <c r="M2472" t="s">
        <v>32911</v>
      </c>
      <c r="N2472" t="s">
        <v>32912</v>
      </c>
      <c r="O2472">
        <f>-784.208478158309 -96.4856526276742 -522.517903977949</f>
        <v>-1403.2120347639323</v>
      </c>
      <c r="P2472">
        <f>-784.051190016279 -131.938004212603 -230.397473765186</f>
        <v>-1146.3866679940679</v>
      </c>
      <c r="Q2472" t="s">
        <v>32913</v>
      </c>
      <c r="R2472" t="s">
        <v>32914</v>
      </c>
      <c r="S2472" t="s">
        <v>32915</v>
      </c>
      <c r="T2472" t="s">
        <v>32916</v>
      </c>
      <c r="U2472" t="s">
        <v>32917</v>
      </c>
      <c r="V2472">
        <f>-736.767354197337 -11.5624423193997 -93.6000398233525</f>
        <v>-841.9298363400892</v>
      </c>
      <c r="W2472" t="s">
        <v>32918</v>
      </c>
      <c r="X2472" t="s">
        <v>32919</v>
      </c>
      <c r="Y2472" t="s">
        <v>32920</v>
      </c>
    </row>
    <row r="2473" spans="1:25" x14ac:dyDescent="0.3">
      <c r="A2473">
        <v>123600</v>
      </c>
      <c r="B2473" t="s">
        <v>32921</v>
      </c>
      <c r="C2473" t="s">
        <v>32922</v>
      </c>
      <c r="D2473" t="s">
        <v>32923</v>
      </c>
      <c r="E2473" t="s">
        <v>32924</v>
      </c>
      <c r="F2473" t="s">
        <v>32925</v>
      </c>
      <c r="G2473" t="s">
        <v>32926</v>
      </c>
      <c r="H2473" t="s">
        <v>32927</v>
      </c>
      <c r="I2473" t="s">
        <v>32928</v>
      </c>
      <c r="J2473" t="s">
        <v>32929</v>
      </c>
      <c r="K2473" t="s">
        <v>32930</v>
      </c>
      <c r="L2473" t="s">
        <v>32931</v>
      </c>
      <c r="M2473" t="s">
        <v>32932</v>
      </c>
      <c r="N2473" t="s">
        <v>32933</v>
      </c>
      <c r="O2473">
        <f>-784.399649324241 -96.5322270155139 -522.676009013674</f>
        <v>-1403.6078853534289</v>
      </c>
      <c r="P2473">
        <f>-785.044629873092 -132.111722424324 -230.571725790858</f>
        <v>-1147.7280780882741</v>
      </c>
      <c r="Q2473" t="s">
        <v>32934</v>
      </c>
      <c r="R2473" t="s">
        <v>32935</v>
      </c>
      <c r="S2473" t="s">
        <v>32936</v>
      </c>
      <c r="T2473" t="s">
        <v>32937</v>
      </c>
      <c r="U2473" t="s">
        <v>32938</v>
      </c>
      <c r="V2473">
        <f>-735.872919412625 -11.9871338562746 -93.6841546846697</f>
        <v>-841.5442079535693</v>
      </c>
      <c r="W2473" t="s">
        <v>32939</v>
      </c>
      <c r="X2473" t="s">
        <v>32940</v>
      </c>
      <c r="Y2473" t="s">
        <v>32941</v>
      </c>
    </row>
    <row r="2474" spans="1:25" x14ac:dyDescent="0.3">
      <c r="A2474">
        <v>123650</v>
      </c>
      <c r="B2474" t="s">
        <v>32942</v>
      </c>
      <c r="C2474" t="s">
        <v>32943</v>
      </c>
      <c r="D2474" t="s">
        <v>32944</v>
      </c>
      <c r="E2474" t="s">
        <v>32945</v>
      </c>
      <c r="F2474" t="s">
        <v>32946</v>
      </c>
      <c r="G2474" t="s">
        <v>32947</v>
      </c>
      <c r="H2474" t="s">
        <v>32948</v>
      </c>
      <c r="I2474" t="s">
        <v>32949</v>
      </c>
      <c r="J2474" t="s">
        <v>32950</v>
      </c>
      <c r="K2474" t="s">
        <v>32951</v>
      </c>
      <c r="L2474" t="s">
        <v>32952</v>
      </c>
      <c r="M2474" t="s">
        <v>32953</v>
      </c>
      <c r="N2474" t="s">
        <v>32954</v>
      </c>
      <c r="O2474">
        <f>-784.408459528377 -96.4776243062163 -522.69059624456</f>
        <v>-1403.5766800791532</v>
      </c>
      <c r="P2474">
        <f>-785.423415362361 -132.156796908565 -230.599542218887</f>
        <v>-1148.1797544898131</v>
      </c>
      <c r="Q2474" t="s">
        <v>32955</v>
      </c>
      <c r="R2474" t="s">
        <v>32956</v>
      </c>
      <c r="S2474" t="s">
        <v>32957</v>
      </c>
      <c r="T2474" t="s">
        <v>32958</v>
      </c>
      <c r="U2474" t="s">
        <v>32959</v>
      </c>
      <c r="V2474">
        <f>-735.641947021723 -12.025617129698 -93.6906750652819</f>
        <v>-841.35823921670294</v>
      </c>
      <c r="W2474" t="s">
        <v>32960</v>
      </c>
      <c r="X2474" t="s">
        <v>32961</v>
      </c>
      <c r="Y2474" t="s">
        <v>32962</v>
      </c>
    </row>
    <row r="2475" spans="1:25" x14ac:dyDescent="0.3">
      <c r="A2475">
        <v>123700</v>
      </c>
      <c r="B2475" t="s">
        <v>32963</v>
      </c>
      <c r="C2475" t="s">
        <v>32964</v>
      </c>
      <c r="D2475" t="s">
        <v>32965</v>
      </c>
      <c r="E2475" t="s">
        <v>32966</v>
      </c>
      <c r="F2475" t="s">
        <v>32967</v>
      </c>
      <c r="G2475" t="s">
        <v>32968</v>
      </c>
      <c r="H2475" t="s">
        <v>32969</v>
      </c>
      <c r="I2475" t="s">
        <v>32970</v>
      </c>
      <c r="J2475" t="s">
        <v>32971</v>
      </c>
      <c r="K2475" t="s">
        <v>32972</v>
      </c>
      <c r="L2475" t="s">
        <v>32973</v>
      </c>
      <c r="M2475" t="s">
        <v>32974</v>
      </c>
      <c r="N2475" t="s">
        <v>32975</v>
      </c>
      <c r="O2475">
        <f>-784.028418561928 -96.4509210475533 -522.661275573433</f>
        <v>-1403.1406151829142</v>
      </c>
      <c r="P2475">
        <f>-785.943100587134 -132.132374586798 -230.575015005291</f>
        <v>-1148.6504901792232</v>
      </c>
      <c r="Q2475" t="s">
        <v>32976</v>
      </c>
      <c r="R2475" t="s">
        <v>32977</v>
      </c>
      <c r="S2475" t="s">
        <v>32978</v>
      </c>
      <c r="T2475" t="s">
        <v>32979</v>
      </c>
      <c r="U2475" t="s">
        <v>32980</v>
      </c>
      <c r="V2475">
        <f>-735.086381590176 -12.3079205175084 -93.7143147358051</f>
        <v>-841.10861684348947</v>
      </c>
      <c r="W2475" t="s">
        <v>32981</v>
      </c>
      <c r="X2475" t="s">
        <v>32982</v>
      </c>
      <c r="Y2475" t="s">
        <v>32983</v>
      </c>
    </row>
    <row r="2476" spans="1:25" x14ac:dyDescent="0.3">
      <c r="A2476">
        <v>123750</v>
      </c>
      <c r="B2476" t="s">
        <v>32984</v>
      </c>
      <c r="C2476" t="s">
        <v>32985</v>
      </c>
      <c r="D2476" t="s">
        <v>32986</v>
      </c>
      <c r="E2476" t="s">
        <v>32987</v>
      </c>
      <c r="F2476" t="s">
        <v>32988</v>
      </c>
      <c r="G2476" t="s">
        <v>32989</v>
      </c>
      <c r="H2476" t="s">
        <v>32990</v>
      </c>
      <c r="I2476" t="s">
        <v>32991</v>
      </c>
      <c r="J2476" t="s">
        <v>32992</v>
      </c>
      <c r="K2476" t="s">
        <v>32993</v>
      </c>
      <c r="L2476" t="s">
        <v>32994</v>
      </c>
      <c r="M2476" t="s">
        <v>32995</v>
      </c>
      <c r="N2476" t="s">
        <v>32996</v>
      </c>
      <c r="O2476">
        <f>-783.658167739053 -96.35463469757 -522.663001508839</f>
        <v>-1402.6758039454621</v>
      </c>
      <c r="P2476">
        <f>-785.805918568783 -132.044411338813 -230.579390057798</f>
        <v>-1148.429719965394</v>
      </c>
      <c r="Q2476" t="s">
        <v>32997</v>
      </c>
      <c r="R2476" t="s">
        <v>32998</v>
      </c>
      <c r="S2476" t="s">
        <v>32999</v>
      </c>
      <c r="T2476" t="s">
        <v>33000</v>
      </c>
      <c r="U2476" t="s">
        <v>33001</v>
      </c>
      <c r="V2476">
        <f>-734.764014355002 -12.2394456317304 -93.7239517780721</f>
        <v>-840.72741176480451</v>
      </c>
      <c r="W2476" t="s">
        <v>33002</v>
      </c>
      <c r="X2476" t="s">
        <v>33003</v>
      </c>
      <c r="Y2476" t="s">
        <v>33004</v>
      </c>
    </row>
    <row r="2477" spans="1:25" x14ac:dyDescent="0.3">
      <c r="A2477">
        <v>123800</v>
      </c>
      <c r="B2477" t="s">
        <v>33005</v>
      </c>
      <c r="C2477" t="s">
        <v>33006</v>
      </c>
      <c r="D2477" t="s">
        <v>33007</v>
      </c>
      <c r="E2477" t="s">
        <v>33008</v>
      </c>
      <c r="F2477" t="s">
        <v>33009</v>
      </c>
      <c r="G2477" t="s">
        <v>33010</v>
      </c>
      <c r="H2477" t="s">
        <v>33011</v>
      </c>
      <c r="I2477" t="s">
        <v>33012</v>
      </c>
      <c r="J2477" t="s">
        <v>33013</v>
      </c>
      <c r="K2477" t="s">
        <v>33014</v>
      </c>
      <c r="L2477" t="s">
        <v>33015</v>
      </c>
      <c r="M2477" t="s">
        <v>33016</v>
      </c>
      <c r="N2477" t="s">
        <v>33017</v>
      </c>
      <c r="O2477">
        <f>-782.653081804669 -96.5035805506664 -522.710613519514</f>
        <v>-1401.8672758748494</v>
      </c>
      <c r="P2477">
        <f>-784.475266824735 -132.317495823678 -230.639990531208</f>
        <v>-1147.4327531796209</v>
      </c>
      <c r="Q2477" t="s">
        <v>33018</v>
      </c>
      <c r="R2477" t="s">
        <v>33019</v>
      </c>
      <c r="S2477" t="s">
        <v>33020</v>
      </c>
      <c r="T2477" t="s">
        <v>33021</v>
      </c>
      <c r="U2477" t="s">
        <v>33022</v>
      </c>
      <c r="V2477">
        <f>-734.106172908717 -12.5234788821849 -93.7492291884136</f>
        <v>-840.37888097931545</v>
      </c>
      <c r="W2477" t="s">
        <v>33023</v>
      </c>
      <c r="X2477" t="s">
        <v>33024</v>
      </c>
      <c r="Y2477" t="s">
        <v>33025</v>
      </c>
    </row>
    <row r="2478" spans="1:25" x14ac:dyDescent="0.3">
      <c r="A2478">
        <v>123850</v>
      </c>
      <c r="B2478" t="s">
        <v>33026</v>
      </c>
      <c r="C2478" t="s">
        <v>33027</v>
      </c>
      <c r="D2478" t="s">
        <v>33028</v>
      </c>
      <c r="E2478" t="s">
        <v>33029</v>
      </c>
      <c r="F2478" t="s">
        <v>33030</v>
      </c>
      <c r="G2478" t="s">
        <v>33031</v>
      </c>
      <c r="H2478" t="s">
        <v>33032</v>
      </c>
      <c r="I2478" t="s">
        <v>33033</v>
      </c>
      <c r="J2478" t="s">
        <v>33034</v>
      </c>
      <c r="K2478" t="s">
        <v>33035</v>
      </c>
      <c r="L2478" t="s">
        <v>33036</v>
      </c>
      <c r="M2478" t="s">
        <v>33037</v>
      </c>
      <c r="N2478" t="s">
        <v>33038</v>
      </c>
      <c r="O2478">
        <f>-781.976502668062 -96.5515189190685 -522.744691800856</f>
        <v>-1401.2727133879866</v>
      </c>
      <c r="P2478">
        <f>-783.499033970749 -132.409138919749 -230.677607831948</f>
        <v>-1146.5857807224461</v>
      </c>
      <c r="Q2478" t="s">
        <v>33039</v>
      </c>
      <c r="R2478" t="s">
        <v>33040</v>
      </c>
      <c r="S2478" t="s">
        <v>33041</v>
      </c>
      <c r="T2478" t="s">
        <v>33042</v>
      </c>
      <c r="U2478" t="s">
        <v>33043</v>
      </c>
      <c r="V2478">
        <f>-733.749340146339 -12.5092560010253 -93.7756682210253</f>
        <v>-840.03426436838959</v>
      </c>
      <c r="W2478" t="s">
        <v>33044</v>
      </c>
      <c r="X2478" t="s">
        <v>33045</v>
      </c>
      <c r="Y2478" t="s">
        <v>33046</v>
      </c>
    </row>
    <row r="2479" spans="1:25" x14ac:dyDescent="0.3">
      <c r="A2479">
        <v>123900</v>
      </c>
      <c r="B2479" t="s">
        <v>33047</v>
      </c>
      <c r="C2479" t="s">
        <v>33048</v>
      </c>
      <c r="D2479" t="s">
        <v>33049</v>
      </c>
      <c r="E2479" t="s">
        <v>33050</v>
      </c>
      <c r="F2479" t="s">
        <v>33051</v>
      </c>
      <c r="G2479" t="s">
        <v>33052</v>
      </c>
      <c r="H2479" t="s">
        <v>33053</v>
      </c>
      <c r="I2479" t="s">
        <v>33054</v>
      </c>
      <c r="J2479" t="s">
        <v>33055</v>
      </c>
      <c r="K2479" t="s">
        <v>33056</v>
      </c>
      <c r="L2479" t="s">
        <v>33057</v>
      </c>
      <c r="M2479" t="s">
        <v>33058</v>
      </c>
      <c r="N2479" t="s">
        <v>33059</v>
      </c>
      <c r="O2479">
        <f>-780.660982351091 -96.5509906246282 -522.80985468132</f>
        <v>-1400.021827657039</v>
      </c>
      <c r="P2479">
        <f>-781.941403155391 -132.128930326901 -230.707719629279</f>
        <v>-1144.7780531115709</v>
      </c>
      <c r="Q2479" t="s">
        <v>33060</v>
      </c>
      <c r="R2479" t="s">
        <v>33061</v>
      </c>
      <c r="S2479" t="s">
        <v>33062</v>
      </c>
      <c r="T2479" t="s">
        <v>33063</v>
      </c>
      <c r="U2479" t="s">
        <v>33064</v>
      </c>
      <c r="V2479">
        <f>-733.294359924625 -12.3239662100052 -93.854125741245</f>
        <v>-839.47245187587521</v>
      </c>
      <c r="W2479" t="s">
        <v>33065</v>
      </c>
      <c r="X2479" t="s">
        <v>33066</v>
      </c>
      <c r="Y2479" t="s">
        <v>33067</v>
      </c>
    </row>
    <row r="2480" spans="1:25" x14ac:dyDescent="0.3">
      <c r="A2480">
        <v>123950</v>
      </c>
      <c r="B2480" t="s">
        <v>33068</v>
      </c>
      <c r="C2480" t="s">
        <v>33069</v>
      </c>
      <c r="D2480" t="s">
        <v>33070</v>
      </c>
      <c r="E2480" t="s">
        <v>33071</v>
      </c>
      <c r="F2480" t="s">
        <v>33072</v>
      </c>
      <c r="G2480" t="s">
        <v>33073</v>
      </c>
      <c r="H2480" t="s">
        <v>33074</v>
      </c>
      <c r="I2480" t="s">
        <v>33075</v>
      </c>
      <c r="J2480" t="s">
        <v>33076</v>
      </c>
      <c r="K2480" t="s">
        <v>33077</v>
      </c>
      <c r="L2480" t="s">
        <v>33078</v>
      </c>
      <c r="M2480" t="s">
        <v>33079</v>
      </c>
      <c r="N2480" t="s">
        <v>33080</v>
      </c>
      <c r="O2480">
        <f>-780.050785079863 -96.4192202869353 -522.818021016357</f>
        <v>-1399.2880263831553</v>
      </c>
      <c r="P2480">
        <f>-781.317839965119 -131.899486147216 -230.703709154129</f>
        <v>-1143.9210352664641</v>
      </c>
      <c r="Q2480" t="s">
        <v>33081</v>
      </c>
      <c r="R2480" t="s">
        <v>33082</v>
      </c>
      <c r="S2480" t="s">
        <v>33083</v>
      </c>
      <c r="T2480" t="s">
        <v>33084</v>
      </c>
      <c r="U2480" t="s">
        <v>33085</v>
      </c>
      <c r="V2480">
        <f>-733.14141049711 -12.1176433197647 -93.901222408765</f>
        <v>-839.16027622563968</v>
      </c>
      <c r="W2480" t="s">
        <v>33086</v>
      </c>
      <c r="X2480" t="s">
        <v>33087</v>
      </c>
      <c r="Y2480" t="s">
        <v>33088</v>
      </c>
    </row>
    <row r="2481" spans="1:25" x14ac:dyDescent="0.3">
      <c r="A2481">
        <v>124000</v>
      </c>
      <c r="B2481" t="s">
        <v>33089</v>
      </c>
      <c r="C2481" t="s">
        <v>33090</v>
      </c>
      <c r="D2481" t="s">
        <v>33091</v>
      </c>
      <c r="E2481" t="s">
        <v>33092</v>
      </c>
      <c r="F2481" t="s">
        <v>33093</v>
      </c>
      <c r="G2481" t="s">
        <v>33094</v>
      </c>
      <c r="H2481" t="s">
        <v>33095</v>
      </c>
      <c r="I2481" t="s">
        <v>33096</v>
      </c>
      <c r="J2481" t="s">
        <v>33097</v>
      </c>
      <c r="K2481" t="s">
        <v>33098</v>
      </c>
      <c r="L2481" t="s">
        <v>33099</v>
      </c>
      <c r="M2481" t="s">
        <v>33100</v>
      </c>
      <c r="N2481" t="s">
        <v>33101</v>
      </c>
      <c r="O2481">
        <f>-778.861360957304 -96.1443214412704 -522.776367998784</f>
        <v>-1397.7820503973585</v>
      </c>
      <c r="P2481">
        <f>-780.181559271675 -131.44252079961 -230.640329767807</f>
        <v>-1142.2644098390922</v>
      </c>
      <c r="Q2481" t="s">
        <v>33102</v>
      </c>
      <c r="R2481" t="s">
        <v>33103</v>
      </c>
      <c r="S2481" t="s">
        <v>33104</v>
      </c>
      <c r="T2481" t="s">
        <v>33105</v>
      </c>
      <c r="U2481" t="s">
        <v>33106</v>
      </c>
      <c r="V2481">
        <f>-732.981798269854 -11.6251384245152 -93.9825402613899</f>
        <v>-838.5894769557591</v>
      </c>
      <c r="W2481" t="s">
        <v>33107</v>
      </c>
      <c r="X2481" t="s">
        <v>33108</v>
      </c>
      <c r="Y2481" t="s">
        <v>33109</v>
      </c>
    </row>
    <row r="2482" spans="1:25" x14ac:dyDescent="0.3">
      <c r="A2482">
        <v>124050</v>
      </c>
      <c r="B2482" t="s">
        <v>33110</v>
      </c>
      <c r="C2482" t="s">
        <v>33111</v>
      </c>
      <c r="D2482" t="s">
        <v>33112</v>
      </c>
      <c r="E2482" t="s">
        <v>33113</v>
      </c>
      <c r="F2482" t="s">
        <v>33114</v>
      </c>
      <c r="G2482" t="s">
        <v>33115</v>
      </c>
      <c r="H2482" t="s">
        <v>33116</v>
      </c>
      <c r="I2482" t="s">
        <v>33117</v>
      </c>
      <c r="J2482" t="s">
        <v>33118</v>
      </c>
      <c r="K2482" t="s">
        <v>33119</v>
      </c>
      <c r="L2482" t="s">
        <v>33120</v>
      </c>
      <c r="M2482" t="s">
        <v>33121</v>
      </c>
      <c r="N2482" t="s">
        <v>33122</v>
      </c>
      <c r="O2482">
        <f>-778.359290031892 -95.8554689905809 -522.673039454084</f>
        <v>-1396.8877984765568</v>
      </c>
      <c r="P2482">
        <f>-779.770110800391 -130.833110114404 -230.498896778085</f>
        <v>-1141.10211769288</v>
      </c>
      <c r="Q2482" t="s">
        <v>33123</v>
      </c>
      <c r="R2482" t="s">
        <v>33124</v>
      </c>
      <c r="S2482" t="s">
        <v>33125</v>
      </c>
      <c r="T2482" t="s">
        <v>33126</v>
      </c>
      <c r="U2482" t="s">
        <v>33127</v>
      </c>
      <c r="V2482">
        <f>-732.961157219434 -11.2764770387939 -94.0232958436642</f>
        <v>-838.26093010189209</v>
      </c>
      <c r="W2482" t="s">
        <v>33128</v>
      </c>
      <c r="X2482" t="s">
        <v>33129</v>
      </c>
      <c r="Y2482" t="s">
        <v>33130</v>
      </c>
    </row>
    <row r="2483" spans="1:25" x14ac:dyDescent="0.3">
      <c r="A2483">
        <v>124100</v>
      </c>
      <c r="B2483" t="s">
        <v>33131</v>
      </c>
      <c r="C2483" t="s">
        <v>33132</v>
      </c>
      <c r="D2483" t="s">
        <v>33133</v>
      </c>
      <c r="E2483" t="s">
        <v>33134</v>
      </c>
      <c r="F2483" t="s">
        <v>33135</v>
      </c>
      <c r="G2483" t="s">
        <v>33136</v>
      </c>
      <c r="H2483" t="s">
        <v>33137</v>
      </c>
      <c r="I2483" t="s">
        <v>33138</v>
      </c>
      <c r="J2483" t="s">
        <v>33139</v>
      </c>
      <c r="K2483" t="s">
        <v>33140</v>
      </c>
      <c r="L2483" t="s">
        <v>33141</v>
      </c>
      <c r="M2483" t="s">
        <v>33142</v>
      </c>
      <c r="N2483" t="s">
        <v>33143</v>
      </c>
      <c r="O2483">
        <f>-777.753463523625 -95.6004902728005 -522.293081143636</f>
        <v>-1395.6470349400615</v>
      </c>
      <c r="P2483">
        <f>-779.352467973597 -129.750535916523 -230.021992346216</f>
        <v>-1139.1249962363358</v>
      </c>
      <c r="Q2483" t="s">
        <v>33144</v>
      </c>
      <c r="R2483" t="s">
        <v>33145</v>
      </c>
      <c r="S2483" t="s">
        <v>33146</v>
      </c>
      <c r="T2483" t="s">
        <v>33147</v>
      </c>
      <c r="U2483" t="s">
        <v>33148</v>
      </c>
      <c r="V2483">
        <f>-733.169601888798 -10.5625936041199 -94.0630075804517</f>
        <v>-837.79520307336952</v>
      </c>
      <c r="W2483" t="s">
        <v>33149</v>
      </c>
      <c r="X2483" t="s">
        <v>33150</v>
      </c>
      <c r="Y2483" t="s">
        <v>33151</v>
      </c>
    </row>
    <row r="2484" spans="1:25" x14ac:dyDescent="0.3">
      <c r="A2484">
        <v>124150</v>
      </c>
      <c r="B2484" t="s">
        <v>33152</v>
      </c>
      <c r="C2484" t="s">
        <v>33153</v>
      </c>
      <c r="D2484" t="s">
        <v>33154</v>
      </c>
      <c r="E2484" t="s">
        <v>33155</v>
      </c>
      <c r="F2484" t="s">
        <v>33156</v>
      </c>
      <c r="G2484" t="s">
        <v>33157</v>
      </c>
      <c r="H2484" t="s">
        <v>33158</v>
      </c>
      <c r="I2484" t="s">
        <v>33159</v>
      </c>
      <c r="J2484" t="s">
        <v>33160</v>
      </c>
      <c r="K2484" t="s">
        <v>33161</v>
      </c>
      <c r="L2484" t="s">
        <v>33162</v>
      </c>
      <c r="M2484" t="s">
        <v>33163</v>
      </c>
      <c r="N2484" t="s">
        <v>33164</v>
      </c>
      <c r="O2484">
        <f>-777.619748037517 -95.6237093561092 -522.045737840098</f>
        <v>-1395.2891952337241</v>
      </c>
      <c r="P2484">
        <f>-779.212867948519 -129.390913565059 -229.730074413854</f>
        <v>-1138.3338559274321</v>
      </c>
      <c r="Q2484" t="s">
        <v>33165</v>
      </c>
      <c r="R2484" t="s">
        <v>33166</v>
      </c>
      <c r="S2484" t="s">
        <v>33167</v>
      </c>
      <c r="T2484" t="s">
        <v>33168</v>
      </c>
      <c r="U2484" t="s">
        <v>33169</v>
      </c>
      <c r="V2484">
        <f>-733.299380554041 -10.4168016743456 -94.0689351302972</f>
        <v>-837.78511735868381</v>
      </c>
      <c r="W2484" t="s">
        <v>33170</v>
      </c>
      <c r="X2484" t="s">
        <v>33171</v>
      </c>
      <c r="Y2484" t="s">
        <v>33172</v>
      </c>
    </row>
    <row r="2485" spans="1:25" x14ac:dyDescent="0.3">
      <c r="A2485">
        <v>124200</v>
      </c>
      <c r="B2485" t="s">
        <v>33173</v>
      </c>
      <c r="C2485" t="s">
        <v>33174</v>
      </c>
      <c r="D2485" t="s">
        <v>33175</v>
      </c>
      <c r="E2485" t="s">
        <v>33176</v>
      </c>
      <c r="F2485" t="s">
        <v>33177</v>
      </c>
      <c r="G2485" t="s">
        <v>33178</v>
      </c>
      <c r="H2485" t="s">
        <v>33179</v>
      </c>
      <c r="I2485" t="s">
        <v>33180</v>
      </c>
      <c r="J2485" t="s">
        <v>33181</v>
      </c>
      <c r="K2485" t="s">
        <v>33182</v>
      </c>
      <c r="L2485" t="s">
        <v>33183</v>
      </c>
      <c r="M2485" t="s">
        <v>33184</v>
      </c>
      <c r="N2485" t="s">
        <v>33185</v>
      </c>
      <c r="O2485">
        <f>-777.436480014862 -95.5841094821565 -521.598838850569</f>
        <v>-1394.6194283475875</v>
      </c>
      <c r="P2485">
        <f>-778.975949954205 -128.511343685685 -229.187162065662</f>
        <v>-1136.674455705552</v>
      </c>
      <c r="Q2485" t="s">
        <v>33186</v>
      </c>
      <c r="R2485" t="s">
        <v>33187</v>
      </c>
      <c r="S2485" t="s">
        <v>33188</v>
      </c>
      <c r="T2485" t="s">
        <v>33189</v>
      </c>
      <c r="U2485" t="s">
        <v>33190</v>
      </c>
      <c r="V2485">
        <f>-733.370447924584 -9.74201406081534 -94.0694849873175</f>
        <v>-837.1819469727169</v>
      </c>
      <c r="W2485" t="s">
        <v>33191</v>
      </c>
      <c r="X2485" t="s">
        <v>33192</v>
      </c>
      <c r="Y2485" t="s">
        <v>33193</v>
      </c>
    </row>
    <row r="2486" spans="1:25" x14ac:dyDescent="0.3">
      <c r="A2486">
        <v>124250</v>
      </c>
      <c r="B2486" t="s">
        <v>33194</v>
      </c>
      <c r="C2486" t="s">
        <v>33195</v>
      </c>
      <c r="D2486" t="s">
        <v>33196</v>
      </c>
      <c r="E2486" t="s">
        <v>33197</v>
      </c>
      <c r="F2486" t="s">
        <v>33198</v>
      </c>
      <c r="G2486" t="s">
        <v>33199</v>
      </c>
      <c r="H2486" t="s">
        <v>33200</v>
      </c>
      <c r="I2486" t="s">
        <v>33201</v>
      </c>
      <c r="J2486" t="s">
        <v>33202</v>
      </c>
      <c r="K2486" t="s">
        <v>33203</v>
      </c>
      <c r="L2486" t="s">
        <v>33204</v>
      </c>
      <c r="M2486" t="s">
        <v>33205</v>
      </c>
      <c r="N2486" t="s">
        <v>33206</v>
      </c>
      <c r="O2486">
        <f>-777.43136314148 -95.5865627218218 -521.395770490494</f>
        <v>-1394.4136963537958</v>
      </c>
      <c r="P2486">
        <f>-778.940075126003 -128.184720413416 -228.947017470512</f>
        <v>-1136.071813009931</v>
      </c>
      <c r="Q2486" t="s">
        <v>33207</v>
      </c>
      <c r="R2486" t="s">
        <v>33208</v>
      </c>
      <c r="S2486" t="s">
        <v>33209</v>
      </c>
      <c r="T2486" t="s">
        <v>33210</v>
      </c>
      <c r="U2486" t="s">
        <v>33211</v>
      </c>
      <c r="V2486">
        <f>-733.423409973037 -9.34478597883231 -94.059859670307</f>
        <v>-836.82805562217629</v>
      </c>
      <c r="W2486" t="s">
        <v>33212</v>
      </c>
      <c r="X2486" t="s">
        <v>33213</v>
      </c>
      <c r="Y2486" t="s">
        <v>33214</v>
      </c>
    </row>
    <row r="2487" spans="1:25" x14ac:dyDescent="0.3">
      <c r="A2487">
        <v>124300</v>
      </c>
      <c r="B2487" t="s">
        <v>33215</v>
      </c>
      <c r="C2487" t="s">
        <v>33216</v>
      </c>
      <c r="D2487" t="s">
        <v>33217</v>
      </c>
      <c r="E2487" t="s">
        <v>33218</v>
      </c>
      <c r="F2487" t="s">
        <v>33219</v>
      </c>
      <c r="G2487" t="s">
        <v>33220</v>
      </c>
      <c r="H2487" t="s">
        <v>33221</v>
      </c>
      <c r="I2487" t="s">
        <v>33222</v>
      </c>
      <c r="J2487" t="s">
        <v>33223</v>
      </c>
      <c r="K2487" t="s">
        <v>33224</v>
      </c>
      <c r="L2487" t="s">
        <v>33225</v>
      </c>
      <c r="M2487" t="s">
        <v>33226</v>
      </c>
      <c r="N2487" t="s">
        <v>33227</v>
      </c>
      <c r="O2487">
        <f>-777.519024165662 -95.6696889944385 -521.000431479546</f>
        <v>-1394.1891446396467</v>
      </c>
      <c r="P2487">
        <f>-778.900034879475 -127.631526399394 -228.480649677491</f>
        <v>-1135.0122109563599</v>
      </c>
      <c r="Q2487" t="s">
        <v>33228</v>
      </c>
      <c r="R2487" t="s">
        <v>33229</v>
      </c>
      <c r="S2487" t="s">
        <v>33230</v>
      </c>
      <c r="T2487" t="s">
        <v>33231</v>
      </c>
      <c r="U2487" t="s">
        <v>33232</v>
      </c>
      <c r="V2487">
        <f>-733.614174463575 -8.95268060663011 -94.043827963735</f>
        <v>-836.61068303394006</v>
      </c>
      <c r="W2487" t="s">
        <v>33233</v>
      </c>
      <c r="X2487" t="s">
        <v>33234</v>
      </c>
      <c r="Y2487" t="s">
        <v>33235</v>
      </c>
    </row>
    <row r="2488" spans="1:25" x14ac:dyDescent="0.3">
      <c r="A2488">
        <v>124350</v>
      </c>
      <c r="B2488" t="s">
        <v>33236</v>
      </c>
      <c r="C2488" t="s">
        <v>33237</v>
      </c>
      <c r="D2488" t="s">
        <v>33238</v>
      </c>
      <c r="E2488" t="s">
        <v>33239</v>
      </c>
      <c r="F2488" t="s">
        <v>33240</v>
      </c>
      <c r="G2488" t="s">
        <v>33241</v>
      </c>
      <c r="H2488" t="s">
        <v>33242</v>
      </c>
      <c r="I2488" t="s">
        <v>33243</v>
      </c>
      <c r="J2488" t="s">
        <v>33244</v>
      </c>
      <c r="K2488" t="s">
        <v>33245</v>
      </c>
      <c r="L2488" t="s">
        <v>33246</v>
      </c>
      <c r="M2488" t="s">
        <v>33247</v>
      </c>
      <c r="N2488" t="s">
        <v>33248</v>
      </c>
      <c r="O2488">
        <f>-777.670605578496 -95.6304526256044 -520.58898507388</f>
        <v>-1393.8900432779806</v>
      </c>
      <c r="P2488">
        <f>-779.073843924291 -126.891196995862 -227.993661579741</f>
        <v>-1133.9587024998941</v>
      </c>
      <c r="Q2488" t="s">
        <v>33249</v>
      </c>
      <c r="R2488" t="s">
        <v>33250</v>
      </c>
      <c r="S2488" t="s">
        <v>33251</v>
      </c>
      <c r="T2488" t="s">
        <v>33252</v>
      </c>
      <c r="U2488" t="s">
        <v>33253</v>
      </c>
      <c r="V2488">
        <f>-733.86138640536 -8.34861063207882 -94.019696609721</f>
        <v>-836.22969364715982</v>
      </c>
      <c r="W2488" t="s">
        <v>33254</v>
      </c>
      <c r="X2488" t="s">
        <v>33255</v>
      </c>
      <c r="Y2488" t="s">
        <v>33256</v>
      </c>
    </row>
    <row r="2489" spans="1:25" x14ac:dyDescent="0.3">
      <c r="A2489">
        <v>124400</v>
      </c>
      <c r="B2489" t="s">
        <v>33257</v>
      </c>
      <c r="C2489" t="s">
        <v>33258</v>
      </c>
      <c r="D2489" t="s">
        <v>33259</v>
      </c>
      <c r="E2489" t="s">
        <v>33260</v>
      </c>
      <c r="F2489" t="s">
        <v>33261</v>
      </c>
      <c r="G2489" t="s">
        <v>33262</v>
      </c>
      <c r="H2489" t="s">
        <v>33263</v>
      </c>
      <c r="I2489" t="s">
        <v>33264</v>
      </c>
      <c r="J2489" t="s">
        <v>33265</v>
      </c>
      <c r="K2489" t="s">
        <v>33266</v>
      </c>
      <c r="L2489" t="s">
        <v>33267</v>
      </c>
      <c r="M2489" t="s">
        <v>33268</v>
      </c>
      <c r="N2489" t="s">
        <v>33269</v>
      </c>
      <c r="O2489">
        <f>-777.800512409455 -95.6474854773664 -520.400513896875</f>
        <v>-1393.8485117836965</v>
      </c>
      <c r="P2489">
        <f>-779.185186661229 -126.632761737938 -227.775909514936</f>
        <v>-1133.593857914103</v>
      </c>
      <c r="Q2489" t="s">
        <v>33270</v>
      </c>
      <c r="R2489" t="s">
        <v>33271</v>
      </c>
      <c r="S2489" t="s">
        <v>33272</v>
      </c>
      <c r="T2489" t="s">
        <v>33273</v>
      </c>
      <c r="U2489" t="s">
        <v>33274</v>
      </c>
      <c r="V2489">
        <f>-733.971733549326 -8.14639699492136 -93.9965243279473</f>
        <v>-836.11465487219471</v>
      </c>
      <c r="W2489" t="s">
        <v>33275</v>
      </c>
      <c r="X2489" t="s">
        <v>33276</v>
      </c>
      <c r="Y2489" t="s">
        <v>33277</v>
      </c>
    </row>
    <row r="2490" spans="1:25" x14ac:dyDescent="0.3">
      <c r="A2490">
        <v>124450</v>
      </c>
      <c r="B2490" t="s">
        <v>33278</v>
      </c>
      <c r="C2490" t="s">
        <v>33279</v>
      </c>
      <c r="D2490" t="s">
        <v>33280</v>
      </c>
      <c r="E2490" t="s">
        <v>33281</v>
      </c>
      <c r="F2490" t="s">
        <v>33282</v>
      </c>
      <c r="G2490" t="s">
        <v>33283</v>
      </c>
      <c r="H2490" t="s">
        <v>33284</v>
      </c>
      <c r="I2490" t="s">
        <v>33285</v>
      </c>
      <c r="J2490" t="s">
        <v>33286</v>
      </c>
      <c r="K2490" t="s">
        <v>33287</v>
      </c>
      <c r="L2490" t="s">
        <v>33288</v>
      </c>
      <c r="M2490" t="s">
        <v>33289</v>
      </c>
      <c r="N2490" t="s">
        <v>33290</v>
      </c>
      <c r="O2490">
        <f>-777.95812434581 -95.6271683093837 -520.270755568644</f>
        <v>-1393.8560482238377</v>
      </c>
      <c r="P2490">
        <f>-779.303427190512 -126.365663100335 -227.619951582804</f>
        <v>-1133.2890418736511</v>
      </c>
      <c r="Q2490" t="s">
        <v>33291</v>
      </c>
      <c r="R2490" t="s">
        <v>33292</v>
      </c>
      <c r="S2490" t="s">
        <v>33293</v>
      </c>
      <c r="T2490" t="s">
        <v>33294</v>
      </c>
      <c r="U2490" t="s">
        <v>33295</v>
      </c>
      <c r="V2490">
        <f>-734.059406961926 -8.00889986065818 -93.9765964281718</f>
        <v>-836.04490325075597</v>
      </c>
      <c r="W2490" t="s">
        <v>33296</v>
      </c>
      <c r="X2490" t="s">
        <v>33297</v>
      </c>
      <c r="Y2490" t="s">
        <v>33298</v>
      </c>
    </row>
    <row r="2491" spans="1:25" x14ac:dyDescent="0.3">
      <c r="A2491">
        <v>124500</v>
      </c>
      <c r="B2491" t="s">
        <v>33299</v>
      </c>
      <c r="C2491" t="s">
        <v>33300</v>
      </c>
      <c r="D2491" t="s">
        <v>33301</v>
      </c>
      <c r="E2491" t="s">
        <v>33302</v>
      </c>
      <c r="F2491" t="s">
        <v>33303</v>
      </c>
      <c r="G2491" t="s">
        <v>33304</v>
      </c>
      <c r="H2491" t="s">
        <v>33305</v>
      </c>
      <c r="I2491" t="s">
        <v>33306</v>
      </c>
      <c r="J2491" t="s">
        <v>33307</v>
      </c>
      <c r="K2491" t="s">
        <v>33308</v>
      </c>
      <c r="L2491" t="s">
        <v>33309</v>
      </c>
      <c r="M2491" t="s">
        <v>33310</v>
      </c>
      <c r="N2491" t="s">
        <v>33311</v>
      </c>
      <c r="O2491">
        <f>-778.225575990693 -95.6488391976654 -520.0883613144</f>
        <v>-1393.9627765027585</v>
      </c>
      <c r="P2491">
        <f>-779.32912627347 -126.12719702839 -227.409225330606</f>
        <v>-1132.865548632466</v>
      </c>
      <c r="Q2491" t="s">
        <v>33312</v>
      </c>
      <c r="R2491" t="s">
        <v>33313</v>
      </c>
      <c r="S2491" t="s">
        <v>33314</v>
      </c>
      <c r="T2491" t="s">
        <v>33315</v>
      </c>
      <c r="U2491" t="s">
        <v>33316</v>
      </c>
      <c r="V2491">
        <f>-734.111866621756 -7.806904573064 -93.9771287039425</f>
        <v>-835.89589989876254</v>
      </c>
      <c r="W2491" t="s">
        <v>33317</v>
      </c>
      <c r="X2491" t="s">
        <v>33318</v>
      </c>
      <c r="Y2491" t="s">
        <v>33319</v>
      </c>
    </row>
    <row r="2492" spans="1:25" x14ac:dyDescent="0.3">
      <c r="A2492">
        <v>124550</v>
      </c>
      <c r="B2492" t="s">
        <v>33320</v>
      </c>
      <c r="C2492" t="s">
        <v>33321</v>
      </c>
      <c r="D2492" t="s">
        <v>33322</v>
      </c>
      <c r="E2492" t="s">
        <v>33323</v>
      </c>
      <c r="F2492" t="s">
        <v>33324</v>
      </c>
      <c r="G2492" t="s">
        <v>33325</v>
      </c>
      <c r="H2492" t="s">
        <v>33326</v>
      </c>
      <c r="I2492" t="s">
        <v>33327</v>
      </c>
      <c r="J2492" t="s">
        <v>33328</v>
      </c>
      <c r="K2492" t="s">
        <v>33329</v>
      </c>
      <c r="L2492" t="s">
        <v>33330</v>
      </c>
      <c r="M2492" t="s">
        <v>33331</v>
      </c>
      <c r="N2492" t="s">
        <v>33332</v>
      </c>
      <c r="O2492">
        <f>-778.381036976078 -95.6473091316911 -520.030306394891</f>
        <v>-1394.0586525026602</v>
      </c>
      <c r="P2492">
        <f>-779.401198449826 -126.085565031866 -227.346754880651</f>
        <v>-1132.8335183623428</v>
      </c>
      <c r="Q2492" t="s">
        <v>33333</v>
      </c>
      <c r="R2492" t="s">
        <v>33334</v>
      </c>
      <c r="S2492" t="s">
        <v>33335</v>
      </c>
      <c r="T2492" t="s">
        <v>33336</v>
      </c>
      <c r="U2492" t="s">
        <v>33337</v>
      </c>
      <c r="V2492">
        <f>-734.242088013473 -7.80828337539128 -93.9719949708124</f>
        <v>-836.02236635967665</v>
      </c>
      <c r="W2492" t="s">
        <v>33338</v>
      </c>
      <c r="X2492" t="s">
        <v>33339</v>
      </c>
      <c r="Y2492" t="s">
        <v>33340</v>
      </c>
    </row>
    <row r="2493" spans="1:25" x14ac:dyDescent="0.3">
      <c r="A2493">
        <v>124600</v>
      </c>
      <c r="B2493" t="s">
        <v>33341</v>
      </c>
      <c r="C2493" t="s">
        <v>33342</v>
      </c>
      <c r="D2493" t="s">
        <v>33343</v>
      </c>
      <c r="E2493" t="s">
        <v>33344</v>
      </c>
      <c r="F2493" t="s">
        <v>33345</v>
      </c>
      <c r="G2493" t="s">
        <v>33346</v>
      </c>
      <c r="H2493" t="s">
        <v>33347</v>
      </c>
      <c r="I2493" t="s">
        <v>33348</v>
      </c>
      <c r="J2493" t="s">
        <v>33349</v>
      </c>
      <c r="K2493" t="s">
        <v>33350</v>
      </c>
      <c r="L2493" t="s">
        <v>33351</v>
      </c>
      <c r="M2493" t="s">
        <v>33352</v>
      </c>
      <c r="N2493" t="s">
        <v>33353</v>
      </c>
      <c r="O2493">
        <f>-778.788396194731 -95.5637358567376 -519.944681585283</f>
        <v>-1394.2968136367517</v>
      </c>
      <c r="P2493">
        <f>-779.686038159841 -125.956351346028 -227.256017809931</f>
        <v>-1132.8984073157999</v>
      </c>
      <c r="Q2493" t="s">
        <v>33354</v>
      </c>
      <c r="R2493" t="s">
        <v>33355</v>
      </c>
      <c r="S2493" t="s">
        <v>33356</v>
      </c>
      <c r="T2493" t="s">
        <v>33357</v>
      </c>
      <c r="U2493" t="s">
        <v>33358</v>
      </c>
      <c r="V2493">
        <f>-734.502066615191 -7.76359541794432 -93.9443304389176</f>
        <v>-836.20999247205293</v>
      </c>
      <c r="W2493" t="s">
        <v>33359</v>
      </c>
      <c r="X2493" t="s">
        <v>33360</v>
      </c>
      <c r="Y2493" t="s">
        <v>33361</v>
      </c>
    </row>
    <row r="2494" spans="1:25" x14ac:dyDescent="0.3">
      <c r="A2494">
        <v>124650</v>
      </c>
      <c r="B2494" t="s">
        <v>33362</v>
      </c>
      <c r="C2494" t="s">
        <v>33363</v>
      </c>
      <c r="D2494" t="s">
        <v>33364</v>
      </c>
      <c r="E2494" t="s">
        <v>33365</v>
      </c>
      <c r="F2494" t="s">
        <v>33366</v>
      </c>
      <c r="G2494" t="s">
        <v>33367</v>
      </c>
      <c r="H2494" t="s">
        <v>33368</v>
      </c>
      <c r="I2494" t="s">
        <v>33369</v>
      </c>
      <c r="J2494" t="s">
        <v>33370</v>
      </c>
      <c r="K2494" t="s">
        <v>33371</v>
      </c>
      <c r="L2494" t="s">
        <v>33372</v>
      </c>
      <c r="M2494" t="s">
        <v>33373</v>
      </c>
      <c r="N2494" t="s">
        <v>33374</v>
      </c>
      <c r="O2494">
        <f>-778.995182199809 -95.5203686193552 -519.900394137913</f>
        <v>-1394.4159449570773</v>
      </c>
      <c r="P2494">
        <f>-779.886064635629 -125.876612346311 -227.207845044734</f>
        <v>-1132.9705220266742</v>
      </c>
      <c r="Q2494" t="s">
        <v>33375</v>
      </c>
      <c r="R2494" t="s">
        <v>33376</v>
      </c>
      <c r="S2494" t="s">
        <v>33377</v>
      </c>
      <c r="T2494" t="s">
        <v>33378</v>
      </c>
      <c r="U2494" t="s">
        <v>33379</v>
      </c>
      <c r="V2494">
        <f>-734.544495280209 -7.74200405101806 -93.9347001067865</f>
        <v>-836.22119943801363</v>
      </c>
      <c r="W2494" t="s">
        <v>33380</v>
      </c>
      <c r="X2494" t="s">
        <v>33381</v>
      </c>
      <c r="Y2494" t="s">
        <v>33382</v>
      </c>
    </row>
    <row r="2495" spans="1:25" x14ac:dyDescent="0.3">
      <c r="A2495">
        <v>124700</v>
      </c>
      <c r="B2495" t="s">
        <v>33383</v>
      </c>
      <c r="C2495" t="s">
        <v>33384</v>
      </c>
      <c r="D2495" t="s">
        <v>33385</v>
      </c>
      <c r="E2495" t="s">
        <v>33386</v>
      </c>
      <c r="F2495" t="s">
        <v>33387</v>
      </c>
      <c r="G2495" t="s">
        <v>33388</v>
      </c>
      <c r="H2495" t="s">
        <v>33389</v>
      </c>
      <c r="I2495" t="s">
        <v>33390</v>
      </c>
      <c r="J2495" t="s">
        <v>33391</v>
      </c>
      <c r="K2495" t="s">
        <v>33392</v>
      </c>
      <c r="L2495" t="s">
        <v>33393</v>
      </c>
      <c r="M2495" t="s">
        <v>33394</v>
      </c>
      <c r="N2495" t="s">
        <v>33395</v>
      </c>
      <c r="O2495">
        <f>-779.724006501221 -95.6678170112796 -519.825631915665</f>
        <v>-1395.2174554281655</v>
      </c>
      <c r="P2495">
        <f>-780.417734564118 -126.099181008451 -227.140459475579</f>
        <v>-1133.657375048148</v>
      </c>
      <c r="Q2495" t="s">
        <v>33396</v>
      </c>
      <c r="R2495" t="s">
        <v>33397</v>
      </c>
      <c r="S2495" t="s">
        <v>33398</v>
      </c>
      <c r="T2495" t="s">
        <v>33399</v>
      </c>
      <c r="U2495" t="s">
        <v>33400</v>
      </c>
      <c r="V2495">
        <f>-734.897271484008 -8.05033852263455 -93.8821015561015</f>
        <v>-836.82971156274402</v>
      </c>
      <c r="W2495" t="s">
        <v>33401</v>
      </c>
      <c r="X2495" t="s">
        <v>33402</v>
      </c>
      <c r="Y2495" t="s">
        <v>33403</v>
      </c>
    </row>
    <row r="2496" spans="1:25" x14ac:dyDescent="0.3">
      <c r="A2496">
        <v>124750</v>
      </c>
      <c r="B2496" t="s">
        <v>33404</v>
      </c>
      <c r="C2496" t="s">
        <v>33405</v>
      </c>
      <c r="D2496" t="s">
        <v>33406</v>
      </c>
      <c r="E2496" t="s">
        <v>33407</v>
      </c>
      <c r="F2496" t="s">
        <v>33408</v>
      </c>
      <c r="G2496" t="s">
        <v>33409</v>
      </c>
      <c r="H2496" t="s">
        <v>33410</v>
      </c>
      <c r="I2496" t="s">
        <v>33411</v>
      </c>
      <c r="J2496" t="s">
        <v>33412</v>
      </c>
      <c r="K2496" t="s">
        <v>33413</v>
      </c>
      <c r="L2496" t="s">
        <v>33414</v>
      </c>
      <c r="M2496" t="s">
        <v>33415</v>
      </c>
      <c r="N2496" t="s">
        <v>33416</v>
      </c>
      <c r="O2496">
        <f>-780.014941964923 -95.6246114405981 -519.839368529237</f>
        <v>-1395.4789219347581</v>
      </c>
      <c r="P2496">
        <f>-780.670408802922 -126.066964330765 -227.155142586931</f>
        <v>-1133.8925157206181</v>
      </c>
      <c r="Q2496" t="s">
        <v>33417</v>
      </c>
      <c r="R2496" t="s">
        <v>33418</v>
      </c>
      <c r="S2496" t="s">
        <v>33419</v>
      </c>
      <c r="T2496" t="s">
        <v>33420</v>
      </c>
      <c r="U2496" t="s">
        <v>33421</v>
      </c>
      <c r="V2496">
        <f>-734.968822319725 -8.05498529063811 -93.8708130923472</f>
        <v>-836.89462070271031</v>
      </c>
      <c r="W2496" t="s">
        <v>33422</v>
      </c>
      <c r="X2496" t="s">
        <v>33423</v>
      </c>
      <c r="Y2496" t="s">
        <v>33424</v>
      </c>
    </row>
    <row r="2497" spans="1:25" x14ac:dyDescent="0.3">
      <c r="A2497">
        <v>124800</v>
      </c>
      <c r="B2497" t="s">
        <v>33425</v>
      </c>
      <c r="C2497" t="s">
        <v>33426</v>
      </c>
      <c r="D2497" t="s">
        <v>33427</v>
      </c>
      <c r="E2497" t="s">
        <v>33428</v>
      </c>
      <c r="F2497" t="s">
        <v>33429</v>
      </c>
      <c r="G2497" t="s">
        <v>33430</v>
      </c>
      <c r="H2497" t="s">
        <v>33431</v>
      </c>
      <c r="I2497" t="s">
        <v>33432</v>
      </c>
      <c r="J2497" t="s">
        <v>33433</v>
      </c>
      <c r="K2497" t="s">
        <v>33434</v>
      </c>
      <c r="L2497" t="s">
        <v>33435</v>
      </c>
      <c r="M2497" t="s">
        <v>33436</v>
      </c>
      <c r="N2497" t="s">
        <v>33437</v>
      </c>
      <c r="O2497">
        <f>-780.766843982414 -95.657935735825 -519.905383731957</f>
        <v>-1396.3301634501961</v>
      </c>
      <c r="P2497">
        <f>-781.160834150661 -126.21881611346 -227.233021248616</f>
        <v>-1134.6126715127371</v>
      </c>
      <c r="Q2497" t="s">
        <v>33438</v>
      </c>
      <c r="R2497" t="s">
        <v>33439</v>
      </c>
      <c r="S2497" t="s">
        <v>33440</v>
      </c>
      <c r="T2497" t="s">
        <v>33441</v>
      </c>
      <c r="U2497" t="s">
        <v>33442</v>
      </c>
      <c r="V2497">
        <f>-735.34336738177 -8.44722625090481 -93.8334883527664</f>
        <v>-837.62408198544119</v>
      </c>
      <c r="W2497" t="s">
        <v>33443</v>
      </c>
      <c r="X2497" t="s">
        <v>33444</v>
      </c>
      <c r="Y2497" t="s">
        <v>33445</v>
      </c>
    </row>
    <row r="2498" spans="1:25" x14ac:dyDescent="0.3">
      <c r="A2498">
        <v>124850</v>
      </c>
      <c r="B2498" t="s">
        <v>33446</v>
      </c>
      <c r="C2498" t="s">
        <v>33447</v>
      </c>
      <c r="D2498" t="s">
        <v>33448</v>
      </c>
      <c r="E2498" t="s">
        <v>33449</v>
      </c>
      <c r="F2498" t="s">
        <v>33450</v>
      </c>
      <c r="G2498" t="s">
        <v>33451</v>
      </c>
      <c r="H2498" t="s">
        <v>33452</v>
      </c>
      <c r="I2498" t="s">
        <v>33453</v>
      </c>
      <c r="J2498" t="s">
        <v>33454</v>
      </c>
      <c r="K2498" t="s">
        <v>33455</v>
      </c>
      <c r="L2498" t="s">
        <v>33456</v>
      </c>
      <c r="M2498" t="s">
        <v>33457</v>
      </c>
      <c r="N2498" t="s">
        <v>33458</v>
      </c>
      <c r="O2498">
        <f>-781.148482922072 -95.6122105868724 -519.979424471138</f>
        <v>-1396.7401179800825</v>
      </c>
      <c r="P2498">
        <f>-781.403737247584 -126.284306620335 -227.318480510646</f>
        <v>-1135.006524378565</v>
      </c>
      <c r="Q2498" t="s">
        <v>33459</v>
      </c>
      <c r="R2498" t="s">
        <v>33460</v>
      </c>
      <c r="S2498" t="s">
        <v>33461</v>
      </c>
      <c r="T2498" t="s">
        <v>33462</v>
      </c>
      <c r="U2498" t="s">
        <v>33463</v>
      </c>
      <c r="V2498">
        <f>-735.556178108354 -8.38495360548063 -93.8107114310724</f>
        <v>-837.75184314490696</v>
      </c>
      <c r="W2498" t="s">
        <v>33464</v>
      </c>
      <c r="X2498" t="s">
        <v>33465</v>
      </c>
      <c r="Y2498" t="s">
        <v>33466</v>
      </c>
    </row>
    <row r="2499" spans="1:25" x14ac:dyDescent="0.3">
      <c r="A2499">
        <v>124900</v>
      </c>
      <c r="B2499" t="s">
        <v>33467</v>
      </c>
      <c r="C2499" t="s">
        <v>33468</v>
      </c>
      <c r="D2499" t="s">
        <v>33469</v>
      </c>
      <c r="E2499" t="s">
        <v>33470</v>
      </c>
      <c r="F2499" t="s">
        <v>33471</v>
      </c>
      <c r="G2499" t="s">
        <v>33472</v>
      </c>
      <c r="H2499" t="s">
        <v>33473</v>
      </c>
      <c r="I2499" t="s">
        <v>33474</v>
      </c>
      <c r="J2499" t="s">
        <v>33475</v>
      </c>
      <c r="K2499" t="s">
        <v>33476</v>
      </c>
      <c r="L2499" t="s">
        <v>33477</v>
      </c>
      <c r="M2499" t="s">
        <v>33478</v>
      </c>
      <c r="N2499" t="s">
        <v>33479</v>
      </c>
      <c r="O2499">
        <f>-782.268820360629 -95.6515069471627 -520.182824842094</f>
        <v>-1398.1031521498858</v>
      </c>
      <c r="P2499">
        <f>-782.096709637041 -126.795284453711 -227.571728130881</f>
        <v>-1136.4637222216331</v>
      </c>
      <c r="Q2499" t="s">
        <v>33480</v>
      </c>
      <c r="R2499" t="s">
        <v>33481</v>
      </c>
      <c r="S2499" t="s">
        <v>33482</v>
      </c>
      <c r="T2499" t="s">
        <v>33483</v>
      </c>
      <c r="U2499" t="s">
        <v>33484</v>
      </c>
      <c r="V2499">
        <f>-736.13209921107 -8.28878243687973 -93.7837103926981</f>
        <v>-838.20459204064787</v>
      </c>
      <c r="W2499" t="s">
        <v>33485</v>
      </c>
      <c r="X2499" t="s">
        <v>33486</v>
      </c>
      <c r="Y2499" t="s">
        <v>33487</v>
      </c>
    </row>
    <row r="2500" spans="1:25" x14ac:dyDescent="0.3">
      <c r="A2500">
        <v>124950</v>
      </c>
      <c r="B2500" t="s">
        <v>33488</v>
      </c>
      <c r="C2500" t="s">
        <v>33489</v>
      </c>
      <c r="D2500" t="s">
        <v>33490</v>
      </c>
      <c r="E2500" t="s">
        <v>33491</v>
      </c>
      <c r="F2500" t="s">
        <v>33492</v>
      </c>
      <c r="G2500" t="s">
        <v>33493</v>
      </c>
      <c r="H2500" t="s">
        <v>33494</v>
      </c>
      <c r="I2500" t="s">
        <v>33495</v>
      </c>
      <c r="J2500" t="s">
        <v>33496</v>
      </c>
      <c r="K2500" t="s">
        <v>33497</v>
      </c>
      <c r="L2500" t="s">
        <v>33498</v>
      </c>
      <c r="M2500" t="s">
        <v>33499</v>
      </c>
      <c r="N2500" t="s">
        <v>33500</v>
      </c>
      <c r="O2500">
        <f>-783.026950844213 -95.7834264619225 -520.272728791386</f>
        <v>-1399.0831060975215</v>
      </c>
      <c r="P2500">
        <f>-782.58387507623 -127.055581983774 -227.675663693056</f>
        <v>-1137.31512075306</v>
      </c>
      <c r="Q2500" t="s">
        <v>33501</v>
      </c>
      <c r="R2500" t="s">
        <v>33502</v>
      </c>
      <c r="S2500" t="s">
        <v>33503</v>
      </c>
      <c r="T2500" t="s">
        <v>33504</v>
      </c>
      <c r="U2500" t="s">
        <v>33505</v>
      </c>
      <c r="V2500">
        <f>-736.490231479684 -8.42299640080455 -93.7780609404268</f>
        <v>-838.69128882091536</v>
      </c>
      <c r="W2500" t="s">
        <v>33506</v>
      </c>
      <c r="X2500" t="s">
        <v>33507</v>
      </c>
      <c r="Y2500" t="s">
        <v>33508</v>
      </c>
    </row>
    <row r="2501" spans="1:25" x14ac:dyDescent="0.3">
      <c r="A2501">
        <v>125000</v>
      </c>
      <c r="B2501" t="s">
        <v>33509</v>
      </c>
      <c r="C2501" t="s">
        <v>33510</v>
      </c>
      <c r="D2501" t="s">
        <v>33511</v>
      </c>
      <c r="E2501" t="s">
        <v>33512</v>
      </c>
      <c r="F2501" t="s">
        <v>33513</v>
      </c>
      <c r="G2501" t="s">
        <v>33514</v>
      </c>
      <c r="H2501" t="s">
        <v>33515</v>
      </c>
      <c r="I2501" t="s">
        <v>33516</v>
      </c>
      <c r="J2501" t="s">
        <v>33517</v>
      </c>
      <c r="K2501" t="s">
        <v>33518</v>
      </c>
      <c r="L2501" t="s">
        <v>33519</v>
      </c>
      <c r="M2501" t="s">
        <v>33520</v>
      </c>
      <c r="N2501" t="s">
        <v>33521</v>
      </c>
      <c r="O2501">
        <f>-784.525947083287 -95.9550432132203 -520.291912921021</f>
        <v>-1400.7729032175282</v>
      </c>
      <c r="P2501">
        <f>-783.940536366391 -127.062682983936 -227.677446420898</f>
        <v>-1138.680665771225</v>
      </c>
      <c r="Q2501" t="s">
        <v>33522</v>
      </c>
      <c r="R2501" t="s">
        <v>33523</v>
      </c>
      <c r="S2501" t="s">
        <v>33524</v>
      </c>
      <c r="T2501" t="s">
        <v>33525</v>
      </c>
      <c r="U2501" t="s">
        <v>33526</v>
      </c>
      <c r="V2501">
        <f>-737.309666534386 -8.45917890537226 -93.7410915023725</f>
        <v>-839.50993694213071</v>
      </c>
      <c r="W2501" t="s">
        <v>33527</v>
      </c>
      <c r="X2501" t="s">
        <v>33528</v>
      </c>
      <c r="Y2501" t="s">
        <v>33529</v>
      </c>
    </row>
    <row r="2502" spans="1:25" x14ac:dyDescent="0.3">
      <c r="A2502">
        <v>125050</v>
      </c>
      <c r="B2502" t="s">
        <v>33530</v>
      </c>
      <c r="C2502" t="s">
        <v>33531</v>
      </c>
      <c r="D2502" t="s">
        <v>33532</v>
      </c>
      <c r="E2502" t="s">
        <v>33533</v>
      </c>
      <c r="F2502" t="s">
        <v>33534</v>
      </c>
      <c r="G2502" t="s">
        <v>33535</v>
      </c>
      <c r="H2502" t="s">
        <v>33536</v>
      </c>
      <c r="I2502" t="s">
        <v>33537</v>
      </c>
      <c r="J2502" t="s">
        <v>33538</v>
      </c>
      <c r="K2502" t="s">
        <v>33539</v>
      </c>
      <c r="L2502" t="s">
        <v>33540</v>
      </c>
      <c r="M2502" t="s">
        <v>33541</v>
      </c>
      <c r="N2502" t="s">
        <v>33542</v>
      </c>
      <c r="O2502">
        <f>-785.28092680544 -95.9989043743751 -520.249677389613</f>
        <v>-1401.5295085694281</v>
      </c>
      <c r="P2502">
        <f>-784.642176622001 -127.019232199062 -227.626132795964</f>
        <v>-1139.287541617027</v>
      </c>
      <c r="Q2502" t="s">
        <v>33543</v>
      </c>
      <c r="R2502" t="s">
        <v>33544</v>
      </c>
      <c r="S2502" t="s">
        <v>33545</v>
      </c>
      <c r="T2502" t="s">
        <v>33546</v>
      </c>
      <c r="U2502" t="s">
        <v>33547</v>
      </c>
      <c r="V2502">
        <f>-737.862540509098 -8.4676959176179 -93.7058034262914</f>
        <v>-840.03603985300731</v>
      </c>
      <c r="W2502" t="s">
        <v>33548</v>
      </c>
      <c r="X2502" t="s">
        <v>33549</v>
      </c>
      <c r="Y2502" t="s">
        <v>33550</v>
      </c>
    </row>
    <row r="2503" spans="1:25" x14ac:dyDescent="0.3">
      <c r="A2503">
        <v>125100</v>
      </c>
      <c r="B2503" t="s">
        <v>33551</v>
      </c>
      <c r="C2503" t="s">
        <v>33552</v>
      </c>
      <c r="D2503" t="s">
        <v>33553</v>
      </c>
      <c r="E2503" t="s">
        <v>33554</v>
      </c>
      <c r="F2503" t="s">
        <v>33555</v>
      </c>
      <c r="G2503" t="s">
        <v>33556</v>
      </c>
      <c r="H2503" t="s">
        <v>33557</v>
      </c>
      <c r="I2503" t="s">
        <v>33558</v>
      </c>
      <c r="J2503" t="s">
        <v>33559</v>
      </c>
      <c r="K2503" t="s">
        <v>33560</v>
      </c>
      <c r="L2503" t="s">
        <v>33561</v>
      </c>
      <c r="M2503" t="s">
        <v>33562</v>
      </c>
      <c r="N2503" t="s">
        <v>33563</v>
      </c>
      <c r="O2503">
        <f>-786.536234053528 -95.6569381689371 -520.163090267083</f>
        <v>-1402.356262489548</v>
      </c>
      <c r="P2503">
        <f>-785.830114842915 -126.601338085957 -227.531657347317</f>
        <v>-1139.9631102761889</v>
      </c>
      <c r="Q2503" t="s">
        <v>33564</v>
      </c>
      <c r="R2503" t="s">
        <v>33565</v>
      </c>
      <c r="S2503" t="s">
        <v>33566</v>
      </c>
      <c r="T2503" t="s">
        <v>33567</v>
      </c>
      <c r="U2503" t="s">
        <v>33568</v>
      </c>
      <c r="V2503">
        <f>-738.672586424238 -7.99145007516404 -93.6562578936744</f>
        <v>-840.32029439307644</v>
      </c>
      <c r="W2503" t="s">
        <v>33569</v>
      </c>
      <c r="X2503" t="s">
        <v>33570</v>
      </c>
      <c r="Y2503" t="s">
        <v>33571</v>
      </c>
    </row>
    <row r="2504" spans="1:25" x14ac:dyDescent="0.3">
      <c r="A2504">
        <v>125150</v>
      </c>
      <c r="B2504" t="s">
        <v>33572</v>
      </c>
      <c r="C2504" t="s">
        <v>33573</v>
      </c>
      <c r="D2504" t="s">
        <v>33574</v>
      </c>
      <c r="E2504" t="s">
        <v>33575</v>
      </c>
      <c r="F2504" t="s">
        <v>33576</v>
      </c>
      <c r="G2504" t="s">
        <v>33577</v>
      </c>
      <c r="H2504" t="s">
        <v>33578</v>
      </c>
      <c r="I2504" t="s">
        <v>33579</v>
      </c>
      <c r="J2504" t="s">
        <v>33580</v>
      </c>
      <c r="K2504" t="s">
        <v>33581</v>
      </c>
      <c r="L2504" t="s">
        <v>33582</v>
      </c>
      <c r="M2504" t="s">
        <v>33583</v>
      </c>
      <c r="N2504" t="s">
        <v>33584</v>
      </c>
      <c r="O2504">
        <f>-787.117442176602 -95.5712669212276 -520.096000374793</f>
        <v>-1402.7847094726226</v>
      </c>
      <c r="P2504">
        <f>-786.376173182732 -126.440305533311 -227.456639107049</f>
        <v>-1140.273117823092</v>
      </c>
      <c r="Q2504" t="s">
        <v>33585</v>
      </c>
      <c r="R2504" t="s">
        <v>33586</v>
      </c>
      <c r="S2504" t="s">
        <v>33587</v>
      </c>
      <c r="T2504" t="s">
        <v>33588</v>
      </c>
      <c r="U2504" t="s">
        <v>33589</v>
      </c>
      <c r="V2504">
        <f>-739.098067843292 -7.94956383381327 -93.616755010121</f>
        <v>-840.66438668722628</v>
      </c>
      <c r="W2504" t="s">
        <v>33590</v>
      </c>
      <c r="X2504" t="s">
        <v>33591</v>
      </c>
      <c r="Y2504" t="s">
        <v>33592</v>
      </c>
    </row>
    <row r="2505" spans="1:25" x14ac:dyDescent="0.3">
      <c r="A2505">
        <v>125200</v>
      </c>
      <c r="B2505" t="s">
        <v>33593</v>
      </c>
      <c r="C2505" t="s">
        <v>33594</v>
      </c>
      <c r="D2505" t="s">
        <v>33595</v>
      </c>
      <c r="E2505" t="s">
        <v>33596</v>
      </c>
      <c r="F2505" t="s">
        <v>33597</v>
      </c>
      <c r="G2505" t="s">
        <v>33598</v>
      </c>
      <c r="H2505" t="s">
        <v>33599</v>
      </c>
      <c r="I2505" t="s">
        <v>33600</v>
      </c>
      <c r="J2505" t="s">
        <v>33601</v>
      </c>
      <c r="K2505" t="s">
        <v>33602</v>
      </c>
      <c r="L2505" t="s">
        <v>33603</v>
      </c>
      <c r="M2505" t="s">
        <v>33604</v>
      </c>
      <c r="N2505" t="s">
        <v>33605</v>
      </c>
      <c r="O2505">
        <f>-788.049597646013 -95.417041832392 -519.939758577388</f>
        <v>-1403.406398055793</v>
      </c>
      <c r="P2505">
        <f>-787.280694236256 -126.041079991802 -227.274721556887</f>
        <v>-1140.5964957849449</v>
      </c>
      <c r="Q2505" t="s">
        <v>33606</v>
      </c>
      <c r="R2505" t="s">
        <v>33607</v>
      </c>
      <c r="S2505" t="s">
        <v>33608</v>
      </c>
      <c r="T2505" t="s">
        <v>33609</v>
      </c>
      <c r="U2505" t="s">
        <v>33610</v>
      </c>
      <c r="V2505">
        <f>-739.72446413864 -7.8712122707243 -93.5612251877202</f>
        <v>-841.15690159708447</v>
      </c>
      <c r="W2505" t="s">
        <v>33611</v>
      </c>
      <c r="X2505" t="s">
        <v>33612</v>
      </c>
      <c r="Y2505" t="s">
        <v>33613</v>
      </c>
    </row>
    <row r="2506" spans="1:25" x14ac:dyDescent="0.3">
      <c r="A2506">
        <v>125250</v>
      </c>
      <c r="B2506" t="s">
        <v>33614</v>
      </c>
      <c r="C2506" t="s">
        <v>33615</v>
      </c>
      <c r="D2506" t="s">
        <v>33616</v>
      </c>
      <c r="E2506" t="s">
        <v>33617</v>
      </c>
      <c r="F2506" t="s">
        <v>33618</v>
      </c>
      <c r="G2506" t="s">
        <v>33619</v>
      </c>
      <c r="H2506" t="s">
        <v>33620</v>
      </c>
      <c r="I2506" t="s">
        <v>33621</v>
      </c>
      <c r="J2506" t="s">
        <v>33622</v>
      </c>
      <c r="K2506" t="s">
        <v>33623</v>
      </c>
      <c r="L2506" t="s">
        <v>33624</v>
      </c>
      <c r="M2506" t="s">
        <v>33625</v>
      </c>
      <c r="N2506" t="s">
        <v>33626</v>
      </c>
      <c r="O2506">
        <f>-788.433656771281 -95.3420963147407 -519.877096460308</f>
        <v>-1403.6528495463299</v>
      </c>
      <c r="P2506">
        <f>-787.656198857698 -125.863356556197 -227.201427463666</f>
        <v>-1140.720982877561</v>
      </c>
      <c r="Q2506" t="s">
        <v>33627</v>
      </c>
      <c r="R2506" t="s">
        <v>33628</v>
      </c>
      <c r="S2506" t="s">
        <v>33629</v>
      </c>
      <c r="T2506" t="s">
        <v>33630</v>
      </c>
      <c r="U2506" t="s">
        <v>33631</v>
      </c>
      <c r="V2506">
        <f>-739.929012600522 -7.84353453826338 -93.538930971729</f>
        <v>-841.31147811051437</v>
      </c>
      <c r="W2506" t="s">
        <v>33632</v>
      </c>
      <c r="X2506" t="s">
        <v>33633</v>
      </c>
      <c r="Y2506" t="s">
        <v>33634</v>
      </c>
    </row>
    <row r="2507" spans="1:25" x14ac:dyDescent="0.3">
      <c r="A2507">
        <v>125300</v>
      </c>
      <c r="B2507" t="s">
        <v>33635</v>
      </c>
      <c r="C2507" t="s">
        <v>33636</v>
      </c>
      <c r="D2507" t="s">
        <v>33637</v>
      </c>
      <c r="E2507" t="s">
        <v>33638</v>
      </c>
      <c r="F2507" t="s">
        <v>33639</v>
      </c>
      <c r="G2507" t="s">
        <v>33640</v>
      </c>
      <c r="H2507" t="s">
        <v>33641</v>
      </c>
      <c r="I2507" t="s">
        <v>33642</v>
      </c>
      <c r="J2507" t="s">
        <v>33643</v>
      </c>
      <c r="K2507" t="s">
        <v>33644</v>
      </c>
      <c r="L2507" t="s">
        <v>33645</v>
      </c>
      <c r="M2507" t="s">
        <v>33646</v>
      </c>
      <c r="N2507" t="s">
        <v>33647</v>
      </c>
      <c r="O2507">
        <f>-789.111286028018 -95.4042699099271 -519.750856800813</f>
        <v>-1404.2664127387579</v>
      </c>
      <c r="P2507">
        <f>-788.251078039313 -125.763641279385 -227.058572579047</f>
        <v>-1141.0732918977451</v>
      </c>
      <c r="Q2507" t="s">
        <v>33648</v>
      </c>
      <c r="R2507" t="s">
        <v>33649</v>
      </c>
      <c r="S2507" t="s">
        <v>33650</v>
      </c>
      <c r="T2507" t="s">
        <v>33651</v>
      </c>
      <c r="U2507" t="s">
        <v>33652</v>
      </c>
      <c r="V2507">
        <f>-740.212584462536 -8.13199729145185 -93.4926567772829</f>
        <v>-841.83723853127083</v>
      </c>
      <c r="W2507" t="s">
        <v>33653</v>
      </c>
      <c r="X2507" t="s">
        <v>33654</v>
      </c>
      <c r="Y2507" t="s">
        <v>33655</v>
      </c>
    </row>
    <row r="2508" spans="1:25" x14ac:dyDescent="0.3">
      <c r="A2508">
        <v>125350</v>
      </c>
      <c r="B2508" t="s">
        <v>33656</v>
      </c>
      <c r="C2508" t="s">
        <v>33657</v>
      </c>
      <c r="D2508" t="s">
        <v>33658</v>
      </c>
      <c r="E2508" t="s">
        <v>33659</v>
      </c>
      <c r="F2508" t="s">
        <v>33660</v>
      </c>
      <c r="G2508" t="s">
        <v>33661</v>
      </c>
      <c r="H2508" t="s">
        <v>33662</v>
      </c>
      <c r="I2508" t="s">
        <v>33663</v>
      </c>
      <c r="J2508" t="s">
        <v>33664</v>
      </c>
      <c r="K2508" t="s">
        <v>33665</v>
      </c>
      <c r="L2508" t="s">
        <v>33666</v>
      </c>
      <c r="M2508" t="s">
        <v>33667</v>
      </c>
      <c r="N2508" t="s">
        <v>33668</v>
      </c>
      <c r="O2508">
        <f>-789.302075694759 -95.61332636321 -519.669687709188</f>
        <v>-1404.5850897671571</v>
      </c>
      <c r="P2508">
        <f>-788.379002448997 -125.878723375561 -226.967965624678</f>
        <v>-1141.2256914492359</v>
      </c>
      <c r="Q2508" t="s">
        <v>33669</v>
      </c>
      <c r="R2508" t="s">
        <v>33670</v>
      </c>
      <c r="S2508" t="s">
        <v>33671</v>
      </c>
      <c r="T2508" t="s">
        <v>33672</v>
      </c>
      <c r="U2508" t="s">
        <v>33673</v>
      </c>
      <c r="V2508">
        <f>-740.253310356049 -8.36819814928708 -93.4612756599703</f>
        <v>-842.08278416530641</v>
      </c>
      <c r="W2508" t="s">
        <v>33674</v>
      </c>
      <c r="X2508" t="s">
        <v>33675</v>
      </c>
      <c r="Y2508" t="s">
        <v>33676</v>
      </c>
    </row>
    <row r="2509" spans="1:25" x14ac:dyDescent="0.3">
      <c r="A2509">
        <v>125400</v>
      </c>
      <c r="B2509" t="s">
        <v>33677</v>
      </c>
      <c r="C2509" t="s">
        <v>33678</v>
      </c>
      <c r="D2509" t="s">
        <v>33679</v>
      </c>
      <c r="E2509" t="s">
        <v>33680</v>
      </c>
      <c r="F2509" t="s">
        <v>33681</v>
      </c>
      <c r="G2509" t="s">
        <v>33682</v>
      </c>
      <c r="H2509" t="s">
        <v>33683</v>
      </c>
      <c r="I2509" t="s">
        <v>33684</v>
      </c>
      <c r="J2509" t="s">
        <v>33685</v>
      </c>
      <c r="K2509" t="s">
        <v>33686</v>
      </c>
      <c r="L2509" t="s">
        <v>33687</v>
      </c>
      <c r="M2509" t="s">
        <v>33688</v>
      </c>
      <c r="N2509" t="s">
        <v>33689</v>
      </c>
      <c r="O2509">
        <f>-789.431750820494 -96.1654987614133 -519.485754778251</f>
        <v>-1405.0830043601584</v>
      </c>
      <c r="P2509">
        <f>-788.257929994948 -126.240044057796 -226.765197721463</f>
        <v>-1141.263171774207</v>
      </c>
      <c r="Q2509" t="s">
        <v>33690</v>
      </c>
      <c r="R2509" t="s">
        <v>33691</v>
      </c>
      <c r="S2509" t="s">
        <v>33692</v>
      </c>
      <c r="T2509" t="s">
        <v>33693</v>
      </c>
      <c r="U2509" t="s">
        <v>33694</v>
      </c>
      <c r="V2509">
        <f>-740.215825818754 -8.87967467995782 -93.3678101813524</f>
        <v>-842.46331068006418</v>
      </c>
      <c r="W2509" t="s">
        <v>33695</v>
      </c>
      <c r="X2509" t="s">
        <v>33696</v>
      </c>
      <c r="Y2509" t="s">
        <v>33697</v>
      </c>
    </row>
    <row r="2510" spans="1:25" x14ac:dyDescent="0.3">
      <c r="A2510">
        <v>125450</v>
      </c>
      <c r="B2510" t="s">
        <v>33698</v>
      </c>
      <c r="C2510" t="s">
        <v>33699</v>
      </c>
      <c r="D2510" t="s">
        <v>33700</v>
      </c>
      <c r="E2510" t="s">
        <v>33701</v>
      </c>
      <c r="F2510" t="s">
        <v>33702</v>
      </c>
      <c r="G2510" t="s">
        <v>33703</v>
      </c>
      <c r="H2510" t="s">
        <v>33704</v>
      </c>
      <c r="I2510" t="s">
        <v>33705</v>
      </c>
      <c r="J2510" t="s">
        <v>33706</v>
      </c>
      <c r="K2510" t="s">
        <v>33707</v>
      </c>
      <c r="L2510" t="s">
        <v>33708</v>
      </c>
      <c r="M2510" t="s">
        <v>33709</v>
      </c>
      <c r="N2510" t="s">
        <v>33710</v>
      </c>
      <c r="O2510">
        <f>-789.365374699994 -96.4071322771906 -519.413020781206</f>
        <v>-1405.1855277583907</v>
      </c>
      <c r="P2510">
        <f>-788.050319577034 -126.41763937932 -226.686377455214</f>
        <v>-1141.154336411568</v>
      </c>
      <c r="Q2510" t="s">
        <v>33711</v>
      </c>
      <c r="R2510" t="s">
        <v>33712</v>
      </c>
      <c r="S2510" t="s">
        <v>33713</v>
      </c>
      <c r="T2510" t="s">
        <v>33714</v>
      </c>
      <c r="U2510" t="s">
        <v>33715</v>
      </c>
      <c r="V2510">
        <f>-740.206468245374 -9.07949882961589 -93.3215341439612</f>
        <v>-842.60750121895114</v>
      </c>
      <c r="W2510" t="s">
        <v>33716</v>
      </c>
      <c r="X2510" t="s">
        <v>33717</v>
      </c>
      <c r="Y2510" t="s">
        <v>33718</v>
      </c>
    </row>
    <row r="2511" spans="1:25" x14ac:dyDescent="0.3">
      <c r="A2511">
        <v>125500</v>
      </c>
      <c r="B2511" t="s">
        <v>33719</v>
      </c>
      <c r="C2511" t="s">
        <v>33720</v>
      </c>
      <c r="D2511" t="s">
        <v>33721</v>
      </c>
      <c r="E2511" t="s">
        <v>33722</v>
      </c>
      <c r="F2511" t="s">
        <v>33723</v>
      </c>
      <c r="G2511" t="s">
        <v>33724</v>
      </c>
      <c r="H2511" t="s">
        <v>33725</v>
      </c>
      <c r="I2511" t="s">
        <v>33726</v>
      </c>
      <c r="J2511" t="s">
        <v>33727</v>
      </c>
      <c r="K2511" t="s">
        <v>33728</v>
      </c>
      <c r="L2511" t="s">
        <v>33729</v>
      </c>
      <c r="M2511" t="s">
        <v>33730</v>
      </c>
      <c r="N2511" t="s">
        <v>33731</v>
      </c>
      <c r="O2511">
        <f>-789.429511385674 -96.7622986808781 -519.300210204195</f>
        <v>-1405.4920202707472</v>
      </c>
      <c r="P2511">
        <f>-787.879697624918 -126.764984515786 -226.574019086146</f>
        <v>-1141.21870122685</v>
      </c>
      <c r="Q2511" t="s">
        <v>33732</v>
      </c>
      <c r="R2511" t="s">
        <v>33733</v>
      </c>
      <c r="S2511" t="s">
        <v>33734</v>
      </c>
      <c r="T2511" t="s">
        <v>33735</v>
      </c>
      <c r="U2511" t="s">
        <v>33736</v>
      </c>
      <c r="V2511">
        <f>-740.071464796667 -9.34541409674603 -93.2824946672764</f>
        <v>-842.69937356068942</v>
      </c>
      <c r="W2511" t="s">
        <v>33737</v>
      </c>
      <c r="X2511" t="s">
        <v>33738</v>
      </c>
      <c r="Y2511" t="s">
        <v>33739</v>
      </c>
    </row>
    <row r="2512" spans="1:25" x14ac:dyDescent="0.3">
      <c r="A2512">
        <v>125550</v>
      </c>
      <c r="B2512" t="s">
        <v>33740</v>
      </c>
      <c r="C2512" t="s">
        <v>33741</v>
      </c>
      <c r="D2512" t="s">
        <v>33742</v>
      </c>
      <c r="E2512" t="s">
        <v>33743</v>
      </c>
      <c r="F2512" t="s">
        <v>33744</v>
      </c>
      <c r="G2512" t="s">
        <v>33745</v>
      </c>
      <c r="H2512" t="s">
        <v>33746</v>
      </c>
      <c r="I2512" t="s">
        <v>33747</v>
      </c>
      <c r="J2512" t="s">
        <v>33748</v>
      </c>
      <c r="K2512" t="s">
        <v>33749</v>
      </c>
      <c r="L2512" t="s">
        <v>33750</v>
      </c>
      <c r="M2512" t="s">
        <v>33751</v>
      </c>
      <c r="N2512" t="s">
        <v>33752</v>
      </c>
      <c r="O2512">
        <f>-789.459715371636 -96.9515386510086 -519.250183276088</f>
        <v>-1405.6614372987326</v>
      </c>
      <c r="P2512">
        <f>-787.972049266175 -126.829176401693 -226.51082243126</f>
        <v>-1141.3120480991279</v>
      </c>
      <c r="Q2512" t="s">
        <v>33753</v>
      </c>
      <c r="R2512" t="s">
        <v>33754</v>
      </c>
      <c r="S2512" t="s">
        <v>33755</v>
      </c>
      <c r="T2512" t="s">
        <v>33756</v>
      </c>
      <c r="U2512" t="s">
        <v>33757</v>
      </c>
      <c r="V2512">
        <f>-740.131838830501 -9.48054740246084 -93.2757421539106</f>
        <v>-842.88812838687249</v>
      </c>
      <c r="W2512" t="s">
        <v>33758</v>
      </c>
      <c r="X2512" t="s">
        <v>33759</v>
      </c>
      <c r="Y2512" t="s">
        <v>33760</v>
      </c>
    </row>
    <row r="2513" spans="1:25" x14ac:dyDescent="0.3">
      <c r="A2513">
        <v>125600</v>
      </c>
      <c r="B2513" t="s">
        <v>33761</v>
      </c>
      <c r="C2513" t="s">
        <v>33762</v>
      </c>
      <c r="D2513" t="s">
        <v>33763</v>
      </c>
      <c r="E2513" t="s">
        <v>33764</v>
      </c>
      <c r="F2513" t="s">
        <v>33765</v>
      </c>
      <c r="G2513" t="s">
        <v>33766</v>
      </c>
      <c r="H2513" t="s">
        <v>33767</v>
      </c>
      <c r="I2513" t="s">
        <v>33768</v>
      </c>
      <c r="J2513" t="s">
        <v>33769</v>
      </c>
      <c r="K2513" t="s">
        <v>33770</v>
      </c>
      <c r="L2513" t="s">
        <v>33771</v>
      </c>
      <c r="M2513" t="s">
        <v>33772</v>
      </c>
      <c r="N2513" t="s">
        <v>33773</v>
      </c>
      <c r="O2513">
        <f>-789.567125067819 -97.2295984520313 -519.16450064892</f>
        <v>-1405.9612241687703</v>
      </c>
      <c r="P2513">
        <f>-788.213770828244 -126.932817650239 -226.40674392585</f>
        <v>-1141.5533324043331</v>
      </c>
      <c r="Q2513" t="s">
        <v>33774</v>
      </c>
      <c r="R2513" t="s">
        <v>33775</v>
      </c>
      <c r="S2513" t="s">
        <v>33776</v>
      </c>
      <c r="T2513" t="s">
        <v>33777</v>
      </c>
      <c r="U2513" t="s">
        <v>33778</v>
      </c>
      <c r="V2513">
        <f>-740.29256927743 -9.770851194839 -93.266582131017</f>
        <v>-843.33000260328595</v>
      </c>
      <c r="W2513" t="s">
        <v>33779</v>
      </c>
      <c r="X2513" t="s">
        <v>33780</v>
      </c>
      <c r="Y2513" t="s">
        <v>33781</v>
      </c>
    </row>
    <row r="2514" spans="1:25" x14ac:dyDescent="0.3">
      <c r="A2514">
        <v>125650</v>
      </c>
      <c r="B2514" t="s">
        <v>33782</v>
      </c>
      <c r="C2514" t="s">
        <v>33783</v>
      </c>
      <c r="D2514" t="s">
        <v>33784</v>
      </c>
      <c r="E2514" t="s">
        <v>33785</v>
      </c>
      <c r="F2514" t="s">
        <v>33786</v>
      </c>
      <c r="G2514" t="s">
        <v>33787</v>
      </c>
      <c r="H2514" t="s">
        <v>33788</v>
      </c>
      <c r="I2514" t="s">
        <v>33789</v>
      </c>
      <c r="J2514" t="s">
        <v>33790</v>
      </c>
      <c r="K2514" t="s">
        <v>33791</v>
      </c>
      <c r="L2514" t="s">
        <v>33792</v>
      </c>
      <c r="M2514" t="s">
        <v>33793</v>
      </c>
      <c r="N2514" t="s">
        <v>33794</v>
      </c>
      <c r="O2514">
        <f>-789.661773905749 -97.2936630644142 -519.100615925519</f>
        <v>-1406.0560528956821</v>
      </c>
      <c r="P2514">
        <f>-788.361786690179 -126.963804721488 -226.339236117739</f>
        <v>-1141.664827529406</v>
      </c>
      <c r="Q2514" t="s">
        <v>33795</v>
      </c>
      <c r="R2514" t="s">
        <v>33796</v>
      </c>
      <c r="S2514" t="s">
        <v>33797</v>
      </c>
      <c r="T2514" t="s">
        <v>33798</v>
      </c>
      <c r="U2514" t="s">
        <v>33799</v>
      </c>
      <c r="V2514">
        <f>-740.439710195819 -9.71262288428238 -93.2578527165273</f>
        <v>-843.41018579662864</v>
      </c>
      <c r="W2514" t="s">
        <v>33800</v>
      </c>
      <c r="X2514" t="s">
        <v>33801</v>
      </c>
      <c r="Y2514" t="s">
        <v>33802</v>
      </c>
    </row>
    <row r="2515" spans="1:25" x14ac:dyDescent="0.3">
      <c r="A2515">
        <v>125700</v>
      </c>
      <c r="B2515" t="s">
        <v>33803</v>
      </c>
      <c r="C2515" t="s">
        <v>33804</v>
      </c>
      <c r="D2515" t="s">
        <v>33805</v>
      </c>
      <c r="E2515" t="s">
        <v>33806</v>
      </c>
      <c r="F2515" t="s">
        <v>33807</v>
      </c>
      <c r="G2515" t="s">
        <v>33808</v>
      </c>
      <c r="H2515" t="s">
        <v>33809</v>
      </c>
      <c r="I2515" t="s">
        <v>33810</v>
      </c>
      <c r="J2515" t="s">
        <v>33811</v>
      </c>
      <c r="K2515" t="s">
        <v>33812</v>
      </c>
      <c r="L2515" t="s">
        <v>33813</v>
      </c>
      <c r="M2515" t="s">
        <v>33814</v>
      </c>
      <c r="N2515" t="s">
        <v>33815</v>
      </c>
      <c r="O2515">
        <f>-789.328196468529 -97.3997913966846 -518.976014933613</f>
        <v>-1405.7040027988264</v>
      </c>
      <c r="P2515">
        <f>-788.271624360046 -126.854238423296 -226.191846194902</f>
        <v>-1141.3177089782439</v>
      </c>
      <c r="Q2515" t="s">
        <v>33816</v>
      </c>
      <c r="R2515" t="s">
        <v>33817</v>
      </c>
      <c r="S2515" t="s">
        <v>33818</v>
      </c>
      <c r="T2515" t="s">
        <v>33819</v>
      </c>
      <c r="U2515" t="s">
        <v>33820</v>
      </c>
      <c r="V2515">
        <f>-740.684302523815 -9.61620632978997 -93.2694371536015</f>
        <v>-843.56994600720645</v>
      </c>
      <c r="W2515" t="s">
        <v>33821</v>
      </c>
      <c r="X2515" t="s">
        <v>33822</v>
      </c>
      <c r="Y2515" t="s">
        <v>33823</v>
      </c>
    </row>
    <row r="2516" spans="1:25" x14ac:dyDescent="0.3">
      <c r="A2516">
        <v>125750</v>
      </c>
      <c r="B2516" t="s">
        <v>33824</v>
      </c>
      <c r="C2516" t="s">
        <v>33825</v>
      </c>
      <c r="D2516" t="s">
        <v>33826</v>
      </c>
      <c r="E2516" t="s">
        <v>33827</v>
      </c>
      <c r="F2516" t="s">
        <v>33828</v>
      </c>
      <c r="G2516" t="s">
        <v>33829</v>
      </c>
      <c r="H2516" t="s">
        <v>33830</v>
      </c>
      <c r="I2516" t="s">
        <v>33831</v>
      </c>
      <c r="J2516" t="s">
        <v>33832</v>
      </c>
      <c r="K2516" t="s">
        <v>33833</v>
      </c>
      <c r="L2516" t="s">
        <v>33834</v>
      </c>
      <c r="M2516" t="s">
        <v>33835</v>
      </c>
      <c r="N2516" t="s">
        <v>33836</v>
      </c>
      <c r="O2516">
        <f>-789.034887646176 -97.4222871359425 -518.893345744322</f>
        <v>-1405.3505205264405</v>
      </c>
      <c r="P2516">
        <f>-788.133003439877 -126.760828353178 -226.097071212932</f>
        <v>-1140.9909030059871</v>
      </c>
      <c r="Q2516" t="s">
        <v>33837</v>
      </c>
      <c r="R2516" t="s">
        <v>33838</v>
      </c>
      <c r="S2516" t="s">
        <v>33839</v>
      </c>
      <c r="T2516" t="s">
        <v>33840</v>
      </c>
      <c r="U2516" t="s">
        <v>33841</v>
      </c>
      <c r="V2516">
        <f>-740.80514508095 -9.42738124182711 -93.2668308136958</f>
        <v>-843.4993571364729</v>
      </c>
      <c r="W2516" t="s">
        <v>33842</v>
      </c>
      <c r="X2516" t="s">
        <v>33843</v>
      </c>
      <c r="Y2516" t="s">
        <v>33844</v>
      </c>
    </row>
    <row r="2517" spans="1:25" x14ac:dyDescent="0.3">
      <c r="A2517">
        <v>125800</v>
      </c>
      <c r="B2517" t="s">
        <v>33845</v>
      </c>
      <c r="C2517" t="s">
        <v>33846</v>
      </c>
      <c r="D2517" t="s">
        <v>33847</v>
      </c>
      <c r="E2517" t="s">
        <v>33848</v>
      </c>
      <c r="F2517" t="s">
        <v>33849</v>
      </c>
      <c r="G2517" t="s">
        <v>33850</v>
      </c>
      <c r="H2517" t="s">
        <v>33851</v>
      </c>
      <c r="I2517" t="s">
        <v>33852</v>
      </c>
      <c r="J2517" t="s">
        <v>33853</v>
      </c>
      <c r="K2517" t="s">
        <v>33854</v>
      </c>
      <c r="L2517" t="s">
        <v>33855</v>
      </c>
      <c r="M2517" t="s">
        <v>33856</v>
      </c>
      <c r="N2517" t="s">
        <v>33857</v>
      </c>
      <c r="O2517">
        <f>-789.162207744112 -97.5643635406639 -518.703622901357</f>
        <v>-1405.4301941861329</v>
      </c>
      <c r="P2517">
        <f>-788.439014004661 -126.599846309759 -225.876613524964</f>
        <v>-1140.915473839384</v>
      </c>
      <c r="Q2517" t="s">
        <v>33858</v>
      </c>
      <c r="R2517" t="s">
        <v>33859</v>
      </c>
      <c r="S2517" t="s">
        <v>33860</v>
      </c>
      <c r="T2517" t="s">
        <v>33861</v>
      </c>
      <c r="U2517" t="s">
        <v>33862</v>
      </c>
      <c r="V2517">
        <f>-740.981492073177 -9.43356888229778 -93.2570355955515</f>
        <v>-843.67209655102636</v>
      </c>
      <c r="W2517" t="s">
        <v>33863</v>
      </c>
      <c r="X2517" t="s">
        <v>33864</v>
      </c>
      <c r="Y2517" t="s">
        <v>33865</v>
      </c>
    </row>
    <row r="2518" spans="1:25" x14ac:dyDescent="0.3">
      <c r="A2518">
        <v>125850</v>
      </c>
      <c r="B2518" t="s">
        <v>33866</v>
      </c>
      <c r="C2518" t="s">
        <v>33867</v>
      </c>
      <c r="D2518" t="s">
        <v>33868</v>
      </c>
      <c r="E2518" t="s">
        <v>33869</v>
      </c>
      <c r="F2518" t="s">
        <v>33870</v>
      </c>
      <c r="G2518" t="s">
        <v>33871</v>
      </c>
      <c r="H2518" t="s">
        <v>33872</v>
      </c>
      <c r="I2518" t="s">
        <v>33873</v>
      </c>
      <c r="J2518" t="s">
        <v>33874</v>
      </c>
      <c r="K2518" t="s">
        <v>33875</v>
      </c>
      <c r="L2518" t="s">
        <v>33876</v>
      </c>
      <c r="M2518" t="s">
        <v>33877</v>
      </c>
      <c r="N2518" t="s">
        <v>33878</v>
      </c>
      <c r="O2518">
        <f>-789.529059049649 -97.6450011673176 -518.634709411328</f>
        <v>-1405.8087696282946</v>
      </c>
      <c r="P2518">
        <f>-788.734077673973 -126.690060959941 -225.808875046232</f>
        <v>-1141.2330136801461</v>
      </c>
      <c r="Q2518" t="s">
        <v>33879</v>
      </c>
      <c r="R2518" t="s">
        <v>33880</v>
      </c>
      <c r="S2518" t="s">
        <v>33881</v>
      </c>
      <c r="T2518" t="s">
        <v>33882</v>
      </c>
      <c r="U2518" t="s">
        <v>33883</v>
      </c>
      <c r="V2518">
        <f>-741.095874539041 -9.49917714727894 -93.2403186606015</f>
        <v>-843.83537034692142</v>
      </c>
      <c r="W2518" t="s">
        <v>33884</v>
      </c>
      <c r="X2518" t="s">
        <v>33885</v>
      </c>
      <c r="Y2518" t="s">
        <v>33886</v>
      </c>
    </row>
    <row r="2519" spans="1:25" x14ac:dyDescent="0.3">
      <c r="A2519">
        <v>125900</v>
      </c>
      <c r="B2519" t="s">
        <v>33887</v>
      </c>
      <c r="C2519" t="s">
        <v>33888</v>
      </c>
      <c r="D2519" t="s">
        <v>33889</v>
      </c>
      <c r="E2519" t="s">
        <v>33890</v>
      </c>
      <c r="F2519" t="s">
        <v>33891</v>
      </c>
      <c r="G2519" t="s">
        <v>33892</v>
      </c>
      <c r="H2519" t="s">
        <v>33893</v>
      </c>
      <c r="I2519" t="s">
        <v>33894</v>
      </c>
      <c r="J2519" t="s">
        <v>33895</v>
      </c>
      <c r="K2519" t="s">
        <v>33896</v>
      </c>
      <c r="L2519" t="s">
        <v>33897</v>
      </c>
      <c r="M2519" t="s">
        <v>33898</v>
      </c>
      <c r="N2519" t="s">
        <v>33899</v>
      </c>
      <c r="O2519">
        <f>-790.449472080546 -97.7170388022982 -518.57488689456</f>
        <v>-1406.7413977774042</v>
      </c>
      <c r="P2519">
        <f>-789.370691425613 -126.76671668874 -225.750425942128</f>
        <v>-1141.8878340564811</v>
      </c>
      <c r="Q2519" t="s">
        <v>33900</v>
      </c>
      <c r="R2519" t="s">
        <v>33901</v>
      </c>
      <c r="S2519" t="s">
        <v>33902</v>
      </c>
      <c r="T2519" t="s">
        <v>33903</v>
      </c>
      <c r="U2519" t="s">
        <v>33904</v>
      </c>
      <c r="V2519">
        <f>-741.423202992784 -9.64362996973955 -93.1916325808081</f>
        <v>-844.25846554333168</v>
      </c>
      <c r="W2519" t="s">
        <v>33905</v>
      </c>
      <c r="X2519" t="s">
        <v>33906</v>
      </c>
      <c r="Y2519" t="s">
        <v>33907</v>
      </c>
    </row>
    <row r="2520" spans="1:25" x14ac:dyDescent="0.3">
      <c r="A2520">
        <v>125950</v>
      </c>
      <c r="B2520" t="s">
        <v>33908</v>
      </c>
      <c r="C2520" t="s">
        <v>33909</v>
      </c>
      <c r="D2520" t="s">
        <v>33910</v>
      </c>
      <c r="E2520" t="s">
        <v>33911</v>
      </c>
      <c r="F2520" t="s">
        <v>33912</v>
      </c>
      <c r="G2520" t="s">
        <v>33913</v>
      </c>
      <c r="H2520" t="s">
        <v>33914</v>
      </c>
      <c r="I2520" t="s">
        <v>33915</v>
      </c>
      <c r="J2520" t="s">
        <v>33916</v>
      </c>
      <c r="K2520" t="s">
        <v>33917</v>
      </c>
      <c r="L2520" t="s">
        <v>33918</v>
      </c>
      <c r="M2520" t="s">
        <v>33919</v>
      </c>
      <c r="N2520" t="s">
        <v>33920</v>
      </c>
      <c r="O2520">
        <f>-790.921636071865 -97.6435750730477 -518.600990232808</f>
        <v>-1407.1662013777209</v>
      </c>
      <c r="P2520">
        <f>-789.759595346663 -126.708169857106 -225.778219171173</f>
        <v>-1142.2459843749421</v>
      </c>
      <c r="Q2520" t="s">
        <v>33921</v>
      </c>
      <c r="R2520" t="s">
        <v>33922</v>
      </c>
      <c r="S2520" t="s">
        <v>33923</v>
      </c>
      <c r="T2520" t="s">
        <v>33924</v>
      </c>
      <c r="U2520" t="s">
        <v>33925</v>
      </c>
      <c r="V2520">
        <f>-741.56960606642 -9.62442559802707 -93.166886914856</f>
        <v>-844.36091857930307</v>
      </c>
      <c r="W2520" t="s">
        <v>33926</v>
      </c>
      <c r="X2520" t="s">
        <v>33927</v>
      </c>
      <c r="Y2520" t="s">
        <v>33928</v>
      </c>
    </row>
    <row r="2521" spans="1:25" x14ac:dyDescent="0.3">
      <c r="A2521">
        <v>126000</v>
      </c>
      <c r="B2521" t="s">
        <v>33929</v>
      </c>
      <c r="C2521" t="s">
        <v>33930</v>
      </c>
      <c r="D2521" t="s">
        <v>33931</v>
      </c>
      <c r="E2521" t="s">
        <v>33932</v>
      </c>
      <c r="F2521" t="s">
        <v>33933</v>
      </c>
      <c r="G2521" t="s">
        <v>33934</v>
      </c>
      <c r="H2521" t="s">
        <v>33935</v>
      </c>
      <c r="I2521" t="s">
        <v>33936</v>
      </c>
      <c r="J2521" t="s">
        <v>33937</v>
      </c>
      <c r="K2521" t="s">
        <v>33938</v>
      </c>
      <c r="L2521" t="s">
        <v>33939</v>
      </c>
      <c r="M2521" t="s">
        <v>33940</v>
      </c>
      <c r="N2521" t="s">
        <v>33941</v>
      </c>
      <c r="O2521">
        <f>-791.287905474326 -97.252685715428 -518.776485379025</f>
        <v>-1407.3170765687789</v>
      </c>
      <c r="P2521">
        <f>-790.181025762528 -126.573503097532 -225.979253895678</f>
        <v>-1142.733782755738</v>
      </c>
      <c r="Q2521" t="s">
        <v>33942</v>
      </c>
      <c r="R2521" t="s">
        <v>33943</v>
      </c>
      <c r="S2521" t="s">
        <v>33944</v>
      </c>
      <c r="T2521" t="s">
        <v>33945</v>
      </c>
      <c r="U2521" t="s">
        <v>33946</v>
      </c>
      <c r="V2521">
        <f>-741.744416730699 -9.57354765962873 -93.125366291868</f>
        <v>-844.44333068219566</v>
      </c>
      <c r="W2521" t="s">
        <v>33947</v>
      </c>
      <c r="X2521" t="s">
        <v>33948</v>
      </c>
      <c r="Y2521" t="s">
        <v>33949</v>
      </c>
    </row>
    <row r="2522" spans="1:25" x14ac:dyDescent="0.3">
      <c r="A2522">
        <v>126050</v>
      </c>
      <c r="B2522" t="s">
        <v>33950</v>
      </c>
      <c r="C2522" t="s">
        <v>33951</v>
      </c>
      <c r="D2522" t="s">
        <v>33952</v>
      </c>
      <c r="E2522" t="s">
        <v>33953</v>
      </c>
      <c r="F2522" t="s">
        <v>33954</v>
      </c>
      <c r="G2522" t="s">
        <v>33955</v>
      </c>
      <c r="H2522" t="s">
        <v>33956</v>
      </c>
      <c r="I2522" t="s">
        <v>33957</v>
      </c>
      <c r="J2522" t="s">
        <v>33958</v>
      </c>
      <c r="K2522" t="s">
        <v>33959</v>
      </c>
      <c r="L2522" t="s">
        <v>33960</v>
      </c>
      <c r="M2522" t="s">
        <v>33961</v>
      </c>
      <c r="N2522" t="s">
        <v>33962</v>
      </c>
      <c r="O2522">
        <f>-791.135482712355 -97.1321096085453 -518.942612994447</f>
        <v>-1407.2102053153474</v>
      </c>
      <c r="P2522">
        <f>-790.196225674331 -126.759839957986 -226.175650610234</f>
        <v>-1143.131716242551</v>
      </c>
      <c r="Q2522" t="s">
        <v>33963</v>
      </c>
      <c r="R2522" t="s">
        <v>33964</v>
      </c>
      <c r="S2522" t="s">
        <v>33965</v>
      </c>
      <c r="T2522" t="s">
        <v>33966</v>
      </c>
      <c r="U2522" t="s">
        <v>33967</v>
      </c>
      <c r="V2522">
        <f>-741.809155264689 -9.74917569385457 -93.1076982136505</f>
        <v>-844.66602917219404</v>
      </c>
      <c r="W2522" t="s">
        <v>33968</v>
      </c>
      <c r="X2522" t="s">
        <v>33969</v>
      </c>
      <c r="Y2522" t="s">
        <v>33970</v>
      </c>
    </row>
    <row r="2523" spans="1:25" x14ac:dyDescent="0.3">
      <c r="A2523">
        <v>126100</v>
      </c>
      <c r="B2523" t="s">
        <v>33971</v>
      </c>
      <c r="C2523" t="s">
        <v>33972</v>
      </c>
      <c r="D2523" t="s">
        <v>33973</v>
      </c>
      <c r="E2523" t="s">
        <v>33974</v>
      </c>
      <c r="F2523" t="s">
        <v>33975</v>
      </c>
      <c r="G2523" t="s">
        <v>33976</v>
      </c>
      <c r="H2523" t="s">
        <v>33977</v>
      </c>
      <c r="I2523" t="s">
        <v>33978</v>
      </c>
      <c r="J2523" t="s">
        <v>33979</v>
      </c>
      <c r="K2523" t="s">
        <v>33980</v>
      </c>
      <c r="L2523" t="s">
        <v>33981</v>
      </c>
      <c r="M2523" t="s">
        <v>33982</v>
      </c>
      <c r="N2523" t="s">
        <v>33983</v>
      </c>
      <c r="O2523">
        <f>-790.604839171138 -96.9880622895455 -519.223695565371</f>
        <v>-1406.8165970260545</v>
      </c>
      <c r="P2523">
        <f>-789.929981389279 -127.159868999591 -226.511552984659</f>
        <v>-1143.6014033735289</v>
      </c>
      <c r="Q2523" t="s">
        <v>33984</v>
      </c>
      <c r="R2523" t="s">
        <v>33985</v>
      </c>
      <c r="S2523" t="s">
        <v>33986</v>
      </c>
      <c r="T2523" t="s">
        <v>33987</v>
      </c>
      <c r="U2523" t="s">
        <v>33988</v>
      </c>
      <c r="V2523">
        <f>-741.934965948133 -10.2197405088477 -93.0860109458882</f>
        <v>-845.240717402869</v>
      </c>
      <c r="W2523" t="s">
        <v>33989</v>
      </c>
      <c r="X2523" t="s">
        <v>33990</v>
      </c>
      <c r="Y2523" t="s">
        <v>33991</v>
      </c>
    </row>
    <row r="2524" spans="1:25" x14ac:dyDescent="0.3">
      <c r="A2524">
        <v>126150</v>
      </c>
      <c r="B2524" t="s">
        <v>33992</v>
      </c>
      <c r="C2524" t="s">
        <v>33993</v>
      </c>
      <c r="D2524" t="s">
        <v>33994</v>
      </c>
      <c r="E2524" t="s">
        <v>33995</v>
      </c>
      <c r="F2524" t="s">
        <v>33996</v>
      </c>
      <c r="G2524" t="s">
        <v>33997</v>
      </c>
      <c r="H2524" t="s">
        <v>33998</v>
      </c>
      <c r="I2524" t="s">
        <v>33999</v>
      </c>
      <c r="J2524" t="s">
        <v>34000</v>
      </c>
      <c r="K2524" t="s">
        <v>34001</v>
      </c>
      <c r="L2524" t="s">
        <v>34002</v>
      </c>
      <c r="M2524" t="s">
        <v>34003</v>
      </c>
      <c r="N2524" t="s">
        <v>34004</v>
      </c>
      <c r="O2524">
        <f>-790.284350180905 -97.0133674735055 -519.293289989725</f>
        <v>-1406.5910076441355</v>
      </c>
      <c r="P2524">
        <f>-789.662357478779 -127.323116657214 -226.595237314996</f>
        <v>-1143.5807114509889</v>
      </c>
      <c r="Q2524" t="s">
        <v>34005</v>
      </c>
      <c r="R2524" t="s">
        <v>34006</v>
      </c>
      <c r="S2524" t="s">
        <v>34007</v>
      </c>
      <c r="T2524" t="s">
        <v>34008</v>
      </c>
      <c r="U2524" t="s">
        <v>34009</v>
      </c>
      <c r="V2524">
        <f>-741.951806130185 -10.4506107555387 -93.0766708364566</f>
        <v>-845.47908772218034</v>
      </c>
      <c r="W2524" t="s">
        <v>34010</v>
      </c>
      <c r="X2524" t="s">
        <v>34011</v>
      </c>
      <c r="Y2524" t="s">
        <v>34012</v>
      </c>
    </row>
    <row r="2525" spans="1:25" x14ac:dyDescent="0.3">
      <c r="A2525">
        <v>126200</v>
      </c>
      <c r="B2525" t="s">
        <v>34013</v>
      </c>
      <c r="C2525" t="s">
        <v>34014</v>
      </c>
      <c r="D2525" t="s">
        <v>34015</v>
      </c>
      <c r="E2525" t="s">
        <v>34016</v>
      </c>
      <c r="F2525" t="s">
        <v>34017</v>
      </c>
      <c r="G2525" t="s">
        <v>34018</v>
      </c>
      <c r="H2525" t="s">
        <v>34019</v>
      </c>
      <c r="I2525" t="s">
        <v>34020</v>
      </c>
      <c r="J2525" t="s">
        <v>34021</v>
      </c>
      <c r="K2525" t="s">
        <v>34022</v>
      </c>
      <c r="L2525" t="s">
        <v>34023</v>
      </c>
      <c r="M2525" t="s">
        <v>34024</v>
      </c>
      <c r="N2525" t="s">
        <v>34025</v>
      </c>
      <c r="O2525">
        <f>-789.750488588186 -97.0337837672557 -519.373880602912</f>
        <v>-1406.1581529583536</v>
      </c>
      <c r="P2525">
        <f>-789.193238517106 -127.442492096693 -226.685933769246</f>
        <v>-1143.3216643830451</v>
      </c>
      <c r="Q2525" t="s">
        <v>34026</v>
      </c>
      <c r="R2525" t="s">
        <v>34027</v>
      </c>
      <c r="S2525" t="s">
        <v>34028</v>
      </c>
      <c r="T2525" t="s">
        <v>34029</v>
      </c>
      <c r="U2525" t="s">
        <v>34030</v>
      </c>
      <c r="V2525">
        <f>-741.901193957965 -10.6481976519549 -93.0787474277822</f>
        <v>-845.62813903770211</v>
      </c>
      <c r="W2525" t="s">
        <v>34031</v>
      </c>
      <c r="X2525" t="s">
        <v>34032</v>
      </c>
      <c r="Y2525" t="s">
        <v>34033</v>
      </c>
    </row>
    <row r="2526" spans="1:25" x14ac:dyDescent="0.3">
      <c r="A2526">
        <v>126250</v>
      </c>
      <c r="B2526" t="s">
        <v>34034</v>
      </c>
      <c r="C2526" t="s">
        <v>34035</v>
      </c>
      <c r="D2526" t="s">
        <v>34036</v>
      </c>
      <c r="E2526" t="s">
        <v>34037</v>
      </c>
      <c r="F2526" t="s">
        <v>34038</v>
      </c>
      <c r="G2526" t="s">
        <v>34039</v>
      </c>
      <c r="H2526" t="s">
        <v>34040</v>
      </c>
      <c r="I2526" t="s">
        <v>34041</v>
      </c>
      <c r="J2526" t="s">
        <v>34042</v>
      </c>
      <c r="K2526" t="s">
        <v>34043</v>
      </c>
      <c r="L2526" t="s">
        <v>34044</v>
      </c>
      <c r="M2526" t="s">
        <v>34045</v>
      </c>
      <c r="N2526" t="s">
        <v>34046</v>
      </c>
      <c r="O2526">
        <f>-789.538123162922 -97.1008831204615 -519.395302322496</f>
        <v>-1406.0343086058797</v>
      </c>
      <c r="P2526">
        <f>-789.068008599616 -127.538718056002 -226.710197495996</f>
        <v>-1143.3169241516139</v>
      </c>
      <c r="Q2526" t="s">
        <v>34047</v>
      </c>
      <c r="R2526" t="s">
        <v>34048</v>
      </c>
      <c r="S2526" t="s">
        <v>34049</v>
      </c>
      <c r="T2526" t="s">
        <v>34050</v>
      </c>
      <c r="U2526" t="s">
        <v>34051</v>
      </c>
      <c r="V2526">
        <f>-741.801932054235 -10.8079392794687 -93.0844252971478</f>
        <v>-845.69429663085145</v>
      </c>
      <c r="W2526" t="s">
        <v>34052</v>
      </c>
      <c r="X2526" t="s">
        <v>34053</v>
      </c>
      <c r="Y2526" t="s">
        <v>34054</v>
      </c>
    </row>
    <row r="2527" spans="1:25" x14ac:dyDescent="0.3">
      <c r="A2527">
        <v>126300</v>
      </c>
      <c r="B2527" t="s">
        <v>34055</v>
      </c>
      <c r="C2527" t="s">
        <v>34056</v>
      </c>
      <c r="D2527" t="s">
        <v>34057</v>
      </c>
      <c r="E2527" t="s">
        <v>34058</v>
      </c>
      <c r="F2527" t="s">
        <v>34059</v>
      </c>
      <c r="G2527" t="s">
        <v>34060</v>
      </c>
      <c r="H2527" t="s">
        <v>34061</v>
      </c>
      <c r="I2527" t="s">
        <v>34062</v>
      </c>
      <c r="J2527" t="s">
        <v>34063</v>
      </c>
      <c r="K2527" t="s">
        <v>34064</v>
      </c>
      <c r="L2527" t="s">
        <v>34065</v>
      </c>
      <c r="M2527" t="s">
        <v>34066</v>
      </c>
      <c r="N2527" t="s">
        <v>34067</v>
      </c>
      <c r="O2527">
        <f>-788.993736034106 -97.2032721845626 -519.402417066346</f>
        <v>-1405.5994252850146</v>
      </c>
      <c r="P2527">
        <f>-788.605558075865 -127.762341998127 -226.729938915814</f>
        <v>-1143.097838989806</v>
      </c>
      <c r="Q2527" t="s">
        <v>34068</v>
      </c>
      <c r="R2527" t="s">
        <v>34069</v>
      </c>
      <c r="S2527" t="s">
        <v>34070</v>
      </c>
      <c r="T2527" t="s">
        <v>34071</v>
      </c>
      <c r="U2527" t="s">
        <v>34072</v>
      </c>
      <c r="V2527">
        <f>-741.714644524335 -10.922149626969 -93.0717360104214</f>
        <v>-845.70853016172543</v>
      </c>
      <c r="W2527" t="s">
        <v>34073</v>
      </c>
      <c r="X2527" t="s">
        <v>34074</v>
      </c>
      <c r="Y2527" t="s">
        <v>34075</v>
      </c>
    </row>
    <row r="2528" spans="1:25" x14ac:dyDescent="0.3">
      <c r="A2528">
        <v>126350</v>
      </c>
      <c r="B2528" t="s">
        <v>34076</v>
      </c>
      <c r="C2528" t="s">
        <v>34077</v>
      </c>
      <c r="D2528" t="s">
        <v>34078</v>
      </c>
      <c r="E2528" t="s">
        <v>34079</v>
      </c>
      <c r="F2528" t="s">
        <v>34080</v>
      </c>
      <c r="G2528" t="s">
        <v>34081</v>
      </c>
      <c r="H2528" t="s">
        <v>34082</v>
      </c>
      <c r="I2528" t="s">
        <v>34083</v>
      </c>
      <c r="J2528" t="s">
        <v>34084</v>
      </c>
      <c r="K2528" t="s">
        <v>34085</v>
      </c>
      <c r="L2528" t="s">
        <v>34086</v>
      </c>
      <c r="M2528" t="s">
        <v>34087</v>
      </c>
      <c r="N2528" t="s">
        <v>34088</v>
      </c>
      <c r="O2528">
        <f>-788.690202646022 -97.2617473663365 -519.406708520953</f>
        <v>-1405.3586585333114</v>
      </c>
      <c r="P2528">
        <f>-788.343661831579 -127.823389666705 -226.734423201524</f>
        <v>-1142.901474699808</v>
      </c>
      <c r="Q2528" t="s">
        <v>34089</v>
      </c>
      <c r="R2528" t="s">
        <v>34090</v>
      </c>
      <c r="S2528" t="s">
        <v>34091</v>
      </c>
      <c r="T2528" t="s">
        <v>34092</v>
      </c>
      <c r="U2528" t="s">
        <v>34093</v>
      </c>
      <c r="V2528">
        <f>-741.695045464793 -11.0542428121 -93.0727394176392</f>
        <v>-845.82202769453227</v>
      </c>
      <c r="W2528" t="s">
        <v>34094</v>
      </c>
      <c r="X2528" t="s">
        <v>34095</v>
      </c>
      <c r="Y2528" t="s">
        <v>34096</v>
      </c>
    </row>
    <row r="2529" spans="1:25" x14ac:dyDescent="0.3">
      <c r="A2529">
        <v>126400</v>
      </c>
      <c r="B2529" t="s">
        <v>34097</v>
      </c>
      <c r="C2529" t="s">
        <v>34098</v>
      </c>
      <c r="D2529" t="s">
        <v>34099</v>
      </c>
      <c r="E2529" t="s">
        <v>34100</v>
      </c>
      <c r="F2529" t="s">
        <v>34101</v>
      </c>
      <c r="G2529" t="s">
        <v>34102</v>
      </c>
      <c r="H2529" t="s">
        <v>34103</v>
      </c>
      <c r="I2529" t="s">
        <v>34104</v>
      </c>
      <c r="J2529" t="s">
        <v>34105</v>
      </c>
      <c r="K2529" t="s">
        <v>34106</v>
      </c>
      <c r="L2529" t="s">
        <v>34107</v>
      </c>
      <c r="M2529" t="s">
        <v>34108</v>
      </c>
      <c r="N2529" t="s">
        <v>34109</v>
      </c>
      <c r="O2529">
        <f>-788.117011020937 -97.2936877006357 -519.362912045493</f>
        <v>-1404.7736107670657</v>
      </c>
      <c r="P2529">
        <f>-787.886782158392 -127.839542754899 -226.688780616971</f>
        <v>-1142.4151055302618</v>
      </c>
      <c r="Q2529" t="s">
        <v>34110</v>
      </c>
      <c r="R2529" t="s">
        <v>34111</v>
      </c>
      <c r="S2529" t="s">
        <v>34112</v>
      </c>
      <c r="T2529" t="s">
        <v>34113</v>
      </c>
      <c r="U2529" t="s">
        <v>34114</v>
      </c>
      <c r="V2529">
        <f>-741.688819650572 -11.0777357553643 -93.0609595100786</f>
        <v>-845.82751491601493</v>
      </c>
      <c r="W2529" t="s">
        <v>34115</v>
      </c>
      <c r="X2529" t="s">
        <v>34116</v>
      </c>
      <c r="Y2529" t="s">
        <v>34117</v>
      </c>
    </row>
    <row r="2530" spans="1:25" x14ac:dyDescent="0.3">
      <c r="A2530">
        <v>126450</v>
      </c>
      <c r="B2530" t="s">
        <v>34118</v>
      </c>
      <c r="C2530" t="s">
        <v>34119</v>
      </c>
      <c r="D2530" t="s">
        <v>34120</v>
      </c>
      <c r="E2530" t="s">
        <v>34121</v>
      </c>
      <c r="F2530" t="s">
        <v>34122</v>
      </c>
      <c r="G2530" t="s">
        <v>34123</v>
      </c>
      <c r="H2530" t="s">
        <v>34124</v>
      </c>
      <c r="I2530" t="s">
        <v>34125</v>
      </c>
      <c r="J2530" t="s">
        <v>34126</v>
      </c>
      <c r="K2530" t="s">
        <v>34127</v>
      </c>
      <c r="L2530" t="s">
        <v>34128</v>
      </c>
      <c r="M2530" t="s">
        <v>34129</v>
      </c>
      <c r="N2530" t="s">
        <v>34130</v>
      </c>
      <c r="O2530">
        <f>-787.949938384211 -97.1955964806655 -519.336567332821</f>
        <v>-1404.4821021976975</v>
      </c>
      <c r="P2530">
        <f>-787.707511022444 -127.726927758387 -226.661017446679</f>
        <v>-1142.0954562275101</v>
      </c>
      <c r="Q2530" t="s">
        <v>34131</v>
      </c>
      <c r="R2530" t="s">
        <v>34132</v>
      </c>
      <c r="S2530" t="s">
        <v>34133</v>
      </c>
      <c r="T2530" t="s">
        <v>34134</v>
      </c>
      <c r="U2530" t="s">
        <v>34135</v>
      </c>
      <c r="V2530">
        <f>-741.647790556567 -10.8713433198816 -93.073113087023</f>
        <v>-845.59224696347155</v>
      </c>
      <c r="W2530" t="s">
        <v>34136</v>
      </c>
      <c r="X2530" t="s">
        <v>34137</v>
      </c>
      <c r="Y2530" t="s">
        <v>34138</v>
      </c>
    </row>
    <row r="2531" spans="1:25" x14ac:dyDescent="0.3">
      <c r="A2531">
        <v>126500</v>
      </c>
      <c r="B2531" t="s">
        <v>34139</v>
      </c>
      <c r="C2531" t="s">
        <v>34140</v>
      </c>
      <c r="D2531" t="s">
        <v>34141</v>
      </c>
      <c r="E2531" t="s">
        <v>34142</v>
      </c>
      <c r="F2531" t="s">
        <v>34143</v>
      </c>
      <c r="G2531" t="s">
        <v>34144</v>
      </c>
      <c r="H2531" t="s">
        <v>34145</v>
      </c>
      <c r="I2531" t="s">
        <v>34146</v>
      </c>
      <c r="J2531" t="s">
        <v>34147</v>
      </c>
      <c r="K2531" t="s">
        <v>34148</v>
      </c>
      <c r="L2531" t="s">
        <v>34149</v>
      </c>
      <c r="M2531" t="s">
        <v>34150</v>
      </c>
      <c r="N2531" t="s">
        <v>34151</v>
      </c>
      <c r="O2531">
        <f>-787.754775171029 -97.1384448673184 -519.277582378966</f>
        <v>-1404.1708024173136</v>
      </c>
      <c r="P2531">
        <f>-787.471285088074 -127.501589879682 -226.584603066095</f>
        <v>-1141.5574780338509</v>
      </c>
      <c r="Q2531" t="s">
        <v>34152</v>
      </c>
      <c r="R2531" t="s">
        <v>34153</v>
      </c>
      <c r="S2531" t="s">
        <v>34154</v>
      </c>
      <c r="T2531" t="s">
        <v>34155</v>
      </c>
      <c r="U2531" t="s">
        <v>34156</v>
      </c>
      <c r="V2531">
        <f>-741.67223578772 -10.7235404695257 -93.0851528718357</f>
        <v>-845.48092912908135</v>
      </c>
      <c r="W2531" t="s">
        <v>34157</v>
      </c>
      <c r="X2531" t="s">
        <v>34158</v>
      </c>
      <c r="Y2531" t="s">
        <v>34159</v>
      </c>
    </row>
    <row r="2532" spans="1:25" x14ac:dyDescent="0.3">
      <c r="A2532">
        <v>126550</v>
      </c>
      <c r="B2532" t="s">
        <v>34160</v>
      </c>
      <c r="C2532" t="s">
        <v>34161</v>
      </c>
      <c r="D2532" t="s">
        <v>34162</v>
      </c>
      <c r="E2532" t="s">
        <v>34163</v>
      </c>
      <c r="F2532" t="s">
        <v>34164</v>
      </c>
      <c r="G2532" t="s">
        <v>34165</v>
      </c>
      <c r="H2532" t="s">
        <v>34166</v>
      </c>
      <c r="I2532" t="s">
        <v>34167</v>
      </c>
      <c r="J2532" t="s">
        <v>34168</v>
      </c>
      <c r="K2532" t="s">
        <v>34169</v>
      </c>
      <c r="L2532" t="s">
        <v>34170</v>
      </c>
      <c r="M2532" t="s">
        <v>34171</v>
      </c>
      <c r="N2532" t="s">
        <v>34172</v>
      </c>
      <c r="O2532">
        <f>-787.636254410521 -97.1358027845461 -519.257596417807</f>
        <v>-1404.029653612874</v>
      </c>
      <c r="P2532">
        <f>-787.36514850383 -127.473077419235 -226.561761395142</f>
        <v>-1141.399987318207</v>
      </c>
      <c r="Q2532" t="s">
        <v>34173</v>
      </c>
      <c r="R2532" t="s">
        <v>34174</v>
      </c>
      <c r="S2532" t="s">
        <v>34175</v>
      </c>
      <c r="T2532" t="s">
        <v>34176</v>
      </c>
      <c r="U2532" t="s">
        <v>34177</v>
      </c>
      <c r="V2532">
        <f>-741.717018946345 -10.6757296378753 -93.0900089949696</f>
        <v>-845.48275757918987</v>
      </c>
      <c r="W2532" t="s">
        <v>34178</v>
      </c>
      <c r="X2532" t="s">
        <v>34179</v>
      </c>
      <c r="Y2532" t="s">
        <v>34180</v>
      </c>
    </row>
    <row r="2533" spans="1:25" x14ac:dyDescent="0.3">
      <c r="A2533">
        <v>126600</v>
      </c>
      <c r="B2533" t="s">
        <v>34181</v>
      </c>
      <c r="C2533" t="s">
        <v>34182</v>
      </c>
      <c r="D2533" t="s">
        <v>34183</v>
      </c>
      <c r="E2533" t="s">
        <v>34184</v>
      </c>
      <c r="F2533" t="s">
        <v>34185</v>
      </c>
      <c r="G2533" t="s">
        <v>34186</v>
      </c>
      <c r="H2533" t="s">
        <v>34187</v>
      </c>
      <c r="I2533" t="s">
        <v>34188</v>
      </c>
      <c r="J2533" t="s">
        <v>34189</v>
      </c>
      <c r="K2533" t="s">
        <v>34190</v>
      </c>
      <c r="L2533" t="s">
        <v>34191</v>
      </c>
      <c r="M2533" t="s">
        <v>34192</v>
      </c>
      <c r="N2533" t="s">
        <v>34193</v>
      </c>
      <c r="O2533">
        <f>-787.670109691877 -97.2269043053343 -519.191632687806</f>
        <v>-1404.0886466850172</v>
      </c>
      <c r="P2533">
        <f>-787.422907423564 -127.587253089702 -226.498308918924</f>
        <v>-1141.5084694321899</v>
      </c>
      <c r="Q2533" t="s">
        <v>34194</v>
      </c>
      <c r="R2533" t="s">
        <v>34195</v>
      </c>
      <c r="S2533" t="s">
        <v>34196</v>
      </c>
      <c r="T2533" t="s">
        <v>34197</v>
      </c>
      <c r="U2533" t="s">
        <v>34198</v>
      </c>
      <c r="V2533">
        <f>-741.845067104655 -10.7176835379321 -93.0840828534931</f>
        <v>-845.64683349608015</v>
      </c>
      <c r="W2533" t="s">
        <v>34199</v>
      </c>
      <c r="X2533" t="s">
        <v>34200</v>
      </c>
      <c r="Y2533" t="s">
        <v>34201</v>
      </c>
    </row>
    <row r="2534" spans="1:25" x14ac:dyDescent="0.3">
      <c r="A2534">
        <v>126650</v>
      </c>
      <c r="B2534" t="s">
        <v>34202</v>
      </c>
      <c r="C2534" t="s">
        <v>34203</v>
      </c>
      <c r="D2534" t="s">
        <v>34204</v>
      </c>
      <c r="E2534" t="s">
        <v>34205</v>
      </c>
      <c r="F2534" t="s">
        <v>34206</v>
      </c>
      <c r="G2534" t="s">
        <v>34207</v>
      </c>
      <c r="H2534" t="s">
        <v>34208</v>
      </c>
      <c r="I2534" t="s">
        <v>34209</v>
      </c>
      <c r="J2534" t="s">
        <v>34210</v>
      </c>
      <c r="K2534" t="s">
        <v>34211</v>
      </c>
      <c r="L2534" t="s">
        <v>34212</v>
      </c>
      <c r="M2534" t="s">
        <v>34213</v>
      </c>
      <c r="N2534" t="s">
        <v>34214</v>
      </c>
      <c r="O2534">
        <f>-787.586211452648 -97.2414044895827 -519.140939333515</f>
        <v>-1403.9685552757455</v>
      </c>
      <c r="P2534">
        <f>-787.411481658462 -127.570568321169 -226.444256135137</f>
        <v>-1141.4263061147681</v>
      </c>
      <c r="Q2534" t="s">
        <v>34215</v>
      </c>
      <c r="R2534" t="s">
        <v>34216</v>
      </c>
      <c r="S2534" t="s">
        <v>34217</v>
      </c>
      <c r="T2534" t="s">
        <v>34218</v>
      </c>
      <c r="U2534" t="s">
        <v>34219</v>
      </c>
      <c r="V2534">
        <f>-741.905065054769 -10.6788491231055 -93.0871496600945</f>
        <v>-845.67106383796897</v>
      </c>
      <c r="W2534" t="s">
        <v>34220</v>
      </c>
      <c r="X2534" t="s">
        <v>34221</v>
      </c>
      <c r="Y2534" t="s">
        <v>34222</v>
      </c>
    </row>
    <row r="2535" spans="1:25" x14ac:dyDescent="0.3">
      <c r="A2535">
        <v>126700</v>
      </c>
      <c r="B2535" t="s">
        <v>34223</v>
      </c>
      <c r="C2535" t="s">
        <v>34224</v>
      </c>
      <c r="D2535" t="s">
        <v>34225</v>
      </c>
      <c r="E2535" t="s">
        <v>34226</v>
      </c>
      <c r="F2535" t="s">
        <v>34227</v>
      </c>
      <c r="G2535" t="s">
        <v>34228</v>
      </c>
      <c r="H2535" t="s">
        <v>34229</v>
      </c>
      <c r="I2535" t="s">
        <v>34230</v>
      </c>
      <c r="J2535" t="s">
        <v>34231</v>
      </c>
      <c r="K2535" t="s">
        <v>34232</v>
      </c>
      <c r="L2535" t="s">
        <v>34233</v>
      </c>
      <c r="M2535" t="s">
        <v>34234</v>
      </c>
      <c r="N2535" t="s">
        <v>34235</v>
      </c>
      <c r="O2535">
        <f>-787.517524460092 -97.2525274875309 -518.975679702665</f>
        <v>-1403.7457316502878</v>
      </c>
      <c r="P2535">
        <f>-787.506235750165 -127.460230702243 -226.266476096514</f>
        <v>-1141.232942548922</v>
      </c>
      <c r="Q2535" t="s">
        <v>34236</v>
      </c>
      <c r="R2535" t="s">
        <v>34237</v>
      </c>
      <c r="S2535" t="s">
        <v>34238</v>
      </c>
      <c r="T2535" t="s">
        <v>34239</v>
      </c>
      <c r="U2535" t="s">
        <v>34240</v>
      </c>
      <c r="V2535">
        <f>-741.749950079485 -10.5667416038661 -93.0985443545695</f>
        <v>-845.41523603792064</v>
      </c>
      <c r="W2535" t="s">
        <v>34241</v>
      </c>
      <c r="X2535" t="s">
        <v>34242</v>
      </c>
      <c r="Y2535" t="s">
        <v>34243</v>
      </c>
    </row>
    <row r="2536" spans="1:25" x14ac:dyDescent="0.3">
      <c r="A2536">
        <v>126750</v>
      </c>
      <c r="B2536" t="s">
        <v>34244</v>
      </c>
      <c r="C2536" t="s">
        <v>34245</v>
      </c>
      <c r="D2536" t="s">
        <v>34246</v>
      </c>
      <c r="E2536" t="s">
        <v>34247</v>
      </c>
      <c r="F2536" t="s">
        <v>34248</v>
      </c>
      <c r="G2536" t="s">
        <v>34249</v>
      </c>
      <c r="H2536" t="s">
        <v>34250</v>
      </c>
      <c r="I2536" t="s">
        <v>34251</v>
      </c>
      <c r="J2536" t="s">
        <v>34252</v>
      </c>
      <c r="K2536" t="s">
        <v>34253</v>
      </c>
      <c r="L2536" t="s">
        <v>34254</v>
      </c>
      <c r="M2536" t="s">
        <v>34255</v>
      </c>
      <c r="N2536" t="s">
        <v>34256</v>
      </c>
      <c r="O2536">
        <f>-787.705636270264 -97.3474105655296 -518.892504159656</f>
        <v>-1403.9455509954496</v>
      </c>
      <c r="P2536">
        <f>-787.79801595193 -127.45604526325 -226.173055198204</f>
        <v>-1141.4271164133838</v>
      </c>
      <c r="Q2536" t="s">
        <v>34257</v>
      </c>
      <c r="R2536" t="s">
        <v>34258</v>
      </c>
      <c r="S2536" t="s">
        <v>34259</v>
      </c>
      <c r="T2536" t="s">
        <v>34260</v>
      </c>
      <c r="U2536" t="s">
        <v>34261</v>
      </c>
      <c r="V2536">
        <f>-741.720658412475 -10.6502112628209 -93.1078545074134</f>
        <v>-845.47872418270936</v>
      </c>
      <c r="W2536" t="s">
        <v>34262</v>
      </c>
      <c r="X2536" t="s">
        <v>34263</v>
      </c>
      <c r="Y2536" t="s">
        <v>34264</v>
      </c>
    </row>
    <row r="2537" spans="1:25" x14ac:dyDescent="0.3">
      <c r="A2537">
        <v>126800</v>
      </c>
      <c r="B2537" t="s">
        <v>34265</v>
      </c>
      <c r="C2537" t="s">
        <v>34266</v>
      </c>
      <c r="D2537" t="s">
        <v>34267</v>
      </c>
      <c r="E2537" t="s">
        <v>34268</v>
      </c>
      <c r="F2537" t="s">
        <v>34269</v>
      </c>
      <c r="G2537" t="s">
        <v>34270</v>
      </c>
      <c r="H2537" t="s">
        <v>34271</v>
      </c>
      <c r="I2537" t="s">
        <v>34272</v>
      </c>
      <c r="J2537" t="s">
        <v>34273</v>
      </c>
      <c r="K2537" t="s">
        <v>34274</v>
      </c>
      <c r="L2537" t="s">
        <v>34275</v>
      </c>
      <c r="M2537" t="s">
        <v>34276</v>
      </c>
      <c r="N2537" t="s">
        <v>34277</v>
      </c>
      <c r="O2537">
        <f>-788.280769866311 -97.601052507521 -518.815266063007</f>
        <v>-1404.6970884368388</v>
      </c>
      <c r="P2537">
        <f>-788.233475359342 -127.598581058078 -226.084349749449</f>
        <v>-1141.9164061668691</v>
      </c>
      <c r="Q2537" t="s">
        <v>34278</v>
      </c>
      <c r="R2537" t="s">
        <v>34279</v>
      </c>
      <c r="S2537" t="s">
        <v>34280</v>
      </c>
      <c r="T2537" t="s">
        <v>34281</v>
      </c>
      <c r="U2537" t="s">
        <v>34282</v>
      </c>
      <c r="V2537">
        <f>-741.868332900654 -10.7318453107446 -93.0947757411876</f>
        <v>-845.69495395258616</v>
      </c>
      <c r="W2537" t="s">
        <v>34283</v>
      </c>
      <c r="X2537" t="s">
        <v>34284</v>
      </c>
      <c r="Y2537" t="s">
        <v>34285</v>
      </c>
    </row>
    <row r="2538" spans="1:25" x14ac:dyDescent="0.3">
      <c r="A2538">
        <v>126850</v>
      </c>
      <c r="B2538" t="s">
        <v>34286</v>
      </c>
      <c r="C2538" t="s">
        <v>34287</v>
      </c>
      <c r="D2538" t="s">
        <v>34288</v>
      </c>
      <c r="E2538" t="s">
        <v>34289</v>
      </c>
      <c r="F2538" t="s">
        <v>34290</v>
      </c>
      <c r="G2538" t="s">
        <v>34291</v>
      </c>
      <c r="H2538" t="s">
        <v>34292</v>
      </c>
      <c r="I2538" t="s">
        <v>34293</v>
      </c>
      <c r="J2538" t="s">
        <v>34294</v>
      </c>
      <c r="K2538" t="s">
        <v>34295</v>
      </c>
      <c r="L2538" t="s">
        <v>34296</v>
      </c>
      <c r="M2538" t="s">
        <v>34297</v>
      </c>
      <c r="N2538" t="s">
        <v>34298</v>
      </c>
      <c r="O2538">
        <f>-788.60372657024 -97.5970061969688 -518.808234093781</f>
        <v>-1405.0089668609899</v>
      </c>
      <c r="P2538">
        <f>-788.350402386131 -127.621082959448 -226.080203432786</f>
        <v>-1142.0516887783651</v>
      </c>
      <c r="Q2538" t="s">
        <v>34299</v>
      </c>
      <c r="R2538" t="s">
        <v>34300</v>
      </c>
      <c r="S2538" t="s">
        <v>34301</v>
      </c>
      <c r="T2538" t="s">
        <v>34302</v>
      </c>
      <c r="U2538" t="s">
        <v>34303</v>
      </c>
      <c r="V2538">
        <f>-741.916601800715 -10.6786524381973 -93.0952429296453</f>
        <v>-845.69049716855761</v>
      </c>
      <c r="W2538" t="s">
        <v>34304</v>
      </c>
      <c r="X2538" t="s">
        <v>34305</v>
      </c>
      <c r="Y2538" t="s">
        <v>34306</v>
      </c>
    </row>
    <row r="2539" spans="1:25" x14ac:dyDescent="0.3">
      <c r="A2539">
        <v>126900</v>
      </c>
      <c r="B2539" t="s">
        <v>34307</v>
      </c>
      <c r="C2539" t="s">
        <v>34308</v>
      </c>
      <c r="D2539" t="s">
        <v>34309</v>
      </c>
      <c r="E2539" t="s">
        <v>34310</v>
      </c>
      <c r="F2539" t="s">
        <v>34311</v>
      </c>
      <c r="G2539" t="s">
        <v>34312</v>
      </c>
      <c r="H2539" t="s">
        <v>34313</v>
      </c>
      <c r="I2539" t="s">
        <v>34314</v>
      </c>
      <c r="J2539" t="s">
        <v>34315</v>
      </c>
      <c r="K2539" t="s">
        <v>34316</v>
      </c>
      <c r="L2539" t="s">
        <v>34317</v>
      </c>
      <c r="M2539" t="s">
        <v>34318</v>
      </c>
      <c r="N2539" t="s">
        <v>34319</v>
      </c>
      <c r="O2539">
        <f>-789.152928717706 -97.776375186842 -518.852353178229</f>
        <v>-1405.781657082777</v>
      </c>
      <c r="P2539">
        <f>-788.637843879997 -127.933671591404 -226.138280854563</f>
        <v>-1142.7097963259641</v>
      </c>
      <c r="Q2539" t="s">
        <v>34320</v>
      </c>
      <c r="R2539" t="s">
        <v>34321</v>
      </c>
      <c r="S2539" t="s">
        <v>34322</v>
      </c>
      <c r="T2539" t="s">
        <v>34323</v>
      </c>
      <c r="U2539" t="s">
        <v>34324</v>
      </c>
      <c r="V2539">
        <f>-742.083624595174 -10.7768824248412 -93.078028413166</f>
        <v>-845.93853543318119</v>
      </c>
      <c r="W2539" t="s">
        <v>34325</v>
      </c>
      <c r="X2539" t="s">
        <v>34326</v>
      </c>
      <c r="Y2539" t="s">
        <v>34327</v>
      </c>
    </row>
    <row r="2540" spans="1:25" x14ac:dyDescent="0.3">
      <c r="A2540">
        <v>126950</v>
      </c>
      <c r="B2540" t="s">
        <v>34328</v>
      </c>
      <c r="C2540" t="s">
        <v>34329</v>
      </c>
      <c r="D2540" t="s">
        <v>34330</v>
      </c>
      <c r="E2540" t="s">
        <v>34331</v>
      </c>
      <c r="F2540" t="s">
        <v>34332</v>
      </c>
      <c r="G2540" t="s">
        <v>34333</v>
      </c>
      <c r="H2540" t="s">
        <v>34334</v>
      </c>
      <c r="I2540" t="s">
        <v>34335</v>
      </c>
      <c r="J2540" t="s">
        <v>34336</v>
      </c>
      <c r="K2540" t="s">
        <v>34337</v>
      </c>
      <c r="L2540" t="s">
        <v>34338</v>
      </c>
      <c r="M2540" t="s">
        <v>34339</v>
      </c>
      <c r="N2540" t="s">
        <v>34340</v>
      </c>
      <c r="O2540">
        <f>-789.247709513283 -97.8121516663964 -518.918666448125</f>
        <v>-1405.9785276278044</v>
      </c>
      <c r="P2540">
        <f>-788.713935993131 -128.075832636602 -226.215601274213</f>
        <v>-1143.0053699039461</v>
      </c>
      <c r="Q2540" t="s">
        <v>34341</v>
      </c>
      <c r="R2540" t="s">
        <v>34342</v>
      </c>
      <c r="S2540" t="s">
        <v>34343</v>
      </c>
      <c r="T2540" t="s">
        <v>34344</v>
      </c>
      <c r="U2540" t="s">
        <v>34345</v>
      </c>
      <c r="V2540">
        <f>-742.097099132574 -10.8624351756746 -93.078462486384</f>
        <v>-846.03799679463259</v>
      </c>
      <c r="W2540" t="s">
        <v>34346</v>
      </c>
      <c r="X2540" t="s">
        <v>34347</v>
      </c>
      <c r="Y2540" t="s">
        <v>34348</v>
      </c>
    </row>
    <row r="2541" spans="1:25" x14ac:dyDescent="0.3">
      <c r="A2541">
        <v>127000</v>
      </c>
      <c r="B2541" t="s">
        <v>34349</v>
      </c>
      <c r="C2541" t="s">
        <v>34350</v>
      </c>
      <c r="D2541" t="s">
        <v>34351</v>
      </c>
      <c r="E2541" t="s">
        <v>34352</v>
      </c>
      <c r="F2541" t="s">
        <v>34353</v>
      </c>
      <c r="G2541" t="s">
        <v>34354</v>
      </c>
      <c r="H2541" t="s">
        <v>34355</v>
      </c>
      <c r="I2541" t="s">
        <v>34356</v>
      </c>
      <c r="J2541" t="s">
        <v>34357</v>
      </c>
      <c r="K2541" t="s">
        <v>34358</v>
      </c>
      <c r="L2541" t="s">
        <v>34359</v>
      </c>
      <c r="M2541" t="s">
        <v>34360</v>
      </c>
      <c r="N2541" t="s">
        <v>34361</v>
      </c>
      <c r="O2541">
        <f>-789.897251457033 -98.1337651488409 -519.038034829328</f>
        <v>-1407.0690514352018</v>
      </c>
      <c r="P2541">
        <f>-789.414485329727 -128.637130189547 -226.359836301866</f>
        <v>-1144.41145182114</v>
      </c>
      <c r="Q2541" t="s">
        <v>34362</v>
      </c>
      <c r="R2541" t="s">
        <v>34363</v>
      </c>
      <c r="S2541" t="s">
        <v>34364</v>
      </c>
      <c r="T2541" t="s">
        <v>34365</v>
      </c>
      <c r="U2541" t="s">
        <v>34366</v>
      </c>
      <c r="V2541">
        <f>-742.360228984907 -11.2209778772915 -93.0685181243186</f>
        <v>-846.64972498651719</v>
      </c>
      <c r="W2541" t="s">
        <v>34367</v>
      </c>
      <c r="X2541" t="s">
        <v>34368</v>
      </c>
      <c r="Y2541" t="s">
        <v>34369</v>
      </c>
    </row>
    <row r="2542" spans="1:25" x14ac:dyDescent="0.3">
      <c r="A2542">
        <v>127050</v>
      </c>
      <c r="B2542" t="s">
        <v>34370</v>
      </c>
      <c r="C2542" t="s">
        <v>34371</v>
      </c>
      <c r="D2542" t="s">
        <v>34372</v>
      </c>
      <c r="E2542" t="s">
        <v>34373</v>
      </c>
      <c r="F2542" t="s">
        <v>34374</v>
      </c>
      <c r="G2542" t="s">
        <v>34375</v>
      </c>
      <c r="H2542" t="s">
        <v>34376</v>
      </c>
      <c r="I2542" t="s">
        <v>34377</v>
      </c>
      <c r="J2542" t="s">
        <v>34378</v>
      </c>
      <c r="K2542" t="s">
        <v>34379</v>
      </c>
      <c r="L2542" t="s">
        <v>34380</v>
      </c>
      <c r="M2542" t="s">
        <v>34381</v>
      </c>
      <c r="N2542" t="s">
        <v>34382</v>
      </c>
      <c r="O2542">
        <f>-790.368287656404 -98.2622615480234 -519.075619558339</f>
        <v>-1407.7061687627665</v>
      </c>
      <c r="P2542">
        <f>-789.814866743246 -128.797737931324 -226.400938692936</f>
        <v>-1145.0135433675059</v>
      </c>
      <c r="Q2542" t="s">
        <v>34383</v>
      </c>
      <c r="R2542" t="s">
        <v>34384</v>
      </c>
      <c r="S2542" t="s">
        <v>34385</v>
      </c>
      <c r="T2542" t="s">
        <v>34386</v>
      </c>
      <c r="U2542" t="s">
        <v>34387</v>
      </c>
      <c r="V2542">
        <f>-742.516731338197 -11.2779131340262 -93.0641643425581</f>
        <v>-846.85880881478136</v>
      </c>
      <c r="W2542" t="s">
        <v>34388</v>
      </c>
      <c r="X2542" t="s">
        <v>34389</v>
      </c>
      <c r="Y2542" t="s">
        <v>34390</v>
      </c>
    </row>
    <row r="2543" spans="1:25" x14ac:dyDescent="0.3">
      <c r="A2543">
        <v>127100</v>
      </c>
      <c r="B2543" t="s">
        <v>34391</v>
      </c>
      <c r="C2543" t="s">
        <v>34392</v>
      </c>
      <c r="D2543" t="s">
        <v>34393</v>
      </c>
      <c r="E2543" t="s">
        <v>34394</v>
      </c>
      <c r="F2543" t="s">
        <v>34395</v>
      </c>
      <c r="G2543" t="s">
        <v>34396</v>
      </c>
      <c r="H2543" t="s">
        <v>34397</v>
      </c>
      <c r="I2543" t="s">
        <v>34398</v>
      </c>
      <c r="J2543" t="s">
        <v>34399</v>
      </c>
      <c r="K2543" t="s">
        <v>34400</v>
      </c>
      <c r="L2543" t="s">
        <v>34401</v>
      </c>
      <c r="M2543" t="s">
        <v>34402</v>
      </c>
      <c r="N2543" t="s">
        <v>34403</v>
      </c>
      <c r="O2543">
        <f>-791.25505665012 -98.5650089841624 -519.047628316523</f>
        <v>-1408.8676939508055</v>
      </c>
      <c r="P2543">
        <f>-790.500177668507 -129.045216460332 -226.367529660562</f>
        <v>-1145.912923789401</v>
      </c>
      <c r="Q2543" t="s">
        <v>34404</v>
      </c>
      <c r="R2543" t="s">
        <v>34405</v>
      </c>
      <c r="S2543" t="s">
        <v>34406</v>
      </c>
      <c r="T2543" t="s">
        <v>34407</v>
      </c>
      <c r="U2543" t="s">
        <v>34408</v>
      </c>
      <c r="V2543">
        <f>-742.851434351795 -11.4812040209258 -93.0437796848935</f>
        <v>-847.37641805761427</v>
      </c>
      <c r="W2543" t="s">
        <v>34409</v>
      </c>
      <c r="X2543" t="s">
        <v>34410</v>
      </c>
      <c r="Y2543" t="s">
        <v>34411</v>
      </c>
    </row>
    <row r="2544" spans="1:25" x14ac:dyDescent="0.3">
      <c r="A2544">
        <v>127150</v>
      </c>
      <c r="B2544" t="s">
        <v>34412</v>
      </c>
      <c r="C2544" t="s">
        <v>34413</v>
      </c>
      <c r="D2544" t="s">
        <v>34414</v>
      </c>
      <c r="E2544" t="s">
        <v>34415</v>
      </c>
      <c r="F2544" t="s">
        <v>34416</v>
      </c>
      <c r="G2544" t="s">
        <v>34417</v>
      </c>
      <c r="H2544" t="s">
        <v>34418</v>
      </c>
      <c r="I2544" t="s">
        <v>34419</v>
      </c>
      <c r="J2544" t="s">
        <v>34420</v>
      </c>
      <c r="K2544" t="s">
        <v>34421</v>
      </c>
      <c r="L2544" t="s">
        <v>34422</v>
      </c>
      <c r="M2544" t="s">
        <v>34423</v>
      </c>
      <c r="N2544" t="s">
        <v>34424</v>
      </c>
      <c r="O2544">
        <f>-791.577103014544 -98.7987370517765 -519.003667364039</f>
        <v>-1409.3795074303594</v>
      </c>
      <c r="P2544">
        <f>-790.774675288112 -129.293712895681 -226.325358375309</f>
        <v>-1146.3937465591021</v>
      </c>
      <c r="Q2544" t="s">
        <v>34425</v>
      </c>
      <c r="R2544" t="s">
        <v>34426</v>
      </c>
      <c r="S2544" t="s">
        <v>34427</v>
      </c>
      <c r="T2544" t="s">
        <v>34428</v>
      </c>
      <c r="U2544" t="s">
        <v>34429</v>
      </c>
      <c r="V2544">
        <f>-743.03365026035 -11.6675056943441 -93.026694425778</f>
        <v>-847.72785038047209</v>
      </c>
      <c r="W2544" t="s">
        <v>34430</v>
      </c>
      <c r="X2544" t="s">
        <v>34431</v>
      </c>
      <c r="Y2544" t="s">
        <v>34432</v>
      </c>
    </row>
    <row r="2545" spans="1:25" x14ac:dyDescent="0.3">
      <c r="A2545">
        <v>127200</v>
      </c>
      <c r="B2545" t="s">
        <v>34433</v>
      </c>
      <c r="C2545" t="s">
        <v>34434</v>
      </c>
      <c r="D2545" t="s">
        <v>34435</v>
      </c>
      <c r="E2545" t="s">
        <v>34436</v>
      </c>
      <c r="F2545" t="s">
        <v>34437</v>
      </c>
      <c r="G2545" t="s">
        <v>34438</v>
      </c>
      <c r="H2545" t="s">
        <v>34439</v>
      </c>
      <c r="I2545" t="s">
        <v>34440</v>
      </c>
      <c r="J2545" t="s">
        <v>34441</v>
      </c>
      <c r="K2545" t="s">
        <v>34442</v>
      </c>
      <c r="L2545" t="s">
        <v>34443</v>
      </c>
      <c r="M2545" t="s">
        <v>34444</v>
      </c>
      <c r="N2545" t="s">
        <v>34445</v>
      </c>
      <c r="O2545">
        <f>-791.919455945785 -99.0942347017415 -518.946126070172</f>
        <v>-1409.9598167176985</v>
      </c>
      <c r="P2545">
        <f>-791.12927898245 -129.352257936788 -226.243116980349</f>
        <v>-1146.7246538995869</v>
      </c>
      <c r="Q2545" t="s">
        <v>34446</v>
      </c>
      <c r="R2545" t="s">
        <v>34447</v>
      </c>
      <c r="S2545" t="s">
        <v>34448</v>
      </c>
      <c r="T2545" t="s">
        <v>34449</v>
      </c>
      <c r="U2545" t="s">
        <v>34450</v>
      </c>
      <c r="V2545">
        <f>-743.210318081338 -11.6783044102792 -93.0161645247598</f>
        <v>-847.90478701637699</v>
      </c>
      <c r="W2545" t="s">
        <v>34451</v>
      </c>
      <c r="X2545" t="s">
        <v>34452</v>
      </c>
      <c r="Y2545" t="s">
        <v>34453</v>
      </c>
    </row>
    <row r="2546" spans="1:25" x14ac:dyDescent="0.3">
      <c r="A2546">
        <v>127250</v>
      </c>
      <c r="B2546" t="s">
        <v>34454</v>
      </c>
      <c r="C2546" t="s">
        <v>34455</v>
      </c>
      <c r="D2546" t="s">
        <v>34456</v>
      </c>
      <c r="E2546" t="s">
        <v>34457</v>
      </c>
      <c r="F2546" t="s">
        <v>34458</v>
      </c>
      <c r="G2546" t="s">
        <v>34459</v>
      </c>
      <c r="H2546" t="s">
        <v>34460</v>
      </c>
      <c r="I2546" t="s">
        <v>34461</v>
      </c>
      <c r="J2546" t="s">
        <v>34462</v>
      </c>
      <c r="K2546" t="s">
        <v>34463</v>
      </c>
      <c r="L2546" t="s">
        <v>34464</v>
      </c>
      <c r="M2546" t="s">
        <v>34465</v>
      </c>
      <c r="N2546" t="s">
        <v>34466</v>
      </c>
      <c r="O2546">
        <f>-792.088501356357 -99.2396030937559 -518.896961564505</f>
        <v>-1410.2250660146178</v>
      </c>
      <c r="P2546">
        <f>-791.243758801456 -129.529837366081 -226.197394231268</f>
        <v>-1146.970990398805</v>
      </c>
      <c r="Q2546" t="s">
        <v>34467</v>
      </c>
      <c r="R2546" t="s">
        <v>34468</v>
      </c>
      <c r="S2546" t="s">
        <v>34469</v>
      </c>
      <c r="T2546" t="s">
        <v>34470</v>
      </c>
      <c r="U2546" t="s">
        <v>34471</v>
      </c>
      <c r="V2546">
        <f>-743.266220643826 -11.6675916311785 -93.0094632456775</f>
        <v>-847.94327552068205</v>
      </c>
      <c r="W2546" t="s">
        <v>34472</v>
      </c>
      <c r="X2546" t="s">
        <v>34473</v>
      </c>
      <c r="Y2546" t="s">
        <v>34474</v>
      </c>
    </row>
    <row r="2547" spans="1:25" x14ac:dyDescent="0.3">
      <c r="A2547">
        <v>127300</v>
      </c>
      <c r="B2547" t="s">
        <v>34475</v>
      </c>
      <c r="C2547" t="s">
        <v>34476</v>
      </c>
      <c r="D2547" t="s">
        <v>34477</v>
      </c>
      <c r="E2547" t="s">
        <v>34478</v>
      </c>
      <c r="F2547" t="s">
        <v>34479</v>
      </c>
      <c r="G2547" t="s">
        <v>34480</v>
      </c>
      <c r="H2547" t="s">
        <v>34481</v>
      </c>
      <c r="I2547" t="s">
        <v>34482</v>
      </c>
      <c r="J2547" t="s">
        <v>34483</v>
      </c>
      <c r="K2547" t="s">
        <v>34484</v>
      </c>
      <c r="L2547" t="s">
        <v>34485</v>
      </c>
      <c r="M2547" t="s">
        <v>34486</v>
      </c>
      <c r="N2547" t="s">
        <v>34487</v>
      </c>
      <c r="O2547">
        <f>-792.449374233545 -99.5776386152479 -518.811954469962</f>
        <v>-1410.8389673187548</v>
      </c>
      <c r="P2547">
        <f>-791.525942507842 -129.805650430258 -226.106270320434</f>
        <v>-1147.437863258534</v>
      </c>
      <c r="Q2547" t="s">
        <v>34488</v>
      </c>
      <c r="R2547" t="s">
        <v>34489</v>
      </c>
      <c r="S2547" t="s">
        <v>34490</v>
      </c>
      <c r="T2547" t="s">
        <v>34491</v>
      </c>
      <c r="U2547" t="s">
        <v>34492</v>
      </c>
      <c r="V2547">
        <f>-743.409801643277 -11.8932551349103 -92.9839700335023</f>
        <v>-848.28702681168954</v>
      </c>
      <c r="W2547" t="s">
        <v>34493</v>
      </c>
      <c r="X2547" t="s">
        <v>34494</v>
      </c>
      <c r="Y2547" t="s">
        <v>34495</v>
      </c>
    </row>
    <row r="2548" spans="1:25" x14ac:dyDescent="0.3">
      <c r="A2548">
        <v>127350</v>
      </c>
      <c r="B2548" t="s">
        <v>34496</v>
      </c>
      <c r="C2548" t="s">
        <v>34497</v>
      </c>
      <c r="D2548" t="s">
        <v>34498</v>
      </c>
      <c r="E2548" t="s">
        <v>34499</v>
      </c>
      <c r="F2548" t="s">
        <v>34500</v>
      </c>
      <c r="G2548" t="s">
        <v>34501</v>
      </c>
      <c r="H2548" t="s">
        <v>34502</v>
      </c>
      <c r="I2548" t="s">
        <v>34503</v>
      </c>
      <c r="J2548" t="s">
        <v>34504</v>
      </c>
      <c r="K2548" t="s">
        <v>34505</v>
      </c>
      <c r="L2548" t="s">
        <v>34506</v>
      </c>
      <c r="M2548" t="s">
        <v>34507</v>
      </c>
      <c r="N2548" t="s">
        <v>34508</v>
      </c>
      <c r="O2548">
        <f>-792.629692407017 -99.7269339211712 -518.772563418726</f>
        <v>-1411.1291897469141</v>
      </c>
      <c r="P2548">
        <f>-791.639462698639 -129.901983864306 -226.061587047893</f>
        <v>-1147.6030336108379</v>
      </c>
      <c r="Q2548" t="s">
        <v>34509</v>
      </c>
      <c r="R2548" t="s">
        <v>34510</v>
      </c>
      <c r="S2548" t="s">
        <v>34511</v>
      </c>
      <c r="T2548" t="s">
        <v>34512</v>
      </c>
      <c r="U2548" t="s">
        <v>34513</v>
      </c>
      <c r="V2548">
        <f>-743.426867350802 -11.8663037484623 -92.9812214915261</f>
        <v>-848.2743925907904</v>
      </c>
      <c r="W2548" t="s">
        <v>34514</v>
      </c>
      <c r="X2548" t="s">
        <v>34515</v>
      </c>
      <c r="Y2548" t="s">
        <v>34516</v>
      </c>
    </row>
    <row r="2549" spans="1:25" x14ac:dyDescent="0.3">
      <c r="A2549">
        <v>127400</v>
      </c>
      <c r="B2549" t="s">
        <v>34517</v>
      </c>
      <c r="C2549" t="s">
        <v>34518</v>
      </c>
      <c r="D2549" t="s">
        <v>34519</v>
      </c>
      <c r="E2549" t="s">
        <v>34520</v>
      </c>
      <c r="F2549" t="s">
        <v>34521</v>
      </c>
      <c r="G2549" t="s">
        <v>34522</v>
      </c>
      <c r="H2549" t="s">
        <v>34523</v>
      </c>
      <c r="I2549" t="s">
        <v>34524</v>
      </c>
      <c r="J2549" t="s">
        <v>34525</v>
      </c>
      <c r="K2549" t="s">
        <v>34526</v>
      </c>
      <c r="L2549" t="s">
        <v>34527</v>
      </c>
      <c r="M2549" t="s">
        <v>34528</v>
      </c>
      <c r="N2549" t="s">
        <v>34529</v>
      </c>
      <c r="O2549">
        <f>-792.906211528918 -99.9470093527409 -518.726372432547</f>
        <v>-1411.5795933142058</v>
      </c>
      <c r="P2549">
        <f>-791.830266779219 -130.012664908953 -226.004445078546</f>
        <v>-1147.8473767667181</v>
      </c>
      <c r="Q2549" t="s">
        <v>34530</v>
      </c>
      <c r="R2549" t="s">
        <v>34531</v>
      </c>
      <c r="S2549" t="s">
        <v>34532</v>
      </c>
      <c r="T2549" t="s">
        <v>34533</v>
      </c>
      <c r="U2549" t="s">
        <v>34534</v>
      </c>
      <c r="V2549">
        <f>-743.456235487594 -12.0275408316459 -92.9626359437984</f>
        <v>-848.44641226303827</v>
      </c>
      <c r="W2549" t="s">
        <v>34535</v>
      </c>
      <c r="X2549" t="s">
        <v>34536</v>
      </c>
      <c r="Y2549" t="s">
        <v>34537</v>
      </c>
    </row>
    <row r="2550" spans="1:25" x14ac:dyDescent="0.3">
      <c r="A2550">
        <v>127450</v>
      </c>
      <c r="B2550" t="s">
        <v>34538</v>
      </c>
      <c r="C2550" t="s">
        <v>34539</v>
      </c>
      <c r="D2550" t="s">
        <v>34540</v>
      </c>
      <c r="E2550" t="s">
        <v>34541</v>
      </c>
      <c r="F2550" t="s">
        <v>34542</v>
      </c>
      <c r="G2550" t="s">
        <v>34543</v>
      </c>
      <c r="H2550" t="s">
        <v>34544</v>
      </c>
      <c r="I2550" t="s">
        <v>34545</v>
      </c>
      <c r="J2550" t="s">
        <v>34546</v>
      </c>
      <c r="K2550" t="s">
        <v>34547</v>
      </c>
      <c r="L2550" t="s">
        <v>34548</v>
      </c>
      <c r="M2550" t="s">
        <v>34549</v>
      </c>
      <c r="N2550" t="s">
        <v>34550</v>
      </c>
      <c r="O2550">
        <f>-792.989999344592 -99.9876291814301 -518.711212392244</f>
        <v>-1411.6888409182661</v>
      </c>
      <c r="P2550">
        <f>-791.887197323595 -129.978452379518 -225.981787103531</f>
        <v>-1147.8474368066441</v>
      </c>
      <c r="Q2550" t="s">
        <v>34551</v>
      </c>
      <c r="R2550" t="s">
        <v>34552</v>
      </c>
      <c r="S2550" t="s">
        <v>34553</v>
      </c>
      <c r="T2550" t="s">
        <v>34554</v>
      </c>
      <c r="U2550" t="s">
        <v>34555</v>
      </c>
      <c r="V2550">
        <f>-743.505509432582 -12.0273934695665 -92.9456451425524</f>
        <v>-848.47854804470091</v>
      </c>
      <c r="W2550" t="s">
        <v>34556</v>
      </c>
      <c r="X2550" t="s">
        <v>34557</v>
      </c>
      <c r="Y2550" t="s">
        <v>34558</v>
      </c>
    </row>
    <row r="2551" spans="1:25" x14ac:dyDescent="0.3">
      <c r="A2551">
        <v>127500</v>
      </c>
      <c r="B2551" t="s">
        <v>34559</v>
      </c>
      <c r="C2551" t="s">
        <v>34560</v>
      </c>
      <c r="D2551" t="s">
        <v>34561</v>
      </c>
      <c r="E2551" t="s">
        <v>34562</v>
      </c>
      <c r="F2551" t="s">
        <v>34563</v>
      </c>
      <c r="G2551" t="s">
        <v>34564</v>
      </c>
      <c r="H2551" t="s">
        <v>34565</v>
      </c>
      <c r="I2551" t="s">
        <v>34566</v>
      </c>
      <c r="J2551" t="s">
        <v>34567</v>
      </c>
      <c r="K2551" t="s">
        <v>34568</v>
      </c>
      <c r="L2551" t="s">
        <v>34569</v>
      </c>
      <c r="M2551" t="s">
        <v>34570</v>
      </c>
      <c r="N2551" t="s">
        <v>34571</v>
      </c>
      <c r="O2551">
        <f>-793.287154031062 -100.052117632139 -518.648305222048</f>
        <v>-1411.9875768852489</v>
      </c>
      <c r="P2551">
        <f>-792.056396231743 -129.975594165092 -225.912410446825</f>
        <v>-1147.9444008436599</v>
      </c>
      <c r="Q2551" t="s">
        <v>34572</v>
      </c>
      <c r="R2551" t="s">
        <v>34573</v>
      </c>
      <c r="S2551" t="s">
        <v>34574</v>
      </c>
      <c r="T2551" t="s">
        <v>34575</v>
      </c>
      <c r="U2551" t="s">
        <v>34576</v>
      </c>
      <c r="V2551">
        <f>-743.577222012201 -12.0225867197187 -92.9348261706142</f>
        <v>-848.53463490253387</v>
      </c>
      <c r="W2551" t="s">
        <v>34577</v>
      </c>
      <c r="X2551" t="s">
        <v>34578</v>
      </c>
      <c r="Y2551" t="s">
        <v>34579</v>
      </c>
    </row>
    <row r="2552" spans="1:25" x14ac:dyDescent="0.3">
      <c r="A2552">
        <v>127550</v>
      </c>
      <c r="B2552" t="s">
        <v>34580</v>
      </c>
      <c r="C2552" t="s">
        <v>34581</v>
      </c>
      <c r="D2552" t="s">
        <v>34582</v>
      </c>
      <c r="E2552" t="s">
        <v>34583</v>
      </c>
      <c r="F2552" t="s">
        <v>34584</v>
      </c>
      <c r="G2552" t="s">
        <v>34585</v>
      </c>
      <c r="H2552" t="s">
        <v>34586</v>
      </c>
      <c r="I2552" t="s">
        <v>34587</v>
      </c>
      <c r="J2552" t="s">
        <v>34588</v>
      </c>
      <c r="K2552" t="s">
        <v>34589</v>
      </c>
      <c r="L2552" t="s">
        <v>34590</v>
      </c>
      <c r="M2552" t="s">
        <v>34591</v>
      </c>
      <c r="N2552" t="s">
        <v>34592</v>
      </c>
      <c r="O2552">
        <f>-793.482206633152 -100.021169320545 -518.619763783834</f>
        <v>-1412.1231397375309</v>
      </c>
      <c r="P2552">
        <f>-792.172595875991 -129.867919738248 -225.876401445514</f>
        <v>-1147.9169170597529</v>
      </c>
      <c r="Q2552" t="s">
        <v>34593</v>
      </c>
      <c r="R2552" t="s">
        <v>34594</v>
      </c>
      <c r="S2552" t="s">
        <v>34595</v>
      </c>
      <c r="T2552" t="s">
        <v>34596</v>
      </c>
      <c r="U2552" t="s">
        <v>34597</v>
      </c>
      <c r="V2552">
        <f>-743.578270612887 -11.9431249162376 -92.927871233847</f>
        <v>-848.44926676297155</v>
      </c>
      <c r="W2552" t="s">
        <v>34598</v>
      </c>
      <c r="X2552" t="s">
        <v>34599</v>
      </c>
      <c r="Y2552" t="s">
        <v>34600</v>
      </c>
    </row>
    <row r="2553" spans="1:25" x14ac:dyDescent="0.3">
      <c r="A2553">
        <v>127600</v>
      </c>
      <c r="B2553" t="s">
        <v>34601</v>
      </c>
      <c r="C2553" t="s">
        <v>34602</v>
      </c>
      <c r="D2553" t="s">
        <v>34603</v>
      </c>
      <c r="E2553" t="s">
        <v>34604</v>
      </c>
      <c r="F2553" t="s">
        <v>34605</v>
      </c>
      <c r="G2553" t="s">
        <v>34606</v>
      </c>
      <c r="H2553" t="s">
        <v>34607</v>
      </c>
      <c r="I2553" t="s">
        <v>34608</v>
      </c>
      <c r="J2553" t="s">
        <v>34609</v>
      </c>
      <c r="K2553" t="s">
        <v>34610</v>
      </c>
      <c r="L2553" t="s">
        <v>34611</v>
      </c>
      <c r="M2553" t="s">
        <v>34612</v>
      </c>
      <c r="N2553" t="s">
        <v>34613</v>
      </c>
      <c r="O2553">
        <f>-793.769552297815 -100.027407024934 -518.60676077106</f>
        <v>-1412.4037200938089</v>
      </c>
      <c r="P2553">
        <f>-792.343970021156 -129.798100687783 -225.856234094387</f>
        <v>-1147.9983048033259</v>
      </c>
      <c r="Q2553" t="s">
        <v>34614</v>
      </c>
      <c r="R2553" t="s">
        <v>34615</v>
      </c>
      <c r="S2553" t="s">
        <v>34616</v>
      </c>
      <c r="T2553" t="s">
        <v>34617</v>
      </c>
      <c r="U2553" t="s">
        <v>34618</v>
      </c>
      <c r="V2553">
        <f>-743.670795803927 -11.9520624538823 -92.9215487320072</f>
        <v>-848.54440698981648</v>
      </c>
      <c r="W2553" t="s">
        <v>34619</v>
      </c>
      <c r="X2553" t="s">
        <v>34620</v>
      </c>
      <c r="Y2553" t="s">
        <v>34621</v>
      </c>
    </row>
    <row r="2554" spans="1:25" x14ac:dyDescent="0.3">
      <c r="A2554">
        <v>127650</v>
      </c>
      <c r="B2554" t="s">
        <v>34622</v>
      </c>
      <c r="C2554" t="s">
        <v>34623</v>
      </c>
      <c r="D2554" t="s">
        <v>34624</v>
      </c>
      <c r="E2554" t="s">
        <v>34625</v>
      </c>
      <c r="F2554" t="s">
        <v>34626</v>
      </c>
      <c r="G2554" t="s">
        <v>34627</v>
      </c>
      <c r="H2554" t="s">
        <v>34628</v>
      </c>
      <c r="I2554" t="s">
        <v>34629</v>
      </c>
      <c r="J2554" t="s">
        <v>34630</v>
      </c>
      <c r="K2554" t="s">
        <v>34631</v>
      </c>
      <c r="L2554" t="s">
        <v>34632</v>
      </c>
      <c r="M2554" t="s">
        <v>34633</v>
      </c>
      <c r="N2554" t="s">
        <v>34634</v>
      </c>
      <c r="O2554">
        <f>-793.906110250797 -99.9910914918876 -518.593101147171</f>
        <v>-1412.4903028898557</v>
      </c>
      <c r="P2554">
        <f>-792.402519743685 -129.717717251858 -225.838556472067</f>
        <v>-1147.9587934676101</v>
      </c>
      <c r="Q2554" t="s">
        <v>34635</v>
      </c>
      <c r="R2554" t="s">
        <v>34636</v>
      </c>
      <c r="S2554" t="s">
        <v>34637</v>
      </c>
      <c r="T2554" t="s">
        <v>34638</v>
      </c>
      <c r="U2554" t="s">
        <v>34639</v>
      </c>
      <c r="V2554">
        <f>-743.719333725153 -11.9942663063821 -92.9197998567955</f>
        <v>-848.63339988833059</v>
      </c>
      <c r="W2554" t="s">
        <v>34640</v>
      </c>
      <c r="X2554" t="s">
        <v>34641</v>
      </c>
      <c r="Y2554" t="s">
        <v>34642</v>
      </c>
    </row>
    <row r="2555" spans="1:25" x14ac:dyDescent="0.3">
      <c r="A2555">
        <v>127700</v>
      </c>
      <c r="B2555" t="s">
        <v>34643</v>
      </c>
      <c r="C2555" t="s">
        <v>34644</v>
      </c>
      <c r="D2555" t="s">
        <v>34645</v>
      </c>
      <c r="E2555" t="s">
        <v>34646</v>
      </c>
      <c r="F2555" t="s">
        <v>34647</v>
      </c>
      <c r="G2555" t="s">
        <v>34648</v>
      </c>
      <c r="H2555" t="s">
        <v>34649</v>
      </c>
      <c r="I2555" t="s">
        <v>34650</v>
      </c>
      <c r="J2555" t="s">
        <v>34651</v>
      </c>
      <c r="K2555" t="s">
        <v>34652</v>
      </c>
      <c r="L2555" t="s">
        <v>34653</v>
      </c>
      <c r="M2555" t="s">
        <v>34654</v>
      </c>
      <c r="N2555" t="s">
        <v>34655</v>
      </c>
      <c r="O2555">
        <f>-794.07492799606 -99.8985859961181 -518.568811883985</f>
        <v>-1412.542325876163</v>
      </c>
      <c r="P2555">
        <f>-792.386796637805 -129.611706934707 -225.813836517898</f>
        <v>-1147.8123400904099</v>
      </c>
      <c r="Q2555" t="s">
        <v>34656</v>
      </c>
      <c r="R2555" t="s">
        <v>34657</v>
      </c>
      <c r="S2555" t="s">
        <v>34658</v>
      </c>
      <c r="T2555" t="s">
        <v>34659</v>
      </c>
      <c r="U2555" t="s">
        <v>34660</v>
      </c>
      <c r="V2555">
        <f>-743.856017345031 -11.8586030937197 -92.9177247247954</f>
        <v>-848.63234516354612</v>
      </c>
      <c r="W2555" t="s">
        <v>34661</v>
      </c>
      <c r="X2555" t="s">
        <v>34662</v>
      </c>
      <c r="Y2555" t="s">
        <v>34663</v>
      </c>
    </row>
    <row r="2556" spans="1:25" x14ac:dyDescent="0.3">
      <c r="A2556">
        <v>127750</v>
      </c>
      <c r="B2556" t="s">
        <v>34664</v>
      </c>
      <c r="C2556" t="s">
        <v>34665</v>
      </c>
      <c r="D2556" t="s">
        <v>34666</v>
      </c>
      <c r="E2556" t="s">
        <v>34667</v>
      </c>
      <c r="F2556" t="s">
        <v>34668</v>
      </c>
      <c r="G2556" t="s">
        <v>34669</v>
      </c>
      <c r="H2556" t="s">
        <v>34670</v>
      </c>
      <c r="I2556" t="s">
        <v>34671</v>
      </c>
      <c r="J2556" t="s">
        <v>34672</v>
      </c>
      <c r="K2556" t="s">
        <v>34673</v>
      </c>
      <c r="L2556" t="s">
        <v>34674</v>
      </c>
      <c r="M2556" t="s">
        <v>34675</v>
      </c>
      <c r="N2556" t="s">
        <v>34676</v>
      </c>
      <c r="O2556">
        <f>-794.0910428634 -99.7881053912679 -518.58206435138</f>
        <v>-1412.4612126060479</v>
      </c>
      <c r="P2556">
        <f>-792.352860456917 -129.496798295925 -225.826868911395</f>
        <v>-1147.676527664237</v>
      </c>
      <c r="Q2556" t="s">
        <v>34677</v>
      </c>
      <c r="R2556" t="s">
        <v>34678</v>
      </c>
      <c r="S2556" t="s">
        <v>34679</v>
      </c>
      <c r="T2556" t="s">
        <v>34680</v>
      </c>
      <c r="U2556" t="s">
        <v>34681</v>
      </c>
      <c r="V2556">
        <f>-743.888364396183 -11.734431754503 -92.9254293400626</f>
        <v>-848.54822549074856</v>
      </c>
      <c r="W2556" t="s">
        <v>34682</v>
      </c>
      <c r="X2556" t="s">
        <v>34683</v>
      </c>
      <c r="Y2556" t="s">
        <v>34684</v>
      </c>
    </row>
    <row r="2557" spans="1:25" x14ac:dyDescent="0.3">
      <c r="A2557">
        <v>127800</v>
      </c>
      <c r="B2557" t="s">
        <v>34685</v>
      </c>
      <c r="C2557" t="s">
        <v>34686</v>
      </c>
      <c r="D2557" t="s">
        <v>34687</v>
      </c>
      <c r="E2557" t="s">
        <v>34688</v>
      </c>
      <c r="F2557" t="s">
        <v>34689</v>
      </c>
      <c r="G2557" t="s">
        <v>34690</v>
      </c>
      <c r="H2557" t="s">
        <v>34691</v>
      </c>
      <c r="I2557" t="s">
        <v>34692</v>
      </c>
      <c r="J2557" t="s">
        <v>34693</v>
      </c>
      <c r="K2557" t="s">
        <v>34694</v>
      </c>
      <c r="L2557" t="s">
        <v>34695</v>
      </c>
      <c r="M2557" t="s">
        <v>34696</v>
      </c>
      <c r="N2557" t="s">
        <v>34697</v>
      </c>
      <c r="O2557">
        <f>-794.046033684124 -99.6373279937193 -518.642055051892</f>
        <v>-1412.3254167297355</v>
      </c>
      <c r="P2557">
        <f>-792.339171349192 -129.408343783235 -225.893162996411</f>
        <v>-1147.6406781288381</v>
      </c>
      <c r="Q2557" t="s">
        <v>34698</v>
      </c>
      <c r="R2557" t="s">
        <v>34699</v>
      </c>
      <c r="S2557" t="s">
        <v>34700</v>
      </c>
      <c r="T2557" t="s">
        <v>34701</v>
      </c>
      <c r="U2557" t="s">
        <v>34702</v>
      </c>
      <c r="V2557">
        <f>-743.901773500098 -11.6704469074432 -92.9370303836999</f>
        <v>-848.50925079124113</v>
      </c>
      <c r="W2557" t="s">
        <v>34703</v>
      </c>
      <c r="X2557" t="s">
        <v>34704</v>
      </c>
      <c r="Y2557" t="s">
        <v>34705</v>
      </c>
    </row>
    <row r="2558" spans="1:25" x14ac:dyDescent="0.3">
      <c r="A2558">
        <v>127850</v>
      </c>
      <c r="B2558" t="s">
        <v>34706</v>
      </c>
      <c r="C2558" t="s">
        <v>34707</v>
      </c>
      <c r="D2558" t="s">
        <v>34708</v>
      </c>
      <c r="E2558" t="s">
        <v>34709</v>
      </c>
      <c r="F2558" t="s">
        <v>34710</v>
      </c>
      <c r="G2558" t="s">
        <v>34711</v>
      </c>
      <c r="H2558" t="s">
        <v>34712</v>
      </c>
      <c r="I2558" t="s">
        <v>34713</v>
      </c>
      <c r="J2558" t="s">
        <v>34714</v>
      </c>
      <c r="K2558" t="s">
        <v>34715</v>
      </c>
      <c r="L2558" t="s">
        <v>34716</v>
      </c>
      <c r="M2558" t="s">
        <v>34717</v>
      </c>
      <c r="N2558" t="s">
        <v>34718</v>
      </c>
      <c r="O2558">
        <f>-794.001588307257 -99.6033159007532 -518.683780726982</f>
        <v>-1412.288684934992</v>
      </c>
      <c r="P2558">
        <f>-792.342055297373 -129.410290651762 -225.938099544404</f>
        <v>-1147.6904454935391</v>
      </c>
      <c r="Q2558" t="s">
        <v>34719</v>
      </c>
      <c r="R2558" t="s">
        <v>34720</v>
      </c>
      <c r="S2558" t="s">
        <v>34721</v>
      </c>
      <c r="T2558" t="s">
        <v>34722</v>
      </c>
      <c r="U2558" t="s">
        <v>34723</v>
      </c>
      <c r="V2558">
        <f>-743.902238199007 -11.7008233764127 -92.9321184299272</f>
        <v>-848.53518000534689</v>
      </c>
      <c r="W2558" t="s">
        <v>34724</v>
      </c>
      <c r="X2558" t="s">
        <v>34725</v>
      </c>
      <c r="Y2558" t="s">
        <v>34726</v>
      </c>
    </row>
    <row r="2559" spans="1:25" x14ac:dyDescent="0.3">
      <c r="A2559">
        <v>127900</v>
      </c>
      <c r="B2559" t="s">
        <v>34727</v>
      </c>
      <c r="C2559" t="s">
        <v>34728</v>
      </c>
      <c r="D2559" t="s">
        <v>34729</v>
      </c>
      <c r="E2559" t="s">
        <v>34730</v>
      </c>
      <c r="F2559" t="s">
        <v>34731</v>
      </c>
      <c r="G2559" t="s">
        <v>34732</v>
      </c>
      <c r="H2559" t="s">
        <v>34733</v>
      </c>
      <c r="I2559" t="s">
        <v>34734</v>
      </c>
      <c r="J2559" t="s">
        <v>34735</v>
      </c>
      <c r="K2559" t="s">
        <v>34736</v>
      </c>
      <c r="L2559" t="s">
        <v>34737</v>
      </c>
      <c r="M2559" t="s">
        <v>34738</v>
      </c>
      <c r="N2559" t="s">
        <v>34739</v>
      </c>
      <c r="O2559">
        <f>-793.821745267018 -99.4946688427187 -518.769691333288</f>
        <v>-1412.0861054430247</v>
      </c>
      <c r="P2559">
        <f>-792.288861119184 -129.387083986146 -226.032038494849</f>
        <v>-1147.707983600179</v>
      </c>
      <c r="Q2559" t="s">
        <v>34740</v>
      </c>
      <c r="R2559" t="s">
        <v>34741</v>
      </c>
      <c r="S2559" t="s">
        <v>34742</v>
      </c>
      <c r="T2559" t="s">
        <v>34743</v>
      </c>
      <c r="U2559" t="s">
        <v>34744</v>
      </c>
      <c r="V2559">
        <f>-743.978249964133 -11.7926861674973 -92.9220271176931</f>
        <v>-848.6929632493235</v>
      </c>
      <c r="W2559" t="s">
        <v>34745</v>
      </c>
      <c r="X2559" t="s">
        <v>34746</v>
      </c>
      <c r="Y2559" t="s">
        <v>34747</v>
      </c>
    </row>
    <row r="2560" spans="1:25" x14ac:dyDescent="0.3">
      <c r="A2560">
        <v>127950</v>
      </c>
      <c r="B2560" t="s">
        <v>34748</v>
      </c>
      <c r="C2560" t="s">
        <v>34749</v>
      </c>
      <c r="D2560" t="s">
        <v>34750</v>
      </c>
      <c r="E2560" t="s">
        <v>34751</v>
      </c>
      <c r="F2560" t="s">
        <v>34752</v>
      </c>
      <c r="G2560" t="s">
        <v>34753</v>
      </c>
      <c r="H2560" t="s">
        <v>34754</v>
      </c>
      <c r="I2560" t="s">
        <v>34755</v>
      </c>
      <c r="J2560" t="s">
        <v>34756</v>
      </c>
      <c r="K2560" t="s">
        <v>34757</v>
      </c>
      <c r="L2560" t="s">
        <v>34758</v>
      </c>
      <c r="M2560" t="s">
        <v>34759</v>
      </c>
      <c r="N2560" t="s">
        <v>34760</v>
      </c>
      <c r="O2560">
        <f>-793.654175397807 -99.477172371488 -518.828022941184</f>
        <v>-1411.9593707104791</v>
      </c>
      <c r="P2560">
        <f>-792.212434819022 -129.401874845139 -226.093361441538</f>
        <v>-1147.7076711056989</v>
      </c>
      <c r="Q2560" t="s">
        <v>34761</v>
      </c>
      <c r="R2560" t="s">
        <v>34762</v>
      </c>
      <c r="S2560" t="s">
        <v>34763</v>
      </c>
      <c r="T2560" t="s">
        <v>34764</v>
      </c>
      <c r="U2560" t="s">
        <v>34765</v>
      </c>
      <c r="V2560">
        <f>-743.954197809873 -11.7429086965681 -92.9340405019586</f>
        <v>-848.63114700839969</v>
      </c>
      <c r="W2560" t="s">
        <v>34766</v>
      </c>
      <c r="X2560" t="s">
        <v>34767</v>
      </c>
      <c r="Y2560" t="s">
        <v>34768</v>
      </c>
    </row>
    <row r="2561" spans="1:25" x14ac:dyDescent="0.3">
      <c r="A2561">
        <v>128000</v>
      </c>
      <c r="B2561" t="s">
        <v>34769</v>
      </c>
      <c r="C2561" t="s">
        <v>34770</v>
      </c>
      <c r="D2561" t="s">
        <v>34771</v>
      </c>
      <c r="E2561" t="s">
        <v>34772</v>
      </c>
      <c r="F2561" t="s">
        <v>34773</v>
      </c>
      <c r="G2561" t="s">
        <v>34774</v>
      </c>
      <c r="H2561" t="s">
        <v>34775</v>
      </c>
      <c r="I2561" t="s">
        <v>34776</v>
      </c>
      <c r="J2561" t="s">
        <v>34777</v>
      </c>
      <c r="K2561" t="s">
        <v>34778</v>
      </c>
      <c r="L2561" t="s">
        <v>34779</v>
      </c>
      <c r="M2561" t="s">
        <v>34780</v>
      </c>
      <c r="N2561" t="s">
        <v>34781</v>
      </c>
      <c r="O2561">
        <f>-793.474932824464 -99.5343651374158 -518.81163039785</f>
        <v>-1411.8209283597298</v>
      </c>
      <c r="P2561">
        <f>-792.056053532836 -129.508695284588 -226.081678510868</f>
        <v>-1147.646427328292</v>
      </c>
      <c r="Q2561" t="s">
        <v>34782</v>
      </c>
      <c r="R2561" t="s">
        <v>34783</v>
      </c>
      <c r="S2561" t="s">
        <v>34784</v>
      </c>
      <c r="T2561" t="s">
        <v>34785</v>
      </c>
      <c r="U2561" t="s">
        <v>34786</v>
      </c>
      <c r="V2561">
        <f>-743.912195858123 -11.7256107820979 -92.9194359781003</f>
        <v>-848.5572426183212</v>
      </c>
      <c r="W2561" t="s">
        <v>34787</v>
      </c>
      <c r="X2561" t="s">
        <v>34788</v>
      </c>
      <c r="Y2561" t="s">
        <v>34789</v>
      </c>
    </row>
    <row r="2562" spans="1:25" x14ac:dyDescent="0.3">
      <c r="A2562">
        <v>128050</v>
      </c>
      <c r="B2562" t="s">
        <v>34790</v>
      </c>
      <c r="C2562" t="s">
        <v>34791</v>
      </c>
      <c r="D2562" t="s">
        <v>34792</v>
      </c>
      <c r="E2562" t="s">
        <v>34793</v>
      </c>
      <c r="F2562" t="s">
        <v>34794</v>
      </c>
      <c r="G2562" t="s">
        <v>34795</v>
      </c>
      <c r="H2562" t="s">
        <v>34796</v>
      </c>
      <c r="I2562" t="s">
        <v>34797</v>
      </c>
      <c r="J2562" t="s">
        <v>34798</v>
      </c>
      <c r="K2562" t="s">
        <v>34799</v>
      </c>
      <c r="L2562" t="s">
        <v>34800</v>
      </c>
      <c r="M2562" t="s">
        <v>34801</v>
      </c>
      <c r="N2562" t="s">
        <v>34802</v>
      </c>
      <c r="O2562">
        <f>-793.485191812008 -99.7282611061773 -518.790654944275</f>
        <v>-1412.0041078624604</v>
      </c>
      <c r="P2562">
        <f>-792.139980583957 -129.611340458813 -226.051070777664</f>
        <v>-1147.802391820434</v>
      </c>
      <c r="Q2562" t="s">
        <v>34803</v>
      </c>
      <c r="R2562" t="s">
        <v>34804</v>
      </c>
      <c r="S2562" t="s">
        <v>34805</v>
      </c>
      <c r="T2562" t="s">
        <v>34806</v>
      </c>
      <c r="U2562" t="s">
        <v>34807</v>
      </c>
      <c r="V2562">
        <f>-743.9892053089 -11.9631760138386 -92.9048365274786</f>
        <v>-848.85721785021713</v>
      </c>
      <c r="W2562" t="s">
        <v>34808</v>
      </c>
      <c r="X2562" t="s">
        <v>34809</v>
      </c>
      <c r="Y2562" t="s">
        <v>34810</v>
      </c>
    </row>
    <row r="2563" spans="1:25" x14ac:dyDescent="0.3">
      <c r="A2563">
        <v>128100</v>
      </c>
      <c r="B2563" t="s">
        <v>34811</v>
      </c>
      <c r="C2563" t="s">
        <v>34812</v>
      </c>
      <c r="D2563" t="s">
        <v>34813</v>
      </c>
      <c r="E2563" t="s">
        <v>34814</v>
      </c>
      <c r="F2563" t="s">
        <v>34815</v>
      </c>
      <c r="G2563" t="s">
        <v>34816</v>
      </c>
      <c r="H2563" t="s">
        <v>34817</v>
      </c>
      <c r="I2563" t="s">
        <v>34818</v>
      </c>
      <c r="J2563" t="s">
        <v>34819</v>
      </c>
      <c r="K2563" t="s">
        <v>34820</v>
      </c>
      <c r="L2563" t="s">
        <v>34821</v>
      </c>
      <c r="M2563" t="s">
        <v>34822</v>
      </c>
      <c r="N2563" t="s">
        <v>34823</v>
      </c>
      <c r="O2563">
        <f>-793.572606477723 -99.9333100390602 -518.668721922061</f>
        <v>-1412.1746384388441</v>
      </c>
      <c r="P2563">
        <f>-792.248917347775 -129.733480817447 -225.920757389666</f>
        <v>-1147.9031555548879</v>
      </c>
      <c r="Q2563" t="s">
        <v>34824</v>
      </c>
      <c r="R2563" t="s">
        <v>34825</v>
      </c>
      <c r="S2563" t="s">
        <v>34826</v>
      </c>
      <c r="T2563" t="s">
        <v>34827</v>
      </c>
      <c r="U2563" t="s">
        <v>34828</v>
      </c>
      <c r="V2563">
        <f>-743.959865471454 -11.9691294075751 -92.8938037356713</f>
        <v>-848.82279861470045</v>
      </c>
      <c r="W2563" t="s">
        <v>34829</v>
      </c>
      <c r="X2563" t="s">
        <v>34830</v>
      </c>
      <c r="Y2563" t="s">
        <v>34831</v>
      </c>
    </row>
    <row r="2564" spans="1:25" x14ac:dyDescent="0.3">
      <c r="A2564">
        <v>128150</v>
      </c>
      <c r="B2564" t="s">
        <v>34832</v>
      </c>
      <c r="C2564" t="s">
        <v>34833</v>
      </c>
      <c r="D2564" t="s">
        <v>34834</v>
      </c>
      <c r="E2564" t="s">
        <v>34835</v>
      </c>
      <c r="F2564" t="s">
        <v>34836</v>
      </c>
      <c r="G2564" t="s">
        <v>34837</v>
      </c>
      <c r="H2564" t="s">
        <v>34838</v>
      </c>
      <c r="I2564" t="s">
        <v>34839</v>
      </c>
      <c r="J2564" t="s">
        <v>34840</v>
      </c>
      <c r="K2564" t="s">
        <v>34841</v>
      </c>
      <c r="L2564" t="s">
        <v>34842</v>
      </c>
      <c r="M2564" t="s">
        <v>34843</v>
      </c>
      <c r="N2564" t="s">
        <v>34844</v>
      </c>
      <c r="O2564">
        <f>-793.750625277266 -100.130299074573 -518.57974098737</f>
        <v>-1412.4606653392088</v>
      </c>
      <c r="P2564">
        <f>-792.404883913214 -129.812441326447 -225.819789163143</f>
        <v>-1148.037114402804</v>
      </c>
      <c r="Q2564" t="s">
        <v>34845</v>
      </c>
      <c r="R2564" t="s">
        <v>34846</v>
      </c>
      <c r="S2564" t="s">
        <v>34847</v>
      </c>
      <c r="T2564" t="s">
        <v>34848</v>
      </c>
      <c r="U2564" t="s">
        <v>34849</v>
      </c>
      <c r="V2564">
        <f>-744.095035889351 -12.1587898453333 -92.8804796286597</f>
        <v>-849.13430536334408</v>
      </c>
      <c r="W2564" t="s">
        <v>34850</v>
      </c>
      <c r="X2564" t="s">
        <v>34851</v>
      </c>
      <c r="Y2564" t="s">
        <v>34852</v>
      </c>
    </row>
    <row r="2565" spans="1:25" x14ac:dyDescent="0.3">
      <c r="A2565">
        <v>128200</v>
      </c>
      <c r="B2565" t="s">
        <v>34853</v>
      </c>
      <c r="C2565" t="s">
        <v>34854</v>
      </c>
      <c r="D2565" t="s">
        <v>34855</v>
      </c>
      <c r="E2565" t="s">
        <v>34856</v>
      </c>
      <c r="F2565" t="s">
        <v>34857</v>
      </c>
      <c r="G2565" t="s">
        <v>34858</v>
      </c>
      <c r="H2565" t="s">
        <v>34859</v>
      </c>
      <c r="I2565" t="s">
        <v>34860</v>
      </c>
      <c r="J2565" t="s">
        <v>34861</v>
      </c>
      <c r="K2565" t="s">
        <v>34862</v>
      </c>
      <c r="L2565" t="s">
        <v>34863</v>
      </c>
      <c r="M2565" t="s">
        <v>34864</v>
      </c>
      <c r="N2565" t="s">
        <v>34865</v>
      </c>
      <c r="O2565">
        <f>-793.84473477603 -100.223661189213 -518.411550270354</f>
        <v>-1412.479946235597</v>
      </c>
      <c r="P2565">
        <f>-792.542185475331 -129.611227459853 -225.621725740804</f>
        <v>-1147.775138675988</v>
      </c>
      <c r="Q2565" t="s">
        <v>34866</v>
      </c>
      <c r="R2565" t="s">
        <v>34867</v>
      </c>
      <c r="S2565" t="s">
        <v>34868</v>
      </c>
      <c r="T2565" t="s">
        <v>34869</v>
      </c>
      <c r="U2565" t="s">
        <v>34870</v>
      </c>
      <c r="V2565">
        <f>-744.156808052611 -12.0544187056091 -92.859243020807</f>
        <v>-849.07046977902712</v>
      </c>
      <c r="W2565" t="s">
        <v>34871</v>
      </c>
      <c r="X2565" t="s">
        <v>34872</v>
      </c>
      <c r="Y2565" t="s">
        <v>34873</v>
      </c>
    </row>
    <row r="2566" spans="1:25" x14ac:dyDescent="0.3">
      <c r="A2566">
        <v>128250</v>
      </c>
      <c r="B2566" t="s">
        <v>34874</v>
      </c>
      <c r="C2566" t="s">
        <v>34875</v>
      </c>
      <c r="D2566" t="s">
        <v>34876</v>
      </c>
      <c r="E2566" t="s">
        <v>34877</v>
      </c>
      <c r="F2566" t="s">
        <v>34878</v>
      </c>
      <c r="G2566" t="s">
        <v>34879</v>
      </c>
      <c r="H2566" t="s">
        <v>34880</v>
      </c>
      <c r="I2566" t="s">
        <v>34881</v>
      </c>
      <c r="J2566" t="s">
        <v>34882</v>
      </c>
      <c r="K2566" t="s">
        <v>34883</v>
      </c>
      <c r="L2566" t="s">
        <v>34884</v>
      </c>
      <c r="M2566" t="s">
        <v>34885</v>
      </c>
      <c r="N2566" t="s">
        <v>34886</v>
      </c>
      <c r="O2566">
        <f>-793.900654097764 -100.249974703683 -518.320006055938</f>
        <v>-1412.470634857385</v>
      </c>
      <c r="P2566">
        <f>-792.651018451703 -129.494483137607 -225.515697036584</f>
        <v>-1147.661198625894</v>
      </c>
      <c r="Q2566" t="s">
        <v>34887</v>
      </c>
      <c r="R2566" t="s">
        <v>34888</v>
      </c>
      <c r="S2566" t="s">
        <v>34889</v>
      </c>
      <c r="T2566" t="s">
        <v>34890</v>
      </c>
      <c r="U2566" t="s">
        <v>34891</v>
      </c>
      <c r="V2566">
        <f>-744.279991027694 -11.9714165163689 -92.8440748565527</f>
        <v>-849.09548240061554</v>
      </c>
      <c r="W2566" t="s">
        <v>34892</v>
      </c>
      <c r="X2566" t="s">
        <v>34893</v>
      </c>
      <c r="Y2566" t="s">
        <v>34894</v>
      </c>
    </row>
    <row r="2567" spans="1:25" x14ac:dyDescent="0.3">
      <c r="A2567">
        <v>128300</v>
      </c>
      <c r="B2567" t="s">
        <v>34895</v>
      </c>
      <c r="C2567" t="s">
        <v>34896</v>
      </c>
      <c r="D2567" t="s">
        <v>34897</v>
      </c>
      <c r="E2567" t="s">
        <v>34898</v>
      </c>
      <c r="F2567" t="s">
        <v>34899</v>
      </c>
      <c r="G2567" t="s">
        <v>34900</v>
      </c>
      <c r="H2567" t="s">
        <v>34901</v>
      </c>
      <c r="I2567" t="s">
        <v>34902</v>
      </c>
      <c r="J2567" t="s">
        <v>34903</v>
      </c>
      <c r="K2567" t="s">
        <v>34904</v>
      </c>
      <c r="L2567" t="s">
        <v>34905</v>
      </c>
      <c r="M2567" t="s">
        <v>34906</v>
      </c>
      <c r="N2567" t="s">
        <v>34907</v>
      </c>
      <c r="O2567">
        <f>-793.88613385169 -100.179861370494 -518.178662188755</f>
        <v>-1412.244657410939</v>
      </c>
      <c r="P2567">
        <f>-792.734197619993 -129.169716450485 -225.348443387559</f>
        <v>-1147.2523574580371</v>
      </c>
      <c r="Q2567" t="s">
        <v>34908</v>
      </c>
      <c r="R2567" t="s">
        <v>34909</v>
      </c>
      <c r="S2567" t="s">
        <v>34910</v>
      </c>
      <c r="T2567" t="s">
        <v>34911</v>
      </c>
      <c r="U2567" t="s">
        <v>34912</v>
      </c>
      <c r="V2567">
        <f>-744.506227067006 -11.8551568652997 -92.8437728282134</f>
        <v>-849.20515676051912</v>
      </c>
      <c r="W2567" t="s">
        <v>34913</v>
      </c>
      <c r="X2567" t="s">
        <v>34914</v>
      </c>
      <c r="Y2567" t="s">
        <v>34915</v>
      </c>
    </row>
    <row r="2568" spans="1:25" x14ac:dyDescent="0.3">
      <c r="A2568">
        <v>128350</v>
      </c>
      <c r="B2568" t="s">
        <v>34916</v>
      </c>
      <c r="C2568" t="s">
        <v>34917</v>
      </c>
      <c r="D2568" t="s">
        <v>34918</v>
      </c>
      <c r="E2568" t="s">
        <v>34919</v>
      </c>
      <c r="F2568" t="s">
        <v>34920</v>
      </c>
      <c r="G2568" t="s">
        <v>34921</v>
      </c>
      <c r="H2568" t="s">
        <v>34922</v>
      </c>
      <c r="I2568" t="s">
        <v>34923</v>
      </c>
      <c r="J2568" t="s">
        <v>34924</v>
      </c>
      <c r="K2568" t="s">
        <v>34925</v>
      </c>
      <c r="L2568" t="s">
        <v>34926</v>
      </c>
      <c r="M2568" t="s">
        <v>34927</v>
      </c>
      <c r="N2568" t="s">
        <v>34928</v>
      </c>
      <c r="O2568">
        <f>-793.827295108935 -100.146662466314 -518.118605321968</f>
        <v>-1412.0925628972168</v>
      </c>
      <c r="P2568">
        <f>-792.69529205371 -128.991379253962 -225.27412778989</f>
        <v>-1146.9607990975619</v>
      </c>
      <c r="Q2568" t="s">
        <v>34929</v>
      </c>
      <c r="R2568" t="s">
        <v>34930</v>
      </c>
      <c r="S2568" t="s">
        <v>34931</v>
      </c>
      <c r="T2568" t="s">
        <v>34932</v>
      </c>
      <c r="U2568" t="s">
        <v>34933</v>
      </c>
      <c r="V2568">
        <f>-744.580585677458 -11.7530788777665 -92.8400621587271</f>
        <v>-849.17372671395151</v>
      </c>
      <c r="W2568" t="s">
        <v>34934</v>
      </c>
      <c r="X2568" t="s">
        <v>34935</v>
      </c>
      <c r="Y2568" t="s">
        <v>34936</v>
      </c>
    </row>
    <row r="2569" spans="1:25" x14ac:dyDescent="0.3">
      <c r="A2569">
        <v>128400</v>
      </c>
      <c r="B2569" t="s">
        <v>34937</v>
      </c>
      <c r="C2569" t="s">
        <v>34938</v>
      </c>
      <c r="D2569" t="s">
        <v>34939</v>
      </c>
      <c r="E2569" t="s">
        <v>34940</v>
      </c>
      <c r="F2569" t="s">
        <v>34941</v>
      </c>
      <c r="G2569" t="s">
        <v>34942</v>
      </c>
      <c r="H2569" t="s">
        <v>34943</v>
      </c>
      <c r="I2569" t="s">
        <v>34944</v>
      </c>
      <c r="J2569" t="s">
        <v>34945</v>
      </c>
      <c r="K2569" t="s">
        <v>34946</v>
      </c>
      <c r="L2569" t="s">
        <v>34947</v>
      </c>
      <c r="M2569" t="s">
        <v>34948</v>
      </c>
      <c r="N2569" t="s">
        <v>34949</v>
      </c>
      <c r="O2569">
        <f>-793.755579535276 -100.218804218881 -517.987150088582</f>
        <v>-1411.9615338427388</v>
      </c>
      <c r="P2569">
        <f>-792.519729945534 -128.780478005717 -225.115456938007</f>
        <v>-1146.4156648892579</v>
      </c>
      <c r="Q2569" t="s">
        <v>34950</v>
      </c>
      <c r="R2569" t="s">
        <v>34951</v>
      </c>
      <c r="S2569" t="s">
        <v>34952</v>
      </c>
      <c r="T2569" t="s">
        <v>34953</v>
      </c>
      <c r="U2569" t="s">
        <v>34954</v>
      </c>
      <c r="V2569">
        <f>-744.675512511716 -11.7060669826647 -92.8517604054059</f>
        <v>-849.23333989978653</v>
      </c>
      <c r="W2569" t="s">
        <v>34955</v>
      </c>
      <c r="X2569" t="s">
        <v>34956</v>
      </c>
      <c r="Y2569" t="s">
        <v>34957</v>
      </c>
    </row>
    <row r="2570" spans="1:25" x14ac:dyDescent="0.3">
      <c r="A2570">
        <v>128450</v>
      </c>
      <c r="B2570" t="s">
        <v>34958</v>
      </c>
      <c r="C2570" t="s">
        <v>34959</v>
      </c>
      <c r="D2570" t="s">
        <v>34960</v>
      </c>
      <c r="E2570" t="s">
        <v>34961</v>
      </c>
      <c r="F2570" t="s">
        <v>34962</v>
      </c>
      <c r="G2570" t="s">
        <v>34963</v>
      </c>
      <c r="H2570" t="s">
        <v>34964</v>
      </c>
      <c r="I2570" t="s">
        <v>34965</v>
      </c>
      <c r="J2570" t="s">
        <v>34966</v>
      </c>
      <c r="K2570" t="s">
        <v>34967</v>
      </c>
      <c r="L2570" t="s">
        <v>34968</v>
      </c>
      <c r="M2570" t="s">
        <v>34969</v>
      </c>
      <c r="N2570" t="s">
        <v>34970</v>
      </c>
      <c r="O2570">
        <f>-793.661712570894 -100.221218501193 -517.920483472184</f>
        <v>-1411.8034145442709</v>
      </c>
      <c r="P2570">
        <f>-792.361893637751 -128.659386318136 -225.03705744124</f>
        <v>-1146.0583373971269</v>
      </c>
      <c r="Q2570" t="s">
        <v>34971</v>
      </c>
      <c r="R2570" t="s">
        <v>34972</v>
      </c>
      <c r="S2570" t="s">
        <v>34973</v>
      </c>
      <c r="T2570" t="s">
        <v>34974</v>
      </c>
      <c r="U2570" t="s">
        <v>34975</v>
      </c>
      <c r="V2570">
        <f>-744.694834869942 -11.6028344896745 -92.8504286571156</f>
        <v>-849.14809801673209</v>
      </c>
      <c r="W2570" t="s">
        <v>34976</v>
      </c>
      <c r="X2570" t="s">
        <v>34977</v>
      </c>
      <c r="Y2570" t="s">
        <v>34978</v>
      </c>
    </row>
    <row r="2571" spans="1:25" x14ac:dyDescent="0.3">
      <c r="A2571">
        <v>128500</v>
      </c>
      <c r="B2571" t="s">
        <v>34979</v>
      </c>
      <c r="C2571" t="s">
        <v>34980</v>
      </c>
      <c r="D2571" t="s">
        <v>34981</v>
      </c>
      <c r="E2571" t="s">
        <v>34982</v>
      </c>
      <c r="F2571" t="s">
        <v>34983</v>
      </c>
      <c r="G2571" t="s">
        <v>34984</v>
      </c>
      <c r="H2571" t="s">
        <v>34985</v>
      </c>
      <c r="I2571" t="s">
        <v>34986</v>
      </c>
      <c r="J2571" t="s">
        <v>34987</v>
      </c>
      <c r="K2571" t="s">
        <v>34988</v>
      </c>
      <c r="L2571" t="s">
        <v>34989</v>
      </c>
      <c r="M2571" t="s">
        <v>34990</v>
      </c>
      <c r="N2571" t="s">
        <v>34991</v>
      </c>
      <c r="O2571">
        <f>-793.479866936062 -100.381221083235 -517.805393318552</f>
        <v>-1411.6664813378488</v>
      </c>
      <c r="P2571">
        <f>-792.081977042458 -128.636189390626 -224.904574934507</f>
        <v>-1145.6227413675911</v>
      </c>
      <c r="Q2571" t="s">
        <v>34992</v>
      </c>
      <c r="R2571" t="s">
        <v>34993</v>
      </c>
      <c r="S2571" t="s">
        <v>34994</v>
      </c>
      <c r="T2571" t="s">
        <v>34995</v>
      </c>
      <c r="U2571" t="s">
        <v>34996</v>
      </c>
      <c r="V2571">
        <f>-744.84888384112 -11.7440123563035 -92.8477694893792</f>
        <v>-849.44066568680273</v>
      </c>
      <c r="W2571" t="s">
        <v>34997</v>
      </c>
      <c r="X2571" t="s">
        <v>34998</v>
      </c>
      <c r="Y2571" t="s">
        <v>34999</v>
      </c>
    </row>
    <row r="2572" spans="1:25" x14ac:dyDescent="0.3">
      <c r="A2572">
        <v>128550</v>
      </c>
      <c r="B2572" t="s">
        <v>35000</v>
      </c>
      <c r="C2572" t="s">
        <v>35001</v>
      </c>
      <c r="D2572" t="s">
        <v>35002</v>
      </c>
      <c r="E2572" t="s">
        <v>35003</v>
      </c>
      <c r="F2572" t="s">
        <v>35004</v>
      </c>
      <c r="G2572" t="s">
        <v>35005</v>
      </c>
      <c r="H2572" t="s">
        <v>35006</v>
      </c>
      <c r="I2572" t="s">
        <v>35007</v>
      </c>
      <c r="J2572" t="s">
        <v>35008</v>
      </c>
      <c r="K2572" t="s">
        <v>35009</v>
      </c>
      <c r="L2572" t="s">
        <v>35010</v>
      </c>
      <c r="M2572" t="s">
        <v>35011</v>
      </c>
      <c r="N2572" t="s">
        <v>35012</v>
      </c>
      <c r="O2572">
        <f>-793.393389584397 -100.361147292134 -517.764308974159</f>
        <v>-1411.51884585069</v>
      </c>
      <c r="P2572">
        <f>-791.946245733005 -128.559426483549 -224.858165051968</f>
        <v>-1145.363837268522</v>
      </c>
      <c r="Q2572" t="s">
        <v>35013</v>
      </c>
      <c r="R2572" t="s">
        <v>35014</v>
      </c>
      <c r="S2572" t="s">
        <v>35015</v>
      </c>
      <c r="T2572" t="s">
        <v>35016</v>
      </c>
      <c r="U2572" t="s">
        <v>35017</v>
      </c>
      <c r="V2572">
        <f>-744.832572211632 -11.6615988131696 -92.8484575466367</f>
        <v>-849.34262857143835</v>
      </c>
      <c r="W2572" t="s">
        <v>35018</v>
      </c>
      <c r="X2572" t="s">
        <v>35019</v>
      </c>
      <c r="Y2572" t="s">
        <v>35020</v>
      </c>
    </row>
    <row r="2573" spans="1:25" x14ac:dyDescent="0.3">
      <c r="A2573">
        <v>128600</v>
      </c>
      <c r="B2573" t="s">
        <v>35021</v>
      </c>
      <c r="C2573" t="s">
        <v>35022</v>
      </c>
      <c r="D2573" t="s">
        <v>35023</v>
      </c>
      <c r="E2573" t="s">
        <v>35024</v>
      </c>
      <c r="F2573" t="s">
        <v>35025</v>
      </c>
      <c r="G2573" t="s">
        <v>35026</v>
      </c>
      <c r="H2573" t="s">
        <v>35027</v>
      </c>
      <c r="I2573" t="s">
        <v>35028</v>
      </c>
      <c r="J2573" t="s">
        <v>35029</v>
      </c>
      <c r="K2573" t="s">
        <v>35030</v>
      </c>
      <c r="L2573" t="s">
        <v>35031</v>
      </c>
      <c r="M2573" t="s">
        <v>35032</v>
      </c>
      <c r="N2573" t="s">
        <v>35033</v>
      </c>
      <c r="O2573">
        <f>-793.419515349372 -100.296924618905 -517.703262407054</f>
        <v>-1411.4197023753309</v>
      </c>
      <c r="P2573">
        <f>-791.870112493388 -128.369293647484 -224.785682601418</f>
        <v>-1145.0250887422899</v>
      </c>
      <c r="Q2573" t="s">
        <v>35034</v>
      </c>
      <c r="R2573" t="s">
        <v>35035</v>
      </c>
      <c r="S2573" t="s">
        <v>35036</v>
      </c>
      <c r="T2573" t="s">
        <v>35037</v>
      </c>
      <c r="U2573" t="s">
        <v>35038</v>
      </c>
      <c r="V2573">
        <f>-744.947085384464 -11.5438326845847 -92.8449485709087</f>
        <v>-849.33586663995743</v>
      </c>
      <c r="W2573" t="s">
        <v>35039</v>
      </c>
      <c r="X2573" t="s">
        <v>35040</v>
      </c>
      <c r="Y2573" t="s">
        <v>35041</v>
      </c>
    </row>
    <row r="2574" spans="1:25" x14ac:dyDescent="0.3">
      <c r="A2574">
        <v>128650</v>
      </c>
      <c r="B2574" t="s">
        <v>35042</v>
      </c>
      <c r="C2574" t="s">
        <v>35043</v>
      </c>
      <c r="D2574" t="s">
        <v>35044</v>
      </c>
      <c r="E2574" t="s">
        <v>35045</v>
      </c>
      <c r="F2574" t="s">
        <v>35046</v>
      </c>
      <c r="G2574" t="s">
        <v>35047</v>
      </c>
      <c r="H2574" t="s">
        <v>35048</v>
      </c>
      <c r="I2574" t="s">
        <v>35049</v>
      </c>
      <c r="J2574" t="s">
        <v>35050</v>
      </c>
      <c r="K2574" t="s">
        <v>35051</v>
      </c>
      <c r="L2574" t="s">
        <v>35052</v>
      </c>
      <c r="M2574" t="s">
        <v>35053</v>
      </c>
      <c r="N2574" t="s">
        <v>35054</v>
      </c>
      <c r="O2574">
        <f>-793.338619422218 -100.16420161817 -517.682938042312</f>
        <v>-1411.1857590826999</v>
      </c>
      <c r="P2574">
        <f>-791.839692271314 -128.206368648159 -224.762010345798</f>
        <v>-1144.8080712652709</v>
      </c>
      <c r="Q2574" t="s">
        <v>35055</v>
      </c>
      <c r="R2574" t="s">
        <v>35056</v>
      </c>
      <c r="S2574" t="s">
        <v>35057</v>
      </c>
      <c r="T2574" t="s">
        <v>35058</v>
      </c>
      <c r="U2574" t="s">
        <v>35059</v>
      </c>
      <c r="V2574">
        <f>-745.043661897935 -11.5117592649246 -92.8305664491784</f>
        <v>-849.38598761203798</v>
      </c>
      <c r="W2574" t="s">
        <v>35060</v>
      </c>
      <c r="X2574" t="s">
        <v>35061</v>
      </c>
      <c r="Y2574" t="s">
        <v>35062</v>
      </c>
    </row>
    <row r="2575" spans="1:25" x14ac:dyDescent="0.3">
      <c r="A2575">
        <v>128700</v>
      </c>
      <c r="B2575" t="s">
        <v>35063</v>
      </c>
      <c r="C2575" t="s">
        <v>35064</v>
      </c>
      <c r="D2575" t="s">
        <v>35065</v>
      </c>
      <c r="E2575" t="s">
        <v>35066</v>
      </c>
      <c r="F2575" t="s">
        <v>35067</v>
      </c>
      <c r="G2575" t="s">
        <v>35068</v>
      </c>
      <c r="H2575" t="s">
        <v>35069</v>
      </c>
      <c r="I2575" t="s">
        <v>35070</v>
      </c>
      <c r="J2575" t="s">
        <v>35071</v>
      </c>
      <c r="K2575" t="s">
        <v>35072</v>
      </c>
      <c r="L2575" t="s">
        <v>35073</v>
      </c>
      <c r="M2575" t="s">
        <v>35074</v>
      </c>
      <c r="N2575" t="s">
        <v>35075</v>
      </c>
      <c r="O2575">
        <f>-793.215493116071 -100.009959496977 -517.680620372758</f>
        <v>-1410.9060729858061</v>
      </c>
      <c r="P2575">
        <f>-791.759494274959 -128.031803133043 -224.75771134428</f>
        <v>-1144.5490087522821</v>
      </c>
      <c r="Q2575" t="s">
        <v>35076</v>
      </c>
      <c r="R2575" t="s">
        <v>35077</v>
      </c>
      <c r="S2575" t="s">
        <v>35078</v>
      </c>
      <c r="T2575" t="s">
        <v>35079</v>
      </c>
      <c r="U2575" t="s">
        <v>35080</v>
      </c>
      <c r="V2575">
        <f>-745.056842646705 -11.3037517188468 -92.8348783514292</f>
        <v>-849.19547271698104</v>
      </c>
      <c r="W2575" t="s">
        <v>35081</v>
      </c>
      <c r="X2575" t="s">
        <v>35082</v>
      </c>
      <c r="Y2575" t="s">
        <v>35083</v>
      </c>
    </row>
    <row r="2576" spans="1:25" x14ac:dyDescent="0.3">
      <c r="A2576">
        <v>128750</v>
      </c>
      <c r="B2576" t="s">
        <v>35084</v>
      </c>
      <c r="C2576" t="s">
        <v>35085</v>
      </c>
      <c r="D2576" t="s">
        <v>35086</v>
      </c>
      <c r="E2576" t="s">
        <v>35087</v>
      </c>
      <c r="F2576" t="s">
        <v>35088</v>
      </c>
      <c r="G2576" t="s">
        <v>35089</v>
      </c>
      <c r="H2576" t="s">
        <v>35090</v>
      </c>
      <c r="I2576" t="s">
        <v>35091</v>
      </c>
      <c r="J2576" t="s">
        <v>35092</v>
      </c>
      <c r="K2576" t="s">
        <v>35093</v>
      </c>
      <c r="L2576" t="s">
        <v>35094</v>
      </c>
      <c r="M2576" t="s">
        <v>35095</v>
      </c>
      <c r="N2576" t="s">
        <v>35096</v>
      </c>
      <c r="O2576">
        <f>-793.192217507046 -99.8648469416473 -517.643678966209</f>
        <v>-1410.7007434149023</v>
      </c>
      <c r="P2576">
        <f>-791.721759829137 -127.921005772337 -224.724102890486</f>
        <v>-1144.3668684919601</v>
      </c>
      <c r="Q2576" t="s">
        <v>35097</v>
      </c>
      <c r="R2576" t="s">
        <v>35098</v>
      </c>
      <c r="S2576" t="s">
        <v>35099</v>
      </c>
      <c r="T2576" t="s">
        <v>35100</v>
      </c>
      <c r="U2576" t="s">
        <v>35101</v>
      </c>
      <c r="V2576">
        <f>-745.071241296867 -11.0826367474872 -92.8268830189887</f>
        <v>-848.98076106334292</v>
      </c>
      <c r="W2576" t="s">
        <v>35102</v>
      </c>
      <c r="X2576" t="s">
        <v>35103</v>
      </c>
      <c r="Y2576" t="s">
        <v>35104</v>
      </c>
    </row>
    <row r="2577" spans="1:25" x14ac:dyDescent="0.3">
      <c r="A2577">
        <v>128800</v>
      </c>
      <c r="B2577" t="s">
        <v>35105</v>
      </c>
      <c r="C2577" t="s">
        <v>35106</v>
      </c>
      <c r="D2577" t="s">
        <v>35107</v>
      </c>
      <c r="E2577" t="s">
        <v>35108</v>
      </c>
      <c r="F2577" t="s">
        <v>35109</v>
      </c>
      <c r="G2577" t="s">
        <v>35110</v>
      </c>
      <c r="H2577" t="s">
        <v>35111</v>
      </c>
      <c r="I2577" t="s">
        <v>35112</v>
      </c>
      <c r="J2577" t="s">
        <v>35113</v>
      </c>
      <c r="K2577" t="s">
        <v>35114</v>
      </c>
      <c r="L2577" t="s">
        <v>35115</v>
      </c>
      <c r="M2577" t="s">
        <v>35116</v>
      </c>
      <c r="N2577" t="s">
        <v>35117</v>
      </c>
      <c r="O2577">
        <f>-793.327864278251 -99.8795110594726 -517.544868199305</f>
        <v>-1410.7522435370288</v>
      </c>
      <c r="P2577">
        <f>-791.91131762426 -127.817262179001 -224.613714272873</f>
        <v>-1144.3422940761341</v>
      </c>
      <c r="Q2577" t="s">
        <v>35118</v>
      </c>
      <c r="R2577" t="s">
        <v>35119</v>
      </c>
      <c r="S2577" t="s">
        <v>35120</v>
      </c>
      <c r="T2577" t="s">
        <v>35121</v>
      </c>
      <c r="U2577" t="s">
        <v>35122</v>
      </c>
      <c r="V2577">
        <f>-745.146542564641 -11.0998307681646 -92.8125303047973</f>
        <v>-849.05890363760284</v>
      </c>
      <c r="W2577" t="s">
        <v>35123</v>
      </c>
      <c r="X2577" t="s">
        <v>35124</v>
      </c>
      <c r="Y2577" t="s">
        <v>35125</v>
      </c>
    </row>
    <row r="2578" spans="1:25" x14ac:dyDescent="0.3">
      <c r="A2578">
        <v>128850</v>
      </c>
      <c r="B2578" t="s">
        <v>35126</v>
      </c>
      <c r="C2578" t="s">
        <v>35127</v>
      </c>
      <c r="D2578" t="s">
        <v>35128</v>
      </c>
      <c r="E2578" t="s">
        <v>35129</v>
      </c>
      <c r="F2578" t="s">
        <v>35130</v>
      </c>
      <c r="G2578" t="s">
        <v>35131</v>
      </c>
      <c r="H2578" t="s">
        <v>35132</v>
      </c>
      <c r="I2578" t="s">
        <v>35133</v>
      </c>
      <c r="J2578" t="s">
        <v>35134</v>
      </c>
      <c r="K2578" t="s">
        <v>35135</v>
      </c>
      <c r="L2578" t="s">
        <v>35136</v>
      </c>
      <c r="M2578" t="s">
        <v>35137</v>
      </c>
      <c r="N2578" t="s">
        <v>35138</v>
      </c>
      <c r="O2578">
        <f>-793.367002253195 -99.8353478163065 -517.493018294561</f>
        <v>-1410.6953683640625</v>
      </c>
      <c r="P2578">
        <f>-792.019381620427 -127.71618336143 -224.556080291611</f>
        <v>-1144.291645273468</v>
      </c>
      <c r="Q2578" t="s">
        <v>35139</v>
      </c>
      <c r="R2578" t="s">
        <v>35140</v>
      </c>
      <c r="S2578" t="s">
        <v>35141</v>
      </c>
      <c r="T2578" t="s">
        <v>35142</v>
      </c>
      <c r="U2578" t="s">
        <v>35143</v>
      </c>
      <c r="V2578">
        <f>-745.159032025502 -10.9912928443659 -92.7987989010463</f>
        <v>-848.9491237709143</v>
      </c>
      <c r="W2578" t="s">
        <v>35144</v>
      </c>
      <c r="X2578" t="s">
        <v>35145</v>
      </c>
      <c r="Y2578" t="s">
        <v>35146</v>
      </c>
    </row>
    <row r="2579" spans="1:25" x14ac:dyDescent="0.3">
      <c r="A2579">
        <v>128900</v>
      </c>
      <c r="B2579" t="s">
        <v>35147</v>
      </c>
      <c r="C2579" t="s">
        <v>35148</v>
      </c>
      <c r="D2579" t="s">
        <v>35149</v>
      </c>
      <c r="E2579" t="s">
        <v>35150</v>
      </c>
      <c r="F2579" t="s">
        <v>35151</v>
      </c>
      <c r="G2579" t="s">
        <v>35152</v>
      </c>
      <c r="H2579" t="s">
        <v>35153</v>
      </c>
      <c r="I2579" t="s">
        <v>35154</v>
      </c>
      <c r="J2579" t="s">
        <v>35155</v>
      </c>
      <c r="K2579" t="s">
        <v>35156</v>
      </c>
      <c r="L2579" t="s">
        <v>35157</v>
      </c>
      <c r="M2579" t="s">
        <v>35158</v>
      </c>
      <c r="N2579" t="s">
        <v>35159</v>
      </c>
      <c r="O2579">
        <f>-793.421969704467 -99.9255548439951 -517.365492472392</f>
        <v>-1410.7130170208541</v>
      </c>
      <c r="P2579">
        <f>-792.17135622498 -127.69397429834 -224.417401544144</f>
        <v>-1144.2827320674639</v>
      </c>
      <c r="Q2579" t="s">
        <v>35160</v>
      </c>
      <c r="R2579" t="s">
        <v>35161</v>
      </c>
      <c r="S2579" t="s">
        <v>35162</v>
      </c>
      <c r="T2579" t="s">
        <v>35163</v>
      </c>
      <c r="U2579" t="s">
        <v>35164</v>
      </c>
      <c r="V2579">
        <f>-745.190071785442 -11.0375291055407 -92.7862001672007</f>
        <v>-849.01380105818339</v>
      </c>
      <c r="W2579" t="s">
        <v>35165</v>
      </c>
      <c r="X2579" t="s">
        <v>35166</v>
      </c>
      <c r="Y2579" t="s">
        <v>35167</v>
      </c>
    </row>
    <row r="2580" spans="1:25" x14ac:dyDescent="0.3">
      <c r="A2580">
        <v>128950</v>
      </c>
      <c r="B2580" t="s">
        <v>35168</v>
      </c>
      <c r="C2580" t="s">
        <v>35169</v>
      </c>
      <c r="D2580" t="s">
        <v>35170</v>
      </c>
      <c r="E2580" t="s">
        <v>35171</v>
      </c>
      <c r="F2580" t="s">
        <v>35172</v>
      </c>
      <c r="G2580" t="s">
        <v>35173</v>
      </c>
      <c r="H2580" t="s">
        <v>35174</v>
      </c>
      <c r="I2580" t="s">
        <v>35175</v>
      </c>
      <c r="J2580" t="s">
        <v>35176</v>
      </c>
      <c r="K2580" t="s">
        <v>35177</v>
      </c>
      <c r="L2580" t="s">
        <v>35178</v>
      </c>
      <c r="M2580" t="s">
        <v>35179</v>
      </c>
      <c r="N2580" t="s">
        <v>35180</v>
      </c>
      <c r="O2580">
        <f>-793.447186248426 -99.9326928687137 -517.276711016766</f>
        <v>-1410.6565901339056</v>
      </c>
      <c r="P2580">
        <f>-792.260114357631 -127.534978677324 -224.312739208697</f>
        <v>-1144.107832243652</v>
      </c>
      <c r="Q2580" t="s">
        <v>35181</v>
      </c>
      <c r="R2580" t="s">
        <v>35182</v>
      </c>
      <c r="S2580" t="s">
        <v>35183</v>
      </c>
      <c r="T2580" t="s">
        <v>35184</v>
      </c>
      <c r="U2580" t="s">
        <v>35185</v>
      </c>
      <c r="V2580">
        <f>-745.296515601929 -10.9447477069778 -92.7737494506941</f>
        <v>-849.01501275960084</v>
      </c>
      <c r="W2580" t="s">
        <v>35186</v>
      </c>
      <c r="X2580" t="s">
        <v>35187</v>
      </c>
      <c r="Y2580" t="s">
        <v>35188</v>
      </c>
    </row>
    <row r="2581" spans="1:25" x14ac:dyDescent="0.3">
      <c r="A2581">
        <v>129000</v>
      </c>
      <c r="B2581" t="s">
        <v>35189</v>
      </c>
      <c r="C2581" t="s">
        <v>35190</v>
      </c>
      <c r="D2581" t="s">
        <v>35191</v>
      </c>
      <c r="E2581" t="s">
        <v>35192</v>
      </c>
      <c r="F2581" t="s">
        <v>35193</v>
      </c>
      <c r="G2581" t="s">
        <v>35194</v>
      </c>
      <c r="H2581" t="s">
        <v>35195</v>
      </c>
      <c r="I2581" t="s">
        <v>35196</v>
      </c>
      <c r="J2581" t="s">
        <v>35197</v>
      </c>
      <c r="K2581" t="s">
        <v>35198</v>
      </c>
      <c r="L2581" t="s">
        <v>35199</v>
      </c>
      <c r="M2581" t="s">
        <v>35200</v>
      </c>
      <c r="N2581" t="s">
        <v>35201</v>
      </c>
      <c r="O2581">
        <f>-793.470697944863 -99.7830761597095 -517.084174260657</f>
        <v>-1410.3379483652295</v>
      </c>
      <c r="P2581">
        <f>-792.428599188526 -127.07627422464 -224.090670782029</f>
        <v>-1143.5955441951951</v>
      </c>
      <c r="Q2581" t="s">
        <v>35202</v>
      </c>
      <c r="R2581" t="s">
        <v>35203</v>
      </c>
      <c r="S2581" t="s">
        <v>35204</v>
      </c>
      <c r="T2581" t="s">
        <v>35205</v>
      </c>
      <c r="U2581" t="s">
        <v>35206</v>
      </c>
      <c r="V2581">
        <f>-745.449884191808 -10.4420839198683 -92.7602572505737</f>
        <v>-848.65222536224996</v>
      </c>
      <c r="W2581" t="s">
        <v>35207</v>
      </c>
      <c r="X2581" t="s">
        <v>35208</v>
      </c>
      <c r="Y2581" t="s">
        <v>35209</v>
      </c>
    </row>
    <row r="2582" spans="1:25" x14ac:dyDescent="0.3">
      <c r="A2582">
        <v>129050</v>
      </c>
      <c r="B2582" t="s">
        <v>35210</v>
      </c>
      <c r="C2582" t="s">
        <v>35211</v>
      </c>
      <c r="D2582" t="s">
        <v>35212</v>
      </c>
      <c r="E2582" t="s">
        <v>35213</v>
      </c>
      <c r="F2582" t="s">
        <v>35214</v>
      </c>
      <c r="G2582" t="s">
        <v>35215</v>
      </c>
      <c r="H2582" t="s">
        <v>35216</v>
      </c>
      <c r="I2582" t="s">
        <v>35217</v>
      </c>
      <c r="J2582" t="s">
        <v>35218</v>
      </c>
      <c r="K2582" t="s">
        <v>35219</v>
      </c>
      <c r="L2582" t="s">
        <v>35220</v>
      </c>
      <c r="M2582" t="s">
        <v>35221</v>
      </c>
      <c r="N2582" t="s">
        <v>35222</v>
      </c>
      <c r="O2582">
        <f>-793.476374972873 -99.7454490875859 -517.009753038331</f>
        <v>-1410.23157709879</v>
      </c>
      <c r="P2582">
        <f>-792.519638022981 -126.914495992349 -224.004446037888</f>
        <v>-1143.4385800532179</v>
      </c>
      <c r="Q2582" t="s">
        <v>35223</v>
      </c>
      <c r="R2582" t="s">
        <v>35224</v>
      </c>
      <c r="S2582" t="s">
        <v>35225</v>
      </c>
      <c r="T2582" t="s">
        <v>35226</v>
      </c>
      <c r="U2582" t="s">
        <v>35227</v>
      </c>
      <c r="V2582">
        <f>-745.548112952934 -10.3002072901004 -92.7577226113654</f>
        <v>-848.60604285439979</v>
      </c>
      <c r="W2582" t="s">
        <v>35228</v>
      </c>
      <c r="X2582" t="s">
        <v>35229</v>
      </c>
      <c r="Y2582" t="s">
        <v>35230</v>
      </c>
    </row>
    <row r="2583" spans="1:25" x14ac:dyDescent="0.3">
      <c r="A2583">
        <v>129100</v>
      </c>
      <c r="B2583" t="s">
        <v>35231</v>
      </c>
      <c r="C2583" t="s">
        <v>35232</v>
      </c>
      <c r="D2583" t="s">
        <v>35233</v>
      </c>
      <c r="E2583" t="s">
        <v>35234</v>
      </c>
      <c r="F2583" t="s">
        <v>35235</v>
      </c>
      <c r="G2583" t="s">
        <v>35236</v>
      </c>
      <c r="H2583" t="s">
        <v>35237</v>
      </c>
      <c r="I2583" t="s">
        <v>35238</v>
      </c>
      <c r="J2583" t="s">
        <v>35239</v>
      </c>
      <c r="K2583" t="s">
        <v>35240</v>
      </c>
      <c r="L2583" t="s">
        <v>35241</v>
      </c>
      <c r="M2583" t="s">
        <v>35242</v>
      </c>
      <c r="N2583" t="s">
        <v>35243</v>
      </c>
      <c r="O2583">
        <f>-793.416787940741 -99.6194489148243 -516.876113302668</f>
        <v>-1409.9123501582333</v>
      </c>
      <c r="P2583">
        <f>-792.66013368573 -126.570952520023 -223.850065367947</f>
        <v>-1143.0811515737</v>
      </c>
      <c r="Q2583" t="s">
        <v>35244</v>
      </c>
      <c r="R2583" t="s">
        <v>35245</v>
      </c>
      <c r="S2583" t="s">
        <v>35246</v>
      </c>
      <c r="T2583" t="s">
        <v>35247</v>
      </c>
      <c r="U2583" t="s">
        <v>35248</v>
      </c>
      <c r="V2583">
        <f>-745.64174014777 -9.98740372162365 -92.7312365277407</f>
        <v>-848.36038039713435</v>
      </c>
      <c r="W2583" t="s">
        <v>35249</v>
      </c>
      <c r="X2583" t="s">
        <v>35250</v>
      </c>
      <c r="Y2583" t="s">
        <v>35251</v>
      </c>
    </row>
    <row r="2584" spans="1:25" x14ac:dyDescent="0.3">
      <c r="A2584">
        <v>129150</v>
      </c>
      <c r="B2584" t="s">
        <v>35252</v>
      </c>
      <c r="C2584" t="s">
        <v>35253</v>
      </c>
      <c r="D2584" t="s">
        <v>35254</v>
      </c>
      <c r="E2584" t="s">
        <v>35255</v>
      </c>
      <c r="F2584" t="s">
        <v>35256</v>
      </c>
      <c r="G2584" t="s">
        <v>35257</v>
      </c>
      <c r="H2584" t="s">
        <v>35258</v>
      </c>
      <c r="I2584" t="s">
        <v>35259</v>
      </c>
      <c r="J2584" t="s">
        <v>35260</v>
      </c>
      <c r="K2584" t="s">
        <v>35261</v>
      </c>
      <c r="L2584" t="s">
        <v>35262</v>
      </c>
      <c r="M2584" t="s">
        <v>35263</v>
      </c>
      <c r="N2584" t="s">
        <v>35264</v>
      </c>
      <c r="O2584">
        <f>-793.441578177405 -99.5790258110935 -516.805490996464</f>
        <v>-1409.8260949849623</v>
      </c>
      <c r="P2584">
        <f>-792.749931149549 -126.428862707161 -223.770001145194</f>
        <v>-1142.9487950019038</v>
      </c>
      <c r="Q2584" t="s">
        <v>35265</v>
      </c>
      <c r="R2584" t="s">
        <v>35266</v>
      </c>
      <c r="S2584" t="s">
        <v>35267</v>
      </c>
      <c r="T2584" t="s">
        <v>35268</v>
      </c>
      <c r="U2584" t="s">
        <v>35269</v>
      </c>
      <c r="V2584">
        <f>-745.735225527389 -9.83511080146059 -92.7209968716069</f>
        <v>-848.29133320045651</v>
      </c>
      <c r="W2584" t="s">
        <v>35270</v>
      </c>
      <c r="X2584" t="s">
        <v>35271</v>
      </c>
      <c r="Y2584" t="s">
        <v>35272</v>
      </c>
    </row>
    <row r="2585" spans="1:25" x14ac:dyDescent="0.3">
      <c r="A2585">
        <v>129200</v>
      </c>
      <c r="B2585" t="s">
        <v>35273</v>
      </c>
      <c r="C2585" t="s">
        <v>35274</v>
      </c>
      <c r="D2585" t="s">
        <v>35275</v>
      </c>
      <c r="E2585" t="s">
        <v>35276</v>
      </c>
      <c r="F2585" t="s">
        <v>35277</v>
      </c>
      <c r="G2585" t="s">
        <v>35278</v>
      </c>
      <c r="H2585" t="s">
        <v>35279</v>
      </c>
      <c r="I2585" t="s">
        <v>35280</v>
      </c>
      <c r="J2585" t="s">
        <v>35281</v>
      </c>
      <c r="K2585" t="s">
        <v>35282</v>
      </c>
      <c r="L2585" t="s">
        <v>35283</v>
      </c>
      <c r="M2585" t="s">
        <v>35284</v>
      </c>
      <c r="N2585" t="s">
        <v>35285</v>
      </c>
      <c r="O2585">
        <f>-793.82718216247 -99.5197600558251 -516.624242939854</f>
        <v>-1409.9711851581492</v>
      </c>
      <c r="P2585">
        <f>-793.048154465802 -126.065008856963 -223.561243712885</f>
        <v>-1142.6744070356499</v>
      </c>
      <c r="Q2585" t="s">
        <v>35286</v>
      </c>
      <c r="R2585" t="s">
        <v>35287</v>
      </c>
      <c r="S2585" t="s">
        <v>35288</v>
      </c>
      <c r="T2585" t="s">
        <v>35289</v>
      </c>
      <c r="U2585" t="s">
        <v>35290</v>
      </c>
      <c r="V2585">
        <f>-745.914279534705 -9.54288886631025 -92.7016530810834</f>
        <v>-848.15882148209857</v>
      </c>
      <c r="W2585" t="s">
        <v>35291</v>
      </c>
      <c r="X2585" t="s">
        <v>35292</v>
      </c>
      <c r="Y2585" t="s">
        <v>35293</v>
      </c>
    </row>
    <row r="2586" spans="1:25" x14ac:dyDescent="0.3">
      <c r="A2586">
        <v>129250</v>
      </c>
      <c r="B2586" t="s">
        <v>35294</v>
      </c>
      <c r="C2586" t="s">
        <v>35295</v>
      </c>
      <c r="D2586" t="s">
        <v>35296</v>
      </c>
      <c r="E2586" t="s">
        <v>35297</v>
      </c>
      <c r="F2586" t="s">
        <v>35298</v>
      </c>
      <c r="G2586" t="s">
        <v>35299</v>
      </c>
      <c r="H2586" t="s">
        <v>35300</v>
      </c>
      <c r="I2586" t="s">
        <v>35301</v>
      </c>
      <c r="J2586" t="s">
        <v>35302</v>
      </c>
      <c r="K2586" t="s">
        <v>35303</v>
      </c>
      <c r="L2586" t="s">
        <v>35304</v>
      </c>
      <c r="M2586" t="s">
        <v>35305</v>
      </c>
      <c r="N2586" t="s">
        <v>35306</v>
      </c>
      <c r="O2586">
        <f>-794.132073532718 -99.567028347316 -516.513102073887</f>
        <v>-1410.2122039539208</v>
      </c>
      <c r="P2586">
        <f>-793.239678428652 -125.996235228077 -223.440036024626</f>
        <v>-1142.6759496813552</v>
      </c>
      <c r="Q2586" t="s">
        <v>35307</v>
      </c>
      <c r="R2586" t="s">
        <v>35308</v>
      </c>
      <c r="S2586" t="s">
        <v>35309</v>
      </c>
      <c r="T2586" t="s">
        <v>35310</v>
      </c>
      <c r="U2586" t="s">
        <v>35311</v>
      </c>
      <c r="V2586">
        <f>-746.004937740962 -9.45981794907971 -92.694465235599</f>
        <v>-848.15922092564062</v>
      </c>
      <c r="W2586" t="s">
        <v>35312</v>
      </c>
      <c r="X2586" t="s">
        <v>35313</v>
      </c>
      <c r="Y2586" t="s">
        <v>35314</v>
      </c>
    </row>
    <row r="2587" spans="1:25" x14ac:dyDescent="0.3">
      <c r="A2587">
        <v>129300</v>
      </c>
      <c r="B2587" t="s">
        <v>35315</v>
      </c>
      <c r="C2587" t="s">
        <v>35316</v>
      </c>
      <c r="D2587" t="s">
        <v>35317</v>
      </c>
      <c r="E2587" t="s">
        <v>35318</v>
      </c>
      <c r="F2587" t="s">
        <v>35319</v>
      </c>
      <c r="G2587" t="s">
        <v>35320</v>
      </c>
      <c r="H2587" t="s">
        <v>35321</v>
      </c>
      <c r="I2587" t="s">
        <v>35322</v>
      </c>
      <c r="J2587" t="s">
        <v>35323</v>
      </c>
      <c r="K2587" t="s">
        <v>35324</v>
      </c>
      <c r="L2587" t="s">
        <v>35325</v>
      </c>
      <c r="M2587" t="s">
        <v>35326</v>
      </c>
      <c r="N2587" t="s">
        <v>35327</v>
      </c>
      <c r="O2587">
        <f>-795.008234124435 -99.5222096776299 -516.355046393807</f>
        <v>-1410.8854901958721</v>
      </c>
      <c r="P2587">
        <f>-793.96562231556 -125.763411984531 -223.265305583681</f>
        <v>-1142.994339883772</v>
      </c>
      <c r="Q2587" t="s">
        <v>35328</v>
      </c>
      <c r="R2587" t="s">
        <v>35329</v>
      </c>
      <c r="S2587" t="s">
        <v>35330</v>
      </c>
      <c r="T2587" t="s">
        <v>35331</v>
      </c>
      <c r="U2587" t="s">
        <v>35332</v>
      </c>
      <c r="V2587">
        <f>-746.333078610076 -9.30096390668928 -92.6650067302674</f>
        <v>-848.2990492470326</v>
      </c>
      <c r="W2587" t="s">
        <v>35333</v>
      </c>
      <c r="X2587" t="s">
        <v>35334</v>
      </c>
      <c r="Y2587" t="s">
        <v>35335</v>
      </c>
    </row>
    <row r="2588" spans="1:25" x14ac:dyDescent="0.3">
      <c r="A2588">
        <v>129350</v>
      </c>
      <c r="B2588" t="s">
        <v>35336</v>
      </c>
      <c r="C2588" t="s">
        <v>35337</v>
      </c>
      <c r="D2588" t="s">
        <v>35338</v>
      </c>
      <c r="E2588" t="s">
        <v>35339</v>
      </c>
      <c r="F2588" t="s">
        <v>35340</v>
      </c>
      <c r="G2588" t="s">
        <v>35341</v>
      </c>
      <c r="H2588" t="s">
        <v>35342</v>
      </c>
      <c r="I2588" t="s">
        <v>35343</v>
      </c>
      <c r="J2588" t="s">
        <v>35344</v>
      </c>
      <c r="K2588" t="s">
        <v>35345</v>
      </c>
      <c r="L2588" t="s">
        <v>35346</v>
      </c>
      <c r="M2588" t="s">
        <v>35347</v>
      </c>
      <c r="N2588" t="s">
        <v>35348</v>
      </c>
      <c r="O2588">
        <f>-795.363650791951 -99.5103270080249 -516.298443394527</f>
        <v>-1411.1724211945029</v>
      </c>
      <c r="P2588">
        <f>-794.262767599622 -125.643475268191 -223.199447916616</f>
        <v>-1143.105690784429</v>
      </c>
      <c r="Q2588" t="s">
        <v>35349</v>
      </c>
      <c r="R2588" t="s">
        <v>35350</v>
      </c>
      <c r="S2588" t="s">
        <v>35351</v>
      </c>
      <c r="T2588" t="s">
        <v>35352</v>
      </c>
      <c r="U2588" t="s">
        <v>35353</v>
      </c>
      <c r="V2588">
        <f>-746.49212903349 -9.26993178647558 -92.6621615751848</f>
        <v>-848.42422239515031</v>
      </c>
      <c r="W2588" t="s">
        <v>35354</v>
      </c>
      <c r="X2588" t="s">
        <v>35355</v>
      </c>
      <c r="Y2588" t="s">
        <v>35356</v>
      </c>
    </row>
    <row r="2589" spans="1:25" x14ac:dyDescent="0.3">
      <c r="A2589">
        <v>129400</v>
      </c>
      <c r="B2589" t="s">
        <v>35357</v>
      </c>
      <c r="C2589" t="s">
        <v>35358</v>
      </c>
      <c r="D2589" t="s">
        <v>35359</v>
      </c>
      <c r="E2589" t="s">
        <v>35360</v>
      </c>
      <c r="F2589" t="s">
        <v>35361</v>
      </c>
      <c r="G2589" t="s">
        <v>35362</v>
      </c>
      <c r="H2589" t="s">
        <v>35363</v>
      </c>
      <c r="I2589" t="s">
        <v>35364</v>
      </c>
      <c r="J2589" t="s">
        <v>35365</v>
      </c>
      <c r="K2589" t="s">
        <v>35366</v>
      </c>
      <c r="L2589" t="s">
        <v>35367</v>
      </c>
      <c r="M2589" t="s">
        <v>35368</v>
      </c>
      <c r="N2589" t="s">
        <v>35369</v>
      </c>
      <c r="O2589">
        <f>-795.762592112262 -99.0455824781839 -516.315642182863</f>
        <v>-1411.123816773309</v>
      </c>
      <c r="P2589">
        <f>-794.561698841398 -125.174294328056 -223.216584172865</f>
        <v>-1142.952577342319</v>
      </c>
      <c r="Q2589" t="s">
        <v>35370</v>
      </c>
      <c r="R2589" t="s">
        <v>35371</v>
      </c>
      <c r="S2589" t="s">
        <v>35372</v>
      </c>
      <c r="T2589" t="s">
        <v>35373</v>
      </c>
      <c r="U2589" t="s">
        <v>35374</v>
      </c>
      <c r="V2589">
        <f>-746.565036404539 -8.76116171261174 -92.654745577039</f>
        <v>-847.9809436941897</v>
      </c>
      <c r="W2589" t="s">
        <v>35375</v>
      </c>
      <c r="X2589" t="s">
        <v>35376</v>
      </c>
      <c r="Y2589" t="s">
        <v>35377</v>
      </c>
    </row>
    <row r="2590" spans="1:25" x14ac:dyDescent="0.3">
      <c r="A2590">
        <v>129450</v>
      </c>
      <c r="B2590" t="s">
        <v>35378</v>
      </c>
      <c r="C2590" t="s">
        <v>35379</v>
      </c>
      <c r="D2590" t="s">
        <v>35380</v>
      </c>
      <c r="E2590" t="s">
        <v>35381</v>
      </c>
      <c r="F2590" t="s">
        <v>35382</v>
      </c>
      <c r="G2590" t="s">
        <v>35383</v>
      </c>
      <c r="H2590" t="s">
        <v>35384</v>
      </c>
      <c r="I2590" t="s">
        <v>35385</v>
      </c>
      <c r="J2590" t="s">
        <v>35386</v>
      </c>
      <c r="K2590" t="s">
        <v>35387</v>
      </c>
      <c r="L2590" t="s">
        <v>35388</v>
      </c>
      <c r="M2590" t="s">
        <v>35389</v>
      </c>
      <c r="N2590" t="s">
        <v>35390</v>
      </c>
      <c r="O2590">
        <f>-795.826278160801 -98.7137070205581 -516.390673182622</f>
        <v>-1410.9306583639811</v>
      </c>
      <c r="P2590">
        <f>-794.612189478469 -125.020800140229 -223.307514920353</f>
        <v>-1142.9405045390508</v>
      </c>
      <c r="Q2590" t="s">
        <v>35391</v>
      </c>
      <c r="R2590" t="s">
        <v>35392</v>
      </c>
      <c r="S2590" t="s">
        <v>35393</v>
      </c>
      <c r="T2590" t="s">
        <v>35394</v>
      </c>
      <c r="U2590" t="s">
        <v>35395</v>
      </c>
      <c r="V2590">
        <f>-746.656722850257 -8.61227931383473 -92.6502891268132</f>
        <v>-847.91929129090488</v>
      </c>
      <c r="W2590" t="s">
        <v>35396</v>
      </c>
      <c r="X2590" t="s">
        <v>35397</v>
      </c>
      <c r="Y2590" t="s">
        <v>35398</v>
      </c>
    </row>
    <row r="2591" spans="1:25" x14ac:dyDescent="0.3">
      <c r="A2591">
        <v>129500</v>
      </c>
      <c r="B2591" t="s">
        <v>35399</v>
      </c>
      <c r="C2591" t="s">
        <v>35400</v>
      </c>
      <c r="D2591" t="s">
        <v>35401</v>
      </c>
      <c r="E2591" t="s">
        <v>35402</v>
      </c>
      <c r="F2591" t="s">
        <v>35403</v>
      </c>
      <c r="G2591" t="s">
        <v>35404</v>
      </c>
      <c r="H2591" t="s">
        <v>35405</v>
      </c>
      <c r="I2591" t="s">
        <v>35406</v>
      </c>
      <c r="J2591" t="s">
        <v>35407</v>
      </c>
      <c r="K2591" t="s">
        <v>35408</v>
      </c>
      <c r="L2591" t="s">
        <v>35409</v>
      </c>
      <c r="M2591" t="s">
        <v>35410</v>
      </c>
      <c r="N2591" t="s">
        <v>35411</v>
      </c>
      <c r="O2591">
        <f>-796.117500206896 -98.2009080007231 -516.540977101358</f>
        <v>-1410.8593853089769</v>
      </c>
      <c r="P2591">
        <f>-794.878197222114 -124.838206762843 -223.487781913286</f>
        <v>-1143.2041858982429</v>
      </c>
      <c r="Q2591" t="s">
        <v>35412</v>
      </c>
      <c r="R2591" t="s">
        <v>35413</v>
      </c>
      <c r="S2591" t="s">
        <v>35414</v>
      </c>
      <c r="T2591" t="s">
        <v>35415</v>
      </c>
      <c r="U2591" t="s">
        <v>35416</v>
      </c>
      <c r="V2591">
        <f>-746.819638977443 -8.41840868282088 -92.6359504063785</f>
        <v>-847.87399806664234</v>
      </c>
      <c r="W2591" t="s">
        <v>35417</v>
      </c>
      <c r="X2591" t="s">
        <v>35418</v>
      </c>
      <c r="Y2591" t="s">
        <v>35419</v>
      </c>
    </row>
    <row r="2592" spans="1:25" x14ac:dyDescent="0.3">
      <c r="A2592">
        <v>129550</v>
      </c>
      <c r="B2592" t="s">
        <v>35420</v>
      </c>
      <c r="C2592" t="s">
        <v>35421</v>
      </c>
      <c r="D2592" t="s">
        <v>35422</v>
      </c>
      <c r="E2592" t="s">
        <v>35423</v>
      </c>
      <c r="F2592" t="s">
        <v>35424</v>
      </c>
      <c r="G2592" t="s">
        <v>35425</v>
      </c>
      <c r="H2592" t="s">
        <v>35426</v>
      </c>
      <c r="I2592" t="s">
        <v>35427</v>
      </c>
      <c r="J2592" t="s">
        <v>35428</v>
      </c>
      <c r="K2592" t="s">
        <v>35429</v>
      </c>
      <c r="L2592" t="s">
        <v>35430</v>
      </c>
      <c r="M2592" t="s">
        <v>35431</v>
      </c>
      <c r="N2592" t="s">
        <v>35432</v>
      </c>
      <c r="O2592">
        <f>-796.172979377681 -98.0430270661466 -516.602639330289</f>
        <v>-1410.8186457741167</v>
      </c>
      <c r="P2592">
        <f>-794.891650276138 -124.788050688362 -223.55964568518</f>
        <v>-1143.2393466496799</v>
      </c>
      <c r="Q2592" t="s">
        <v>35433</v>
      </c>
      <c r="R2592" t="s">
        <v>35434</v>
      </c>
      <c r="S2592" t="s">
        <v>35435</v>
      </c>
      <c r="T2592" t="s">
        <v>35436</v>
      </c>
      <c r="U2592" t="s">
        <v>35437</v>
      </c>
      <c r="V2592">
        <f>-746.760234274943 -8.32487583472789 -92.637193877636</f>
        <v>-847.72230398730687</v>
      </c>
      <c r="W2592" t="s">
        <v>35438</v>
      </c>
      <c r="X2592" t="s">
        <v>35439</v>
      </c>
      <c r="Y2592" t="s">
        <v>35440</v>
      </c>
    </row>
    <row r="2593" spans="1:25" x14ac:dyDescent="0.3">
      <c r="A2593">
        <v>129600</v>
      </c>
      <c r="B2593" t="s">
        <v>35441</v>
      </c>
      <c r="C2593" t="s">
        <v>35442</v>
      </c>
      <c r="D2593" t="s">
        <v>35443</v>
      </c>
      <c r="E2593" t="s">
        <v>35444</v>
      </c>
      <c r="F2593" t="s">
        <v>35445</v>
      </c>
      <c r="G2593" t="s">
        <v>35446</v>
      </c>
      <c r="H2593" t="s">
        <v>35447</v>
      </c>
      <c r="I2593" t="s">
        <v>35448</v>
      </c>
      <c r="J2593" t="s">
        <v>35449</v>
      </c>
      <c r="K2593" t="s">
        <v>35450</v>
      </c>
      <c r="L2593" t="s">
        <v>35451</v>
      </c>
      <c r="M2593" t="s">
        <v>35452</v>
      </c>
      <c r="N2593" t="s">
        <v>35453</v>
      </c>
      <c r="O2593">
        <f>-796.246011342178 -97.6788177591714 -516.748875992212</f>
        <v>-1410.6737050935612</v>
      </c>
      <c r="P2593">
        <f>-794.978887541961 -124.650654254522 -223.726362287422</f>
        <v>-1143.355904083905</v>
      </c>
      <c r="Q2593" t="s">
        <v>35454</v>
      </c>
      <c r="R2593" t="s">
        <v>35455</v>
      </c>
      <c r="S2593" t="s">
        <v>35456</v>
      </c>
      <c r="T2593" t="s">
        <v>35457</v>
      </c>
      <c r="U2593" t="s">
        <v>35458</v>
      </c>
      <c r="V2593">
        <f>-746.71291748212 -8.16172527955746 -92.6193713262425</f>
        <v>-847.49401408791994</v>
      </c>
      <c r="W2593" t="s">
        <v>35459</v>
      </c>
      <c r="X2593" t="s">
        <v>35460</v>
      </c>
      <c r="Y2593" t="s">
        <v>35461</v>
      </c>
    </row>
    <row r="2594" spans="1:25" x14ac:dyDescent="0.3">
      <c r="A2594">
        <v>129650</v>
      </c>
      <c r="B2594" t="s">
        <v>35462</v>
      </c>
      <c r="C2594" t="s">
        <v>35463</v>
      </c>
      <c r="D2594" t="s">
        <v>35464</v>
      </c>
      <c r="E2594" t="s">
        <v>35465</v>
      </c>
      <c r="F2594" t="s">
        <v>35466</v>
      </c>
      <c r="G2594" t="s">
        <v>35467</v>
      </c>
      <c r="H2594" t="s">
        <v>35468</v>
      </c>
      <c r="I2594" t="s">
        <v>35469</v>
      </c>
      <c r="J2594" t="s">
        <v>35470</v>
      </c>
      <c r="K2594" t="s">
        <v>35471</v>
      </c>
      <c r="L2594" t="s">
        <v>35472</v>
      </c>
      <c r="M2594" t="s">
        <v>35473</v>
      </c>
      <c r="N2594" t="s">
        <v>35474</v>
      </c>
      <c r="O2594">
        <f>-796.262767272393 -97.5108603001452 -516.828998297314</f>
        <v>-1410.6026258698521</v>
      </c>
      <c r="P2594">
        <f>-794.964597904562 -124.687386720105 -223.825664707943</f>
        <v>-1143.4776493326099</v>
      </c>
      <c r="Q2594" t="s">
        <v>35475</v>
      </c>
      <c r="R2594" t="s">
        <v>35476</v>
      </c>
      <c r="S2594" t="s">
        <v>35477</v>
      </c>
      <c r="T2594" t="s">
        <v>35478</v>
      </c>
      <c r="U2594" t="s">
        <v>35479</v>
      </c>
      <c r="V2594">
        <f>-746.67068180459 -8.18709551880852 -92.6155849179755</f>
        <v>-847.47336224137405</v>
      </c>
      <c r="W2594" t="s">
        <v>35480</v>
      </c>
      <c r="X2594" t="s">
        <v>35481</v>
      </c>
      <c r="Y2594" t="s">
        <v>35482</v>
      </c>
    </row>
    <row r="2595" spans="1:25" x14ac:dyDescent="0.3">
      <c r="A2595">
        <v>129700</v>
      </c>
      <c r="B2595" t="s">
        <v>35483</v>
      </c>
      <c r="C2595" t="s">
        <v>35484</v>
      </c>
      <c r="D2595" t="s">
        <v>35485</v>
      </c>
      <c r="E2595" t="s">
        <v>35486</v>
      </c>
      <c r="F2595" t="s">
        <v>35487</v>
      </c>
      <c r="G2595" t="s">
        <v>35488</v>
      </c>
      <c r="H2595" t="s">
        <v>35489</v>
      </c>
      <c r="I2595" t="s">
        <v>35490</v>
      </c>
      <c r="J2595" t="s">
        <v>35491</v>
      </c>
      <c r="K2595" t="s">
        <v>35492</v>
      </c>
      <c r="L2595" t="s">
        <v>35493</v>
      </c>
      <c r="M2595" t="s">
        <v>35494</v>
      </c>
      <c r="N2595" t="s">
        <v>35495</v>
      </c>
      <c r="O2595">
        <f>-796.29088493165 -97.1164275221499 -517.032279357252</f>
        <v>-1410.439591811052</v>
      </c>
      <c r="P2595">
        <f>-794.910584939683 -124.647878655031 -224.062493453285</f>
        <v>-1143.6209570479989</v>
      </c>
      <c r="Q2595" t="s">
        <v>35496</v>
      </c>
      <c r="R2595" t="s">
        <v>35497</v>
      </c>
      <c r="S2595" t="s">
        <v>35498</v>
      </c>
      <c r="T2595" t="s">
        <v>35499</v>
      </c>
      <c r="U2595" t="s">
        <v>35500</v>
      </c>
      <c r="V2595">
        <f>-746.519482638241 -8.13691696860974 -92.6260640485433</f>
        <v>-847.28246365539405</v>
      </c>
      <c r="W2595" t="s">
        <v>35501</v>
      </c>
      <c r="X2595" t="s">
        <v>35502</v>
      </c>
      <c r="Y2595" t="s">
        <v>35503</v>
      </c>
    </row>
    <row r="2596" spans="1:25" x14ac:dyDescent="0.3">
      <c r="A2596">
        <v>129750</v>
      </c>
      <c r="B2596" t="s">
        <v>35504</v>
      </c>
      <c r="C2596" t="s">
        <v>35505</v>
      </c>
      <c r="D2596" t="s">
        <v>35506</v>
      </c>
      <c r="E2596" t="s">
        <v>35507</v>
      </c>
      <c r="F2596" t="s">
        <v>35508</v>
      </c>
      <c r="G2596" t="s">
        <v>35509</v>
      </c>
      <c r="H2596" t="s">
        <v>35510</v>
      </c>
      <c r="I2596" t="s">
        <v>35511</v>
      </c>
      <c r="J2596" t="s">
        <v>35512</v>
      </c>
      <c r="K2596" t="s">
        <v>35513</v>
      </c>
      <c r="L2596" t="s">
        <v>35514</v>
      </c>
      <c r="M2596" t="s">
        <v>35515</v>
      </c>
      <c r="N2596" t="s">
        <v>35516</v>
      </c>
      <c r="O2596">
        <f>-796.281634885907 -96.9546975492062 -517.127575725714</f>
        <v>-1410.3639081608271</v>
      </c>
      <c r="P2596">
        <f>-794.908229251842 -124.642716272306 -224.172420472745</f>
        <v>-1143.7233659968929</v>
      </c>
      <c r="Q2596" t="s">
        <v>35517</v>
      </c>
      <c r="R2596" t="s">
        <v>35518</v>
      </c>
      <c r="S2596" t="s">
        <v>35519</v>
      </c>
      <c r="T2596" t="s">
        <v>35520</v>
      </c>
      <c r="U2596" t="s">
        <v>35521</v>
      </c>
      <c r="V2596">
        <f>-746.451443925314 -8.20713012528336 -92.6365630150808</f>
        <v>-847.2951370656782</v>
      </c>
      <c r="W2596" t="s">
        <v>35522</v>
      </c>
      <c r="X2596" t="s">
        <v>35523</v>
      </c>
      <c r="Y2596" t="s">
        <v>35524</v>
      </c>
    </row>
    <row r="2597" spans="1:25" x14ac:dyDescent="0.3">
      <c r="A2597">
        <v>129800</v>
      </c>
      <c r="B2597" t="s">
        <v>35525</v>
      </c>
      <c r="C2597" t="s">
        <v>35526</v>
      </c>
      <c r="D2597" t="s">
        <v>35527</v>
      </c>
      <c r="E2597" t="s">
        <v>35528</v>
      </c>
      <c r="F2597" t="s">
        <v>35529</v>
      </c>
      <c r="G2597" t="s">
        <v>35530</v>
      </c>
      <c r="H2597" t="s">
        <v>35531</v>
      </c>
      <c r="I2597" t="s">
        <v>35532</v>
      </c>
      <c r="J2597" t="s">
        <v>35533</v>
      </c>
      <c r="K2597" t="s">
        <v>35534</v>
      </c>
      <c r="L2597" t="s">
        <v>35535</v>
      </c>
      <c r="M2597" t="s">
        <v>35536</v>
      </c>
      <c r="N2597" t="s">
        <v>35537</v>
      </c>
      <c r="O2597">
        <f>-796.177470771755 -96.6923306518165 -517.347405482949</f>
        <v>-1410.2172069065205</v>
      </c>
      <c r="P2597">
        <f>-794.850837152701 -124.67417614344 -224.420097287708</f>
        <v>-1143.9451105838491</v>
      </c>
      <c r="Q2597" t="s">
        <v>35538</v>
      </c>
      <c r="R2597" t="s">
        <v>35539</v>
      </c>
      <c r="S2597" t="s">
        <v>35540</v>
      </c>
      <c r="T2597" t="s">
        <v>35541</v>
      </c>
      <c r="U2597" t="s">
        <v>35542</v>
      </c>
      <c r="V2597">
        <f>-746.272699184157 -8.24876655365665 -92.6538272065942</f>
        <v>-847.17529294440783</v>
      </c>
      <c r="W2597" t="s">
        <v>35543</v>
      </c>
      <c r="X2597" t="s">
        <v>35544</v>
      </c>
      <c r="Y2597" t="s">
        <v>35545</v>
      </c>
    </row>
    <row r="2598" spans="1:25" x14ac:dyDescent="0.3">
      <c r="A2598">
        <v>129850</v>
      </c>
      <c r="B2598" t="s">
        <v>35546</v>
      </c>
      <c r="C2598" t="s">
        <v>35547</v>
      </c>
      <c r="D2598" t="s">
        <v>35548</v>
      </c>
      <c r="E2598" t="s">
        <v>35549</v>
      </c>
      <c r="F2598" t="s">
        <v>35550</v>
      </c>
      <c r="G2598" t="s">
        <v>35551</v>
      </c>
      <c r="H2598" t="s">
        <v>35552</v>
      </c>
      <c r="I2598" t="s">
        <v>35553</v>
      </c>
      <c r="J2598" t="s">
        <v>35554</v>
      </c>
      <c r="K2598" t="s">
        <v>35555</v>
      </c>
      <c r="L2598" t="s">
        <v>35556</v>
      </c>
      <c r="M2598" t="s">
        <v>35557</v>
      </c>
      <c r="N2598" t="s">
        <v>35558</v>
      </c>
      <c r="O2598">
        <f>-796.118934341953 -96.5369325232721 -517.443780740945</f>
        <v>-1410.09964760617</v>
      </c>
      <c r="P2598">
        <f>-794.777050504033 -124.654818675748 -224.529445742946</f>
        <v>-1143.9613149227271</v>
      </c>
      <c r="Q2598" t="s">
        <v>35559</v>
      </c>
      <c r="R2598" t="s">
        <v>35560</v>
      </c>
      <c r="S2598" t="s">
        <v>35561</v>
      </c>
      <c r="T2598" t="s">
        <v>35562</v>
      </c>
      <c r="U2598" t="s">
        <v>35563</v>
      </c>
      <c r="V2598">
        <f>-746.183617110943 -8.23307829656801 -92.6549404074833</f>
        <v>-847.07163581499435</v>
      </c>
      <c r="W2598" t="s">
        <v>35564</v>
      </c>
      <c r="X2598" t="s">
        <v>35565</v>
      </c>
      <c r="Y2598" t="s">
        <v>35566</v>
      </c>
    </row>
    <row r="2599" spans="1:25" x14ac:dyDescent="0.3">
      <c r="A2599">
        <v>129900</v>
      </c>
      <c r="B2599" t="s">
        <v>35567</v>
      </c>
      <c r="C2599" t="s">
        <v>35568</v>
      </c>
      <c r="D2599" t="s">
        <v>35569</v>
      </c>
      <c r="E2599" t="s">
        <v>35570</v>
      </c>
      <c r="F2599" t="s">
        <v>35571</v>
      </c>
      <c r="G2599" t="s">
        <v>35572</v>
      </c>
      <c r="H2599" t="s">
        <v>35573</v>
      </c>
      <c r="I2599" t="s">
        <v>35574</v>
      </c>
      <c r="J2599" t="s">
        <v>35575</v>
      </c>
      <c r="K2599" t="s">
        <v>35576</v>
      </c>
      <c r="L2599" t="s">
        <v>35577</v>
      </c>
      <c r="M2599" t="s">
        <v>35578</v>
      </c>
      <c r="N2599" t="s">
        <v>35579</v>
      </c>
      <c r="O2599">
        <f>-795.993586099205 -96.3929999914726 -517.609288125087</f>
        <v>-1409.9958742157646</v>
      </c>
      <c r="P2599">
        <f>-794.618053381568 -124.740962563842 -224.717269903087</f>
        <v>-1144.076285848497</v>
      </c>
      <c r="Q2599" t="s">
        <v>35580</v>
      </c>
      <c r="R2599" t="s">
        <v>35581</v>
      </c>
      <c r="S2599" t="s">
        <v>35582</v>
      </c>
      <c r="T2599" t="s">
        <v>35583</v>
      </c>
      <c r="U2599" t="s">
        <v>35584</v>
      </c>
      <c r="V2599">
        <f>-746.149723402691 -8.40773189393803 -92.6650566231497</f>
        <v>-847.22251191977875</v>
      </c>
      <c r="W2599" t="s">
        <v>35585</v>
      </c>
      <c r="X2599" t="s">
        <v>35586</v>
      </c>
      <c r="Y2599" t="s">
        <v>35587</v>
      </c>
    </row>
    <row r="2600" spans="1:25" x14ac:dyDescent="0.3">
      <c r="A2600">
        <v>129950</v>
      </c>
      <c r="B2600" t="s">
        <v>35588</v>
      </c>
      <c r="C2600" t="s">
        <v>35589</v>
      </c>
      <c r="D2600" t="s">
        <v>35590</v>
      </c>
      <c r="E2600" t="s">
        <v>35591</v>
      </c>
      <c r="F2600" t="s">
        <v>35592</v>
      </c>
      <c r="G2600" t="s">
        <v>35593</v>
      </c>
      <c r="H2600" t="s">
        <v>35594</v>
      </c>
      <c r="I2600" t="s">
        <v>35595</v>
      </c>
      <c r="J2600" t="s">
        <v>35596</v>
      </c>
      <c r="K2600" t="s">
        <v>35597</v>
      </c>
      <c r="L2600" t="s">
        <v>35598</v>
      </c>
      <c r="M2600" t="s">
        <v>35599</v>
      </c>
      <c r="N2600" t="s">
        <v>35600</v>
      </c>
      <c r="O2600">
        <f>-795.886404371576 -96.4345867239576 -517.675674480309</f>
        <v>-1409.9966655758426</v>
      </c>
      <c r="P2600">
        <f>-794.51941125332 -124.900690480269 -224.795013334456</f>
        <v>-1144.215115068045</v>
      </c>
      <c r="Q2600" t="s">
        <v>35601</v>
      </c>
      <c r="R2600" t="s">
        <v>35602</v>
      </c>
      <c r="S2600" t="s">
        <v>35603</v>
      </c>
      <c r="T2600" t="s">
        <v>35604</v>
      </c>
      <c r="U2600" t="s">
        <v>35605</v>
      </c>
      <c r="V2600">
        <f>-746.099156726047 -8.45055043423281 -92.6715818582079</f>
        <v>-847.22128901848771</v>
      </c>
      <c r="W2600" t="s">
        <v>35606</v>
      </c>
      <c r="X2600" t="s">
        <v>35607</v>
      </c>
      <c r="Y2600" t="s">
        <v>35608</v>
      </c>
    </row>
    <row r="2601" spans="1:25" x14ac:dyDescent="0.3">
      <c r="A2601">
        <v>130000</v>
      </c>
      <c r="B2601" t="s">
        <v>35609</v>
      </c>
      <c r="C2601" t="s">
        <v>35610</v>
      </c>
      <c r="D2601" t="s">
        <v>35611</v>
      </c>
      <c r="E2601" t="s">
        <v>35612</v>
      </c>
      <c r="F2601" t="s">
        <v>35613</v>
      </c>
      <c r="G2601" t="s">
        <v>35614</v>
      </c>
      <c r="H2601" t="s">
        <v>35615</v>
      </c>
      <c r="I2601" t="s">
        <v>35616</v>
      </c>
      <c r="J2601" t="s">
        <v>35617</v>
      </c>
      <c r="K2601" t="s">
        <v>35618</v>
      </c>
      <c r="L2601" t="s">
        <v>35619</v>
      </c>
      <c r="M2601" t="s">
        <v>35620</v>
      </c>
      <c r="N2601" t="s">
        <v>35621</v>
      </c>
      <c r="O2601">
        <f>-795.782388035805 -96.6490103053759 -517.829244588074</f>
        <v>-1410.2606429292548</v>
      </c>
      <c r="P2601">
        <f>-794.54177059107 -125.227401360038 -224.958898287844</f>
        <v>-1144.7280702389519</v>
      </c>
      <c r="Q2601" t="s">
        <v>35622</v>
      </c>
      <c r="R2601" t="s">
        <v>35623</v>
      </c>
      <c r="S2601" t="s">
        <v>35624</v>
      </c>
      <c r="T2601" t="s">
        <v>35625</v>
      </c>
      <c r="U2601" t="s">
        <v>35626</v>
      </c>
      <c r="V2601">
        <f>-746.156962466041 -8.79159370783782 -92.6763257365951</f>
        <v>-847.62488191047396</v>
      </c>
      <c r="W2601" t="s">
        <v>35627</v>
      </c>
      <c r="X2601" t="s">
        <v>35628</v>
      </c>
      <c r="Y2601" t="s">
        <v>35629</v>
      </c>
    </row>
    <row r="2602" spans="1:25" x14ac:dyDescent="0.3">
      <c r="A2602">
        <v>130050</v>
      </c>
      <c r="B2602" t="s">
        <v>35630</v>
      </c>
      <c r="C2602" t="s">
        <v>35631</v>
      </c>
      <c r="D2602" t="s">
        <v>35632</v>
      </c>
      <c r="E2602" t="s">
        <v>35633</v>
      </c>
      <c r="F2602" t="s">
        <v>35634</v>
      </c>
      <c r="G2602" t="s">
        <v>35635</v>
      </c>
      <c r="H2602" t="s">
        <v>35636</v>
      </c>
      <c r="I2602" t="s">
        <v>35637</v>
      </c>
      <c r="J2602" t="s">
        <v>35638</v>
      </c>
      <c r="K2602" t="s">
        <v>35639</v>
      </c>
      <c r="L2602" t="s">
        <v>35640</v>
      </c>
      <c r="M2602" t="s">
        <v>35641</v>
      </c>
      <c r="N2602" t="s">
        <v>35642</v>
      </c>
      <c r="O2602">
        <f>-795.708983231761 -96.7352545052327 -517.889084165954</f>
        <v>-1410.3333219029478</v>
      </c>
      <c r="P2602">
        <f>-794.543354667368 -125.327623069539 -225.019930505862</f>
        <v>-1144.890908242769</v>
      </c>
      <c r="Q2602" t="s">
        <v>35643</v>
      </c>
      <c r="R2602" t="s">
        <v>35644</v>
      </c>
      <c r="S2602" t="s">
        <v>35645</v>
      </c>
      <c r="T2602" t="s">
        <v>35646</v>
      </c>
      <c r="U2602" t="s">
        <v>35647</v>
      </c>
      <c r="V2602">
        <f>-746.089861120746 -8.81198291549777 -92.6859922725984</f>
        <v>-847.58783630884216</v>
      </c>
      <c r="W2602" t="s">
        <v>35648</v>
      </c>
      <c r="X2602" t="s">
        <v>35649</v>
      </c>
      <c r="Y2602" t="s">
        <v>35650</v>
      </c>
    </row>
    <row r="2603" spans="1:25" x14ac:dyDescent="0.3">
      <c r="A2603">
        <v>130100</v>
      </c>
      <c r="B2603" t="s">
        <v>35651</v>
      </c>
      <c r="C2603" t="s">
        <v>35652</v>
      </c>
      <c r="D2603" t="s">
        <v>35653</v>
      </c>
      <c r="E2603" t="s">
        <v>35654</v>
      </c>
      <c r="F2603" t="s">
        <v>35655</v>
      </c>
      <c r="G2603" t="s">
        <v>35656</v>
      </c>
      <c r="H2603" t="s">
        <v>35657</v>
      </c>
      <c r="I2603" t="s">
        <v>35658</v>
      </c>
      <c r="J2603" t="s">
        <v>35659</v>
      </c>
      <c r="K2603" t="s">
        <v>35660</v>
      </c>
      <c r="L2603" t="s">
        <v>35661</v>
      </c>
      <c r="M2603" t="s">
        <v>35662</v>
      </c>
      <c r="N2603" t="s">
        <v>35663</v>
      </c>
      <c r="O2603">
        <f>-795.606230958671 -96.9280475541289 -517.971417812963</f>
        <v>-1410.5056963257628</v>
      </c>
      <c r="P2603">
        <f>-794.619132110875 -125.704123033315 -225.119642857309</f>
        <v>-1145.4428980014989</v>
      </c>
      <c r="Q2603" t="s">
        <v>35664</v>
      </c>
      <c r="R2603" t="s">
        <v>35665</v>
      </c>
      <c r="S2603" t="s">
        <v>35666</v>
      </c>
      <c r="T2603" t="s">
        <v>35667</v>
      </c>
      <c r="U2603" t="s">
        <v>35668</v>
      </c>
      <c r="V2603">
        <f>-746.179664249347 -9.10360474239064 -92.6622341782662</f>
        <v>-847.9455031700038</v>
      </c>
      <c r="W2603" t="s">
        <v>35669</v>
      </c>
      <c r="X2603" t="s">
        <v>35670</v>
      </c>
      <c r="Y2603" t="s">
        <v>35671</v>
      </c>
    </row>
    <row r="2604" spans="1:25" x14ac:dyDescent="0.3">
      <c r="A2604">
        <v>130150</v>
      </c>
      <c r="B2604" t="s">
        <v>35672</v>
      </c>
      <c r="C2604" t="s">
        <v>35673</v>
      </c>
      <c r="D2604" t="s">
        <v>35674</v>
      </c>
      <c r="E2604" t="s">
        <v>35675</v>
      </c>
      <c r="F2604" t="s">
        <v>35676</v>
      </c>
      <c r="G2604" t="s">
        <v>35677</v>
      </c>
      <c r="H2604" t="s">
        <v>35678</v>
      </c>
      <c r="I2604" t="s">
        <v>35679</v>
      </c>
      <c r="J2604" t="s">
        <v>35680</v>
      </c>
      <c r="K2604" t="s">
        <v>35681</v>
      </c>
      <c r="L2604" t="s">
        <v>35682</v>
      </c>
      <c r="M2604" t="s">
        <v>35683</v>
      </c>
      <c r="N2604" t="s">
        <v>35684</v>
      </c>
      <c r="O2604">
        <f>-795.573373501043 -97.0919054815395 -517.994223843801</f>
        <v>-1410.6595028263835</v>
      </c>
      <c r="P2604">
        <f>-794.593173959839 -125.989126391035 -225.154400845702</f>
        <v>-1145.736701196576</v>
      </c>
      <c r="Q2604" t="s">
        <v>35685</v>
      </c>
      <c r="R2604" t="s">
        <v>35686</v>
      </c>
      <c r="S2604" t="s">
        <v>35687</v>
      </c>
      <c r="T2604" t="s">
        <v>35688</v>
      </c>
      <c r="U2604" t="s">
        <v>35689</v>
      </c>
      <c r="V2604">
        <f>-746.248127967143 -9.37829441185659 -92.654174645098</f>
        <v>-848.28059702409757</v>
      </c>
      <c r="W2604" t="s">
        <v>35690</v>
      </c>
      <c r="X2604" t="s">
        <v>35691</v>
      </c>
      <c r="Y2604" t="s">
        <v>35692</v>
      </c>
    </row>
    <row r="2605" spans="1:25" x14ac:dyDescent="0.3">
      <c r="A2605">
        <v>130200</v>
      </c>
      <c r="B2605" t="s">
        <v>35693</v>
      </c>
      <c r="C2605" t="s">
        <v>35694</v>
      </c>
      <c r="D2605" t="s">
        <v>35695</v>
      </c>
      <c r="E2605" t="s">
        <v>35696</v>
      </c>
      <c r="F2605" t="s">
        <v>35697</v>
      </c>
      <c r="G2605" t="s">
        <v>35698</v>
      </c>
      <c r="H2605" t="s">
        <v>35699</v>
      </c>
      <c r="I2605" t="s">
        <v>35700</v>
      </c>
      <c r="J2605" t="s">
        <v>35701</v>
      </c>
      <c r="K2605" t="s">
        <v>35702</v>
      </c>
      <c r="L2605" t="s">
        <v>35703</v>
      </c>
      <c r="M2605" t="s">
        <v>35704</v>
      </c>
      <c r="N2605" t="s">
        <v>35705</v>
      </c>
      <c r="O2605">
        <f>-795.145099069328 -97.3668810614925 -518.138708045894</f>
        <v>-1410.6506881767145</v>
      </c>
      <c r="P2605">
        <f>-794.589902333908 -126.366718030011 -225.307676079555</f>
        <v>-1146.264296443474</v>
      </c>
      <c r="Q2605" t="s">
        <v>35706</v>
      </c>
      <c r="R2605" t="s">
        <v>35707</v>
      </c>
      <c r="S2605" t="s">
        <v>35708</v>
      </c>
      <c r="T2605" t="s">
        <v>35709</v>
      </c>
      <c r="U2605" t="s">
        <v>35710</v>
      </c>
      <c r="V2605">
        <f>-746.261754583968 -9.69623373932563 -92.6483194293663</f>
        <v>-848.60630775265997</v>
      </c>
      <c r="W2605" t="s">
        <v>35711</v>
      </c>
      <c r="X2605" t="s">
        <v>35712</v>
      </c>
      <c r="Y2605" t="s">
        <v>35713</v>
      </c>
    </row>
    <row r="2606" spans="1:25" x14ac:dyDescent="0.3">
      <c r="A2606">
        <v>130250</v>
      </c>
      <c r="B2606" t="s">
        <v>35714</v>
      </c>
      <c r="C2606" t="s">
        <v>35715</v>
      </c>
      <c r="D2606" t="s">
        <v>35716</v>
      </c>
      <c r="E2606" t="s">
        <v>35717</v>
      </c>
      <c r="F2606" t="s">
        <v>35718</v>
      </c>
      <c r="G2606" t="s">
        <v>35719</v>
      </c>
      <c r="H2606" t="s">
        <v>35720</v>
      </c>
      <c r="I2606" t="s">
        <v>35721</v>
      </c>
      <c r="J2606" t="s">
        <v>35722</v>
      </c>
      <c r="K2606" t="s">
        <v>35723</v>
      </c>
      <c r="L2606" t="s">
        <v>35724</v>
      </c>
      <c r="M2606" t="s">
        <v>35725</v>
      </c>
      <c r="N2606" t="s">
        <v>35726</v>
      </c>
      <c r="O2606">
        <f>-794.887024648814 -97.4628586543531 -518.212338056311</f>
        <v>-1410.5622213594779</v>
      </c>
      <c r="P2606">
        <f>-794.440105359852 -126.679842665955 -225.402889039935</f>
        <v>-1146.5228370657421</v>
      </c>
      <c r="Q2606" t="s">
        <v>35727</v>
      </c>
      <c r="R2606" t="s">
        <v>35728</v>
      </c>
      <c r="S2606" t="s">
        <v>35729</v>
      </c>
      <c r="T2606" t="s">
        <v>35730</v>
      </c>
      <c r="U2606" t="s">
        <v>35731</v>
      </c>
      <c r="V2606">
        <f>-746.234969342019 -9.84934509994469 -92.6421576040923</f>
        <v>-848.72647204605596</v>
      </c>
      <c r="W2606" t="s">
        <v>35732</v>
      </c>
      <c r="X2606" t="s">
        <v>35733</v>
      </c>
      <c r="Y2606" t="s">
        <v>35734</v>
      </c>
    </row>
    <row r="2607" spans="1:25" x14ac:dyDescent="0.3">
      <c r="A2607">
        <v>130300</v>
      </c>
      <c r="B2607" t="s">
        <v>35735</v>
      </c>
      <c r="C2607" t="s">
        <v>35736</v>
      </c>
      <c r="D2607" t="s">
        <v>35737</v>
      </c>
      <c r="E2607" t="s">
        <v>35738</v>
      </c>
      <c r="F2607" t="s">
        <v>35739</v>
      </c>
      <c r="G2607" t="s">
        <v>35740</v>
      </c>
      <c r="H2607" t="s">
        <v>35741</v>
      </c>
      <c r="I2607" t="s">
        <v>35742</v>
      </c>
      <c r="J2607" t="s">
        <v>35743</v>
      </c>
      <c r="K2607" t="s">
        <v>35744</v>
      </c>
      <c r="L2607" t="s">
        <v>35745</v>
      </c>
      <c r="M2607" t="s">
        <v>35746</v>
      </c>
      <c r="N2607" t="s">
        <v>35747</v>
      </c>
      <c r="O2607">
        <f>-794.646411201885 -97.9096348915484 -518.367452587968</f>
        <v>-1410.9234986814015</v>
      </c>
      <c r="P2607">
        <f>-794.385869019328 -127.419096643303 -225.587114471985</f>
        <v>-1147.392080134616</v>
      </c>
      <c r="Q2607" t="s">
        <v>35748</v>
      </c>
      <c r="R2607" t="s">
        <v>35749</v>
      </c>
      <c r="S2607" t="s">
        <v>35750</v>
      </c>
      <c r="T2607" t="s">
        <v>35751</v>
      </c>
      <c r="U2607" t="s">
        <v>35752</v>
      </c>
      <c r="V2607">
        <f>-746.379976241718 -10.3706829580419 -92.6486166560194</f>
        <v>-849.39927585577936</v>
      </c>
      <c r="W2607" t="s">
        <v>35753</v>
      </c>
      <c r="X2607" t="s">
        <v>35754</v>
      </c>
      <c r="Y2607" t="s">
        <v>35755</v>
      </c>
    </row>
    <row r="2608" spans="1:25" x14ac:dyDescent="0.3">
      <c r="A2608">
        <v>130350</v>
      </c>
      <c r="B2608" t="s">
        <v>35756</v>
      </c>
      <c r="C2608" t="s">
        <v>35757</v>
      </c>
      <c r="D2608" t="s">
        <v>35758</v>
      </c>
      <c r="E2608" t="s">
        <v>35759</v>
      </c>
      <c r="F2608" t="s">
        <v>35760</v>
      </c>
      <c r="G2608" t="s">
        <v>35761</v>
      </c>
      <c r="H2608" t="s">
        <v>35762</v>
      </c>
      <c r="I2608" t="s">
        <v>35763</v>
      </c>
      <c r="J2608" t="s">
        <v>35764</v>
      </c>
      <c r="K2608" t="s">
        <v>35765</v>
      </c>
      <c r="L2608" t="s">
        <v>35766</v>
      </c>
      <c r="M2608" t="s">
        <v>35767</v>
      </c>
      <c r="N2608" t="s">
        <v>35768</v>
      </c>
      <c r="O2608">
        <f>-794.621445333511 -98.0779574331532 -518.437891071491</f>
        <v>-1411.1372938381551</v>
      </c>
      <c r="P2608">
        <f>-794.387025746143 -127.733833718969 -225.67224830736</f>
        <v>-1147.793107772472</v>
      </c>
      <c r="Q2608" t="s">
        <v>35769</v>
      </c>
      <c r="R2608" t="s">
        <v>35770</v>
      </c>
      <c r="S2608" t="s">
        <v>35771</v>
      </c>
      <c r="T2608" t="s">
        <v>35772</v>
      </c>
      <c r="U2608" t="s">
        <v>35773</v>
      </c>
      <c r="V2608">
        <f>-746.477794914016 -10.6482534255858 -92.6471584743315</f>
        <v>-849.77320681393337</v>
      </c>
      <c r="W2608" t="s">
        <v>35774</v>
      </c>
      <c r="X2608" t="s">
        <v>35775</v>
      </c>
      <c r="Y2608" t="s">
        <v>35776</v>
      </c>
    </row>
    <row r="2609" spans="1:25" x14ac:dyDescent="0.3">
      <c r="A2609">
        <v>130400</v>
      </c>
      <c r="B2609" t="s">
        <v>35777</v>
      </c>
      <c r="C2609" t="s">
        <v>35778</v>
      </c>
      <c r="D2609" t="s">
        <v>35779</v>
      </c>
      <c r="E2609" t="s">
        <v>35780</v>
      </c>
      <c r="F2609" t="s">
        <v>35781</v>
      </c>
      <c r="G2609" t="s">
        <v>35782</v>
      </c>
      <c r="H2609" t="s">
        <v>35783</v>
      </c>
      <c r="I2609" t="s">
        <v>35784</v>
      </c>
      <c r="J2609" t="s">
        <v>35785</v>
      </c>
      <c r="K2609" t="s">
        <v>35786</v>
      </c>
      <c r="L2609" t="s">
        <v>35787</v>
      </c>
      <c r="M2609" t="s">
        <v>35788</v>
      </c>
      <c r="N2609" t="s">
        <v>35789</v>
      </c>
      <c r="O2609">
        <f>-794.523279862786 -98.3679147161245 -518.566076189838</f>
        <v>-1411.4572707687485</v>
      </c>
      <c r="P2609">
        <f>-794.507409224104 -128.248177233374 -225.82311810008</f>
        <v>-1148.578704557558</v>
      </c>
      <c r="Q2609" t="s">
        <v>35790</v>
      </c>
      <c r="R2609" t="s">
        <v>35791</v>
      </c>
      <c r="S2609" t="s">
        <v>35792</v>
      </c>
      <c r="T2609" t="s">
        <v>35793</v>
      </c>
      <c r="U2609" t="s">
        <v>35794</v>
      </c>
      <c r="V2609">
        <f>-746.45944516518 -11.0110768737816 -92.6392477919699</f>
        <v>-850.10976983093144</v>
      </c>
      <c r="W2609" t="s">
        <v>35795</v>
      </c>
      <c r="X2609" t="s">
        <v>35796</v>
      </c>
      <c r="Y2609" t="s">
        <v>35797</v>
      </c>
    </row>
    <row r="2610" spans="1:25" x14ac:dyDescent="0.3">
      <c r="A2610">
        <v>130450</v>
      </c>
      <c r="B2610" t="s">
        <v>35798</v>
      </c>
      <c r="C2610" t="s">
        <v>35799</v>
      </c>
      <c r="D2610" t="s">
        <v>35800</v>
      </c>
      <c r="E2610" t="s">
        <v>35801</v>
      </c>
      <c r="F2610" t="s">
        <v>35802</v>
      </c>
      <c r="G2610" t="s">
        <v>35803</v>
      </c>
      <c r="H2610" t="s">
        <v>35804</v>
      </c>
      <c r="I2610" t="s">
        <v>35805</v>
      </c>
      <c r="J2610" t="s">
        <v>35806</v>
      </c>
      <c r="K2610" t="s">
        <v>35807</v>
      </c>
      <c r="L2610" t="s">
        <v>35808</v>
      </c>
      <c r="M2610" t="s">
        <v>35809</v>
      </c>
      <c r="N2610" t="s">
        <v>35810</v>
      </c>
      <c r="O2610">
        <f>-794.502905376822 -98.5034136523566 -518.668678274719</f>
        <v>-1411.6749973038977</v>
      </c>
      <c r="P2610">
        <f>-794.587207907041 -128.463433126027 -225.933834951407</f>
        <v>-1148.984475984475</v>
      </c>
      <c r="Q2610" t="s">
        <v>35811</v>
      </c>
      <c r="R2610" t="s">
        <v>35812</v>
      </c>
      <c r="S2610" t="s">
        <v>35813</v>
      </c>
      <c r="T2610" t="s">
        <v>35814</v>
      </c>
      <c r="U2610" t="s">
        <v>35815</v>
      </c>
      <c r="V2610">
        <f>-746.492229474955 -11.2919387507523 -92.6359497433476</f>
        <v>-850.4201179690549</v>
      </c>
      <c r="W2610" t="s">
        <v>35816</v>
      </c>
      <c r="X2610" t="s">
        <v>35817</v>
      </c>
      <c r="Y2610" t="s">
        <v>35818</v>
      </c>
    </row>
    <row r="2611" spans="1:25" x14ac:dyDescent="0.3">
      <c r="A2611">
        <v>130500</v>
      </c>
      <c r="B2611" t="s">
        <v>35819</v>
      </c>
      <c r="C2611" t="s">
        <v>35820</v>
      </c>
      <c r="D2611" t="s">
        <v>35821</v>
      </c>
      <c r="E2611" t="s">
        <v>35822</v>
      </c>
      <c r="F2611" t="s">
        <v>35823</v>
      </c>
      <c r="G2611" t="s">
        <v>35824</v>
      </c>
      <c r="H2611" t="s">
        <v>35825</v>
      </c>
      <c r="I2611" t="s">
        <v>35826</v>
      </c>
      <c r="J2611" t="s">
        <v>35827</v>
      </c>
      <c r="K2611" t="s">
        <v>35828</v>
      </c>
      <c r="L2611" t="s">
        <v>35829</v>
      </c>
      <c r="M2611" t="s">
        <v>35830</v>
      </c>
      <c r="N2611" t="s">
        <v>35831</v>
      </c>
      <c r="O2611">
        <f>-794.652110223398 -98.7381408686965 -518.856156680252</f>
        <v>-1412.2464077723466</v>
      </c>
      <c r="P2611">
        <f>-794.910030511998 -129.04426856562 -226.15713609401</f>
        <v>-1150.111435171628</v>
      </c>
      <c r="Q2611" t="s">
        <v>35832</v>
      </c>
      <c r="R2611" t="s">
        <v>35833</v>
      </c>
      <c r="S2611" t="s">
        <v>35834</v>
      </c>
      <c r="T2611" t="s">
        <v>35835</v>
      </c>
      <c r="U2611" t="s">
        <v>35836</v>
      </c>
      <c r="V2611">
        <f>-746.715825093828 -11.7528910163139 -92.6350277981819</f>
        <v>-851.10374390832385</v>
      </c>
      <c r="W2611" t="s">
        <v>35837</v>
      </c>
      <c r="X2611" t="s">
        <v>35838</v>
      </c>
      <c r="Y2611" t="s">
        <v>35839</v>
      </c>
    </row>
    <row r="2612" spans="1:25" x14ac:dyDescent="0.3">
      <c r="A2612">
        <v>130550</v>
      </c>
      <c r="B2612" t="s">
        <v>35840</v>
      </c>
      <c r="C2612" t="s">
        <v>35841</v>
      </c>
      <c r="D2612" t="s">
        <v>35842</v>
      </c>
      <c r="E2612" t="s">
        <v>35843</v>
      </c>
      <c r="F2612" t="s">
        <v>35844</v>
      </c>
      <c r="G2612" t="s">
        <v>35845</v>
      </c>
      <c r="H2612" t="s">
        <v>35846</v>
      </c>
      <c r="I2612" t="s">
        <v>35847</v>
      </c>
      <c r="J2612" t="s">
        <v>35848</v>
      </c>
      <c r="K2612" t="s">
        <v>35849</v>
      </c>
      <c r="L2612" t="s">
        <v>35850</v>
      </c>
      <c r="M2612" t="s">
        <v>35851</v>
      </c>
      <c r="N2612" t="s">
        <v>35852</v>
      </c>
      <c r="O2612">
        <f>-794.667647167918 -98.8077785662199 -518.93577514752</f>
        <v>-1412.4112008816578</v>
      </c>
      <c r="P2612">
        <f>-795.070320134555 -129.230047454075 -226.249021172273</f>
        <v>-1150.549388760903</v>
      </c>
      <c r="Q2612" t="s">
        <v>35853</v>
      </c>
      <c r="R2612" t="s">
        <v>35854</v>
      </c>
      <c r="S2612" t="s">
        <v>35855</v>
      </c>
      <c r="T2612" t="s">
        <v>35856</v>
      </c>
      <c r="U2612" t="s">
        <v>35857</v>
      </c>
      <c r="V2612">
        <f>-746.720087615234 -11.9165952568999 -92.6408402378247</f>
        <v>-851.27752310995857</v>
      </c>
      <c r="W2612" t="s">
        <v>35858</v>
      </c>
      <c r="X2612" t="s">
        <v>35859</v>
      </c>
      <c r="Y2612" t="s">
        <v>35860</v>
      </c>
    </row>
    <row r="2613" spans="1:25" x14ac:dyDescent="0.3">
      <c r="A2613">
        <v>130600</v>
      </c>
      <c r="B2613" t="s">
        <v>35861</v>
      </c>
      <c r="C2613" t="s">
        <v>35862</v>
      </c>
      <c r="D2613" t="s">
        <v>35863</v>
      </c>
      <c r="E2613" t="s">
        <v>35864</v>
      </c>
      <c r="F2613" t="s">
        <v>35865</v>
      </c>
      <c r="G2613" t="s">
        <v>35866</v>
      </c>
      <c r="H2613" t="s">
        <v>35867</v>
      </c>
      <c r="I2613" t="s">
        <v>35868</v>
      </c>
      <c r="J2613" t="s">
        <v>35869</v>
      </c>
      <c r="K2613" t="s">
        <v>35870</v>
      </c>
      <c r="L2613" t="s">
        <v>35871</v>
      </c>
      <c r="M2613" t="s">
        <v>35872</v>
      </c>
      <c r="N2613" t="s">
        <v>35873</v>
      </c>
      <c r="O2613">
        <f>-794.72370269411 -99.0245586405188 -519.028835079977</f>
        <v>-1412.7770964146057</v>
      </c>
      <c r="P2613">
        <f>-795.305223321761 -129.645823142048 -226.363107446771</f>
        <v>-1151.31415391058</v>
      </c>
      <c r="Q2613" t="s">
        <v>35874</v>
      </c>
      <c r="R2613" t="s">
        <v>35875</v>
      </c>
      <c r="S2613" t="s">
        <v>35876</v>
      </c>
      <c r="T2613" t="s">
        <v>35877</v>
      </c>
      <c r="U2613" t="s">
        <v>35878</v>
      </c>
      <c r="V2613">
        <f>-746.8617122198 -12.2920528922234 -92.6280697663669</f>
        <v>-851.78183487839033</v>
      </c>
      <c r="W2613" t="s">
        <v>35879</v>
      </c>
      <c r="X2613" t="s">
        <v>35880</v>
      </c>
      <c r="Y2613" t="s">
        <v>35881</v>
      </c>
    </row>
    <row r="2614" spans="1:25" x14ac:dyDescent="0.3">
      <c r="A2614">
        <v>130650</v>
      </c>
      <c r="B2614" t="s">
        <v>35882</v>
      </c>
      <c r="C2614" t="s">
        <v>35883</v>
      </c>
      <c r="D2614" t="s">
        <v>35884</v>
      </c>
      <c r="E2614" t="s">
        <v>35885</v>
      </c>
      <c r="F2614" t="s">
        <v>35886</v>
      </c>
      <c r="G2614" t="s">
        <v>35887</v>
      </c>
      <c r="H2614" t="s">
        <v>35888</v>
      </c>
      <c r="I2614" t="s">
        <v>35889</v>
      </c>
      <c r="J2614" t="s">
        <v>35890</v>
      </c>
      <c r="K2614" t="s">
        <v>35891</v>
      </c>
      <c r="L2614" t="s">
        <v>35892</v>
      </c>
      <c r="M2614" t="s">
        <v>35893</v>
      </c>
      <c r="N2614" t="s">
        <v>35894</v>
      </c>
      <c r="O2614">
        <f>-794.747106495426 -99.1253172897975 -519.064533341868</f>
        <v>-1412.9369571270915</v>
      </c>
      <c r="P2614">
        <f>-795.392486291124 -129.79714331343 -226.404259217273</f>
        <v>-1151.593888821827</v>
      </c>
      <c r="Q2614" t="s">
        <v>35895</v>
      </c>
      <c r="R2614" t="s">
        <v>35896</v>
      </c>
      <c r="S2614" t="s">
        <v>35897</v>
      </c>
      <c r="T2614" t="s">
        <v>35898</v>
      </c>
      <c r="U2614" t="s">
        <v>35899</v>
      </c>
      <c r="V2614">
        <f>-746.939519760062 -12.3970395207646 -92.6285305371912</f>
        <v>-851.96508981801776</v>
      </c>
      <c r="W2614" t="s">
        <v>35900</v>
      </c>
      <c r="X2614" t="s">
        <v>35901</v>
      </c>
      <c r="Y2614" t="s">
        <v>35902</v>
      </c>
    </row>
    <row r="2615" spans="1:25" x14ac:dyDescent="0.3">
      <c r="A2615">
        <v>130700</v>
      </c>
      <c r="B2615" t="s">
        <v>35903</v>
      </c>
      <c r="C2615" t="s">
        <v>35904</v>
      </c>
      <c r="D2615" t="s">
        <v>35905</v>
      </c>
      <c r="E2615" t="s">
        <v>35906</v>
      </c>
      <c r="F2615" t="s">
        <v>35907</v>
      </c>
      <c r="G2615" t="s">
        <v>35908</v>
      </c>
      <c r="H2615" t="s">
        <v>35909</v>
      </c>
      <c r="I2615" t="s">
        <v>35910</v>
      </c>
      <c r="J2615" t="s">
        <v>35911</v>
      </c>
      <c r="K2615" t="s">
        <v>35912</v>
      </c>
      <c r="L2615" t="s">
        <v>35913</v>
      </c>
      <c r="M2615" t="s">
        <v>35914</v>
      </c>
      <c r="N2615" t="s">
        <v>35915</v>
      </c>
      <c r="O2615">
        <f>-794.737851228757 -99.258049408985 -519.121240865481</f>
        <v>-1413.1171415032231</v>
      </c>
      <c r="P2615">
        <f>-795.390888718876 -130.096637523296 -226.478620740053</f>
        <v>-1151.9661469822249</v>
      </c>
      <c r="Q2615" t="s">
        <v>35916</v>
      </c>
      <c r="R2615" t="s">
        <v>35917</v>
      </c>
      <c r="S2615" t="s">
        <v>35918</v>
      </c>
      <c r="T2615" t="s">
        <v>35919</v>
      </c>
      <c r="U2615" t="s">
        <v>35920</v>
      </c>
      <c r="V2615">
        <f>-747.048530774882 -12.6280832145253 -92.6141938892968</f>
        <v>-852.29080787870407</v>
      </c>
      <c r="W2615" t="s">
        <v>35921</v>
      </c>
      <c r="X2615" t="s">
        <v>35922</v>
      </c>
      <c r="Y2615" t="s">
        <v>35923</v>
      </c>
    </row>
    <row r="2616" spans="1:25" x14ac:dyDescent="0.3">
      <c r="A2616">
        <v>130750</v>
      </c>
      <c r="B2616" t="s">
        <v>35924</v>
      </c>
      <c r="C2616" t="s">
        <v>35925</v>
      </c>
      <c r="D2616" t="s">
        <v>35926</v>
      </c>
      <c r="E2616" t="s">
        <v>35927</v>
      </c>
      <c r="F2616" t="s">
        <v>35928</v>
      </c>
      <c r="G2616" t="s">
        <v>35929</v>
      </c>
      <c r="H2616" t="s">
        <v>35930</v>
      </c>
      <c r="I2616" t="s">
        <v>35931</v>
      </c>
      <c r="J2616" t="s">
        <v>35932</v>
      </c>
      <c r="K2616" t="s">
        <v>35933</v>
      </c>
      <c r="L2616" t="s">
        <v>35934</v>
      </c>
      <c r="M2616" t="s">
        <v>35935</v>
      </c>
      <c r="N2616" t="s">
        <v>35936</v>
      </c>
      <c r="O2616">
        <f>-794.679183675665 -99.3163952350367 -519.136039519328</f>
        <v>-1413.1316184300297</v>
      </c>
      <c r="P2616">
        <f>-795.357251373563 -130.180648381586 -226.496072395712</f>
        <v>-1152.033972150861</v>
      </c>
      <c r="Q2616" t="s">
        <v>35937</v>
      </c>
      <c r="R2616" t="s">
        <v>35938</v>
      </c>
      <c r="S2616" t="s">
        <v>35939</v>
      </c>
      <c r="T2616" t="s">
        <v>35940</v>
      </c>
      <c r="U2616" t="s">
        <v>35941</v>
      </c>
      <c r="V2616">
        <f>-747.087860122269 -12.7175151661349 -92.6048327880526</f>
        <v>-852.41020807645657</v>
      </c>
      <c r="W2616" t="s">
        <v>35942</v>
      </c>
      <c r="X2616" t="s">
        <v>35943</v>
      </c>
      <c r="Y2616" t="s">
        <v>35944</v>
      </c>
    </row>
    <row r="2617" spans="1:25" x14ac:dyDescent="0.3">
      <c r="A2617">
        <v>130800</v>
      </c>
      <c r="B2617" t="s">
        <v>35945</v>
      </c>
      <c r="C2617" t="s">
        <v>35946</v>
      </c>
      <c r="D2617" t="s">
        <v>35947</v>
      </c>
      <c r="E2617" t="s">
        <v>35948</v>
      </c>
      <c r="F2617" t="s">
        <v>35949</v>
      </c>
      <c r="G2617" t="s">
        <v>35950</v>
      </c>
      <c r="H2617" t="s">
        <v>35951</v>
      </c>
      <c r="I2617" t="s">
        <v>35952</v>
      </c>
      <c r="J2617" t="s">
        <v>35953</v>
      </c>
      <c r="K2617" t="s">
        <v>35954</v>
      </c>
      <c r="L2617" t="s">
        <v>35955</v>
      </c>
      <c r="M2617" t="s">
        <v>35956</v>
      </c>
      <c r="N2617" t="s">
        <v>35957</v>
      </c>
      <c r="O2617">
        <f>-794.572935699793 -99.4475588998298 -519.121643991168</f>
        <v>-1413.1421385907906</v>
      </c>
      <c r="P2617">
        <f>-795.286910470461 -130.28542406667 -226.47898929451</f>
        <v>-1152.051323831641</v>
      </c>
      <c r="Q2617" t="s">
        <v>35958</v>
      </c>
      <c r="R2617" t="s">
        <v>35959</v>
      </c>
      <c r="S2617" t="s">
        <v>35960</v>
      </c>
      <c r="T2617" t="s">
        <v>35961</v>
      </c>
      <c r="U2617" t="s">
        <v>35962</v>
      </c>
      <c r="V2617">
        <f>-747.211291351756 -12.8806470730647 -92.5925664973666</f>
        <v>-852.68450492218733</v>
      </c>
      <c r="W2617" t="s">
        <v>35963</v>
      </c>
      <c r="X2617" t="s">
        <v>35964</v>
      </c>
      <c r="Y2617" t="s">
        <v>35965</v>
      </c>
    </row>
    <row r="2618" spans="1:25" x14ac:dyDescent="0.3">
      <c r="A2618">
        <v>130850</v>
      </c>
      <c r="B2618" t="s">
        <v>35966</v>
      </c>
      <c r="C2618" t="s">
        <v>35967</v>
      </c>
      <c r="D2618" t="s">
        <v>35968</v>
      </c>
      <c r="E2618" t="s">
        <v>35969</v>
      </c>
      <c r="F2618" t="s">
        <v>35970</v>
      </c>
      <c r="G2618" t="s">
        <v>35971</v>
      </c>
      <c r="H2618" t="s">
        <v>35972</v>
      </c>
      <c r="I2618" t="s">
        <v>35973</v>
      </c>
      <c r="J2618" t="s">
        <v>35974</v>
      </c>
      <c r="K2618" t="s">
        <v>35975</v>
      </c>
      <c r="L2618" t="s">
        <v>35976</v>
      </c>
      <c r="M2618" t="s">
        <v>35977</v>
      </c>
      <c r="N2618" t="s">
        <v>35978</v>
      </c>
      <c r="O2618">
        <f>-794.473400913905 -99.498654131796 -519.098949679597</f>
        <v>-1413.0710047252981</v>
      </c>
      <c r="P2618">
        <f>-795.238767162761 -130.324328809342 -226.455163377487</f>
        <v>-1152.0182593495899</v>
      </c>
      <c r="Q2618" t="s">
        <v>35979</v>
      </c>
      <c r="R2618" t="s">
        <v>35980</v>
      </c>
      <c r="S2618" t="s">
        <v>35981</v>
      </c>
      <c r="T2618" t="s">
        <v>35982</v>
      </c>
      <c r="U2618" t="s">
        <v>35983</v>
      </c>
      <c r="V2618">
        <f>-747.220635538072 -12.8400297804001 -92.5912766475255</f>
        <v>-852.65194196599759</v>
      </c>
      <c r="W2618" t="s">
        <v>35984</v>
      </c>
      <c r="X2618" t="s">
        <v>35985</v>
      </c>
      <c r="Y2618" t="s">
        <v>35986</v>
      </c>
    </row>
    <row r="2619" spans="1:25" x14ac:dyDescent="0.3">
      <c r="A2619">
        <v>130900</v>
      </c>
      <c r="B2619" t="s">
        <v>35987</v>
      </c>
      <c r="C2619" t="s">
        <v>35988</v>
      </c>
      <c r="D2619" t="s">
        <v>35989</v>
      </c>
      <c r="E2619" t="s">
        <v>35990</v>
      </c>
      <c r="F2619" t="s">
        <v>35991</v>
      </c>
      <c r="G2619" t="s">
        <v>35992</v>
      </c>
      <c r="H2619" t="s">
        <v>35993</v>
      </c>
      <c r="I2619" t="s">
        <v>35994</v>
      </c>
      <c r="J2619" t="s">
        <v>35995</v>
      </c>
      <c r="K2619" t="s">
        <v>35996</v>
      </c>
      <c r="L2619" t="s">
        <v>35997</v>
      </c>
      <c r="M2619" t="s">
        <v>35998</v>
      </c>
      <c r="N2619" t="s">
        <v>35999</v>
      </c>
      <c r="O2619">
        <f>-794.186539777476 -99.5552875268215 -519.01375564276</f>
        <v>-1412.7555829470575</v>
      </c>
      <c r="P2619">
        <f>-795.10376574568 -130.338714391378 -226.365938710181</f>
        <v>-1151.808418847239</v>
      </c>
      <c r="Q2619" t="s">
        <v>36000</v>
      </c>
      <c r="R2619" t="s">
        <v>36001</v>
      </c>
      <c r="S2619" t="s">
        <v>36002</v>
      </c>
      <c r="T2619" t="s">
        <v>36003</v>
      </c>
      <c r="U2619" t="s">
        <v>36004</v>
      </c>
      <c r="V2619">
        <f>-747.272728288425 -12.7615735970674 -92.5842240884247</f>
        <v>-852.61852597391703</v>
      </c>
      <c r="W2619" t="s">
        <v>36005</v>
      </c>
      <c r="X2619" t="s">
        <v>36006</v>
      </c>
      <c r="Y2619" t="s">
        <v>36007</v>
      </c>
    </row>
    <row r="2620" spans="1:25" x14ac:dyDescent="0.3">
      <c r="A2620">
        <v>130950</v>
      </c>
      <c r="B2620" t="s">
        <v>36008</v>
      </c>
      <c r="C2620" t="s">
        <v>36009</v>
      </c>
      <c r="D2620" t="s">
        <v>36010</v>
      </c>
      <c r="E2620" t="s">
        <v>36011</v>
      </c>
      <c r="F2620" t="s">
        <v>36012</v>
      </c>
      <c r="G2620" t="s">
        <v>36013</v>
      </c>
      <c r="H2620" t="s">
        <v>36014</v>
      </c>
      <c r="I2620" t="s">
        <v>36015</v>
      </c>
      <c r="J2620" t="s">
        <v>36016</v>
      </c>
      <c r="K2620" t="s">
        <v>36017</v>
      </c>
      <c r="L2620" t="s">
        <v>36018</v>
      </c>
      <c r="M2620" t="s">
        <v>36019</v>
      </c>
      <c r="N2620" t="s">
        <v>36020</v>
      </c>
      <c r="O2620">
        <f>-794.020896554047 -99.6595130733949 -518.959329745096</f>
        <v>-1412.6397393725379</v>
      </c>
      <c r="P2620">
        <f>-795.019114148975 -130.338283239557 -226.300852266697</f>
        <v>-1151.6582496552289</v>
      </c>
      <c r="Q2620" t="s">
        <v>36021</v>
      </c>
      <c r="R2620" t="s">
        <v>36022</v>
      </c>
      <c r="S2620" t="s">
        <v>36023</v>
      </c>
      <c r="T2620" t="s">
        <v>36024</v>
      </c>
      <c r="U2620" t="s">
        <v>36025</v>
      </c>
      <c r="V2620">
        <f>-747.344095938764 -12.8323466879124 -92.5801247796101</f>
        <v>-852.75656740628642</v>
      </c>
      <c r="W2620" t="s">
        <v>36026</v>
      </c>
      <c r="X2620" t="s">
        <v>36027</v>
      </c>
      <c r="Y2620" t="s">
        <v>36028</v>
      </c>
    </row>
    <row r="2621" spans="1:25" x14ac:dyDescent="0.3">
      <c r="A2621">
        <v>131000</v>
      </c>
      <c r="B2621" t="s">
        <v>36029</v>
      </c>
      <c r="C2621" t="s">
        <v>36030</v>
      </c>
      <c r="D2621" t="s">
        <v>36031</v>
      </c>
      <c r="E2621" t="s">
        <v>36032</v>
      </c>
      <c r="F2621" t="s">
        <v>36033</v>
      </c>
      <c r="G2621" t="s">
        <v>36034</v>
      </c>
      <c r="H2621" t="s">
        <v>36035</v>
      </c>
      <c r="I2621" t="s">
        <v>36036</v>
      </c>
      <c r="J2621" t="s">
        <v>36037</v>
      </c>
      <c r="K2621" t="s">
        <v>36038</v>
      </c>
      <c r="L2621" t="s">
        <v>36039</v>
      </c>
      <c r="M2621" t="s">
        <v>36040</v>
      </c>
      <c r="N2621" t="s">
        <v>36041</v>
      </c>
      <c r="O2621">
        <f>-793.549045894994 -99.719881996253 -518.711531965559</f>
        <v>-1411.980459856806</v>
      </c>
      <c r="P2621">
        <f>-794.575718091171 -130.192190921173 -226.03144234394</f>
        <v>-1150.799351356284</v>
      </c>
      <c r="Q2621" t="s">
        <v>36042</v>
      </c>
      <c r="R2621" t="s">
        <v>36043</v>
      </c>
      <c r="S2621" t="s">
        <v>36044</v>
      </c>
      <c r="T2621" t="s">
        <v>36045</v>
      </c>
      <c r="U2621" t="s">
        <v>36046</v>
      </c>
      <c r="V2621">
        <f>-747.480097235688 -12.719227843598 -92.5698257188744</f>
        <v>-852.76915079816047</v>
      </c>
      <c r="W2621" t="s">
        <v>36047</v>
      </c>
      <c r="X2621" t="s">
        <v>36048</v>
      </c>
      <c r="Y2621" t="s">
        <v>36049</v>
      </c>
    </row>
    <row r="2622" spans="1:25" x14ac:dyDescent="0.3">
      <c r="A2622">
        <v>131050</v>
      </c>
      <c r="B2622" t="s">
        <v>36050</v>
      </c>
      <c r="C2622" t="s">
        <v>36051</v>
      </c>
      <c r="D2622" t="s">
        <v>36052</v>
      </c>
      <c r="E2622" t="s">
        <v>36053</v>
      </c>
      <c r="F2622" t="s">
        <v>36054</v>
      </c>
      <c r="G2622" t="s">
        <v>36055</v>
      </c>
      <c r="H2622" t="s">
        <v>36056</v>
      </c>
      <c r="I2622" t="s">
        <v>36057</v>
      </c>
      <c r="J2622" t="s">
        <v>36058</v>
      </c>
      <c r="K2622" t="s">
        <v>36059</v>
      </c>
      <c r="L2622" t="s">
        <v>36060</v>
      </c>
      <c r="M2622" t="s">
        <v>36061</v>
      </c>
      <c r="N2622" t="s">
        <v>36062</v>
      </c>
      <c r="O2622">
        <f>-792.521405493361 -99.0207601078453 -518.731151920798</f>
        <v>-1410.2733175220042</v>
      </c>
      <c r="P2622">
        <f>-793.876873262481 -129.394618208468 -226.042221130801</f>
        <v>-1149.31371260175</v>
      </c>
      <c r="Q2622" t="s">
        <v>36063</v>
      </c>
      <c r="R2622" t="s">
        <v>36064</v>
      </c>
      <c r="S2622" t="s">
        <v>36065</v>
      </c>
      <c r="T2622" t="s">
        <v>36066</v>
      </c>
      <c r="U2622" t="s">
        <v>36067</v>
      </c>
      <c r="V2622">
        <f>-747.597427906637 -12.6455381251792 -92.5154756492337</f>
        <v>-852.75844168104993</v>
      </c>
      <c r="W2622" t="s">
        <v>36068</v>
      </c>
      <c r="X2622" t="s">
        <v>36069</v>
      </c>
      <c r="Y2622" t="s">
        <v>36070</v>
      </c>
    </row>
    <row r="2623" spans="1:25" x14ac:dyDescent="0.3">
      <c r="A2623">
        <v>131100</v>
      </c>
      <c r="B2623" t="s">
        <v>36071</v>
      </c>
      <c r="C2623" t="s">
        <v>36072</v>
      </c>
      <c r="D2623" t="s">
        <v>36073</v>
      </c>
      <c r="E2623" t="s">
        <v>36074</v>
      </c>
      <c r="F2623" t="s">
        <v>36075</v>
      </c>
      <c r="G2623" t="s">
        <v>36076</v>
      </c>
      <c r="H2623" t="s">
        <v>36077</v>
      </c>
      <c r="I2623" t="s">
        <v>36078</v>
      </c>
      <c r="J2623" t="s">
        <v>36079</v>
      </c>
      <c r="K2623" t="s">
        <v>36080</v>
      </c>
      <c r="L2623" t="s">
        <v>36081</v>
      </c>
      <c r="M2623" t="s">
        <v>36082</v>
      </c>
      <c r="N2623" t="s">
        <v>36083</v>
      </c>
      <c r="O2623">
        <f>-790.703962387542 -98.2922143432295 -519.395736151756</f>
        <v>-1408.3919128825273</v>
      </c>
      <c r="P2623">
        <f>-792.942920913773 -129.552229693164 -226.805561225022</f>
        <v>-1149.300711831959</v>
      </c>
      <c r="Q2623" t="s">
        <v>36084</v>
      </c>
      <c r="R2623" t="s">
        <v>36085</v>
      </c>
      <c r="S2623" t="s">
        <v>36086</v>
      </c>
      <c r="T2623" t="s">
        <v>36087</v>
      </c>
      <c r="U2623" t="s">
        <v>36088</v>
      </c>
      <c r="V2623">
        <f>-747.871898953591 -12.2326200675379 -92.36733181139</f>
        <v>-852.47185083251895</v>
      </c>
      <c r="W2623" t="s">
        <v>36089</v>
      </c>
      <c r="X2623" t="s">
        <v>36090</v>
      </c>
      <c r="Y2623" t="s">
        <v>36091</v>
      </c>
    </row>
    <row r="2624" spans="1:25" x14ac:dyDescent="0.3">
      <c r="A2624">
        <v>131150</v>
      </c>
      <c r="B2624" t="s">
        <v>36092</v>
      </c>
      <c r="C2624" t="s">
        <v>36093</v>
      </c>
      <c r="D2624" t="s">
        <v>36094</v>
      </c>
      <c r="E2624" t="s">
        <v>36095</v>
      </c>
      <c r="F2624" t="s">
        <v>36096</v>
      </c>
      <c r="G2624" t="s">
        <v>36097</v>
      </c>
      <c r="H2624" t="s">
        <v>36098</v>
      </c>
      <c r="I2624" t="s">
        <v>36099</v>
      </c>
      <c r="J2624" t="s">
        <v>36100</v>
      </c>
      <c r="K2624" t="s">
        <v>36101</v>
      </c>
      <c r="L2624" t="s">
        <v>36102</v>
      </c>
      <c r="M2624" t="s">
        <v>36103</v>
      </c>
      <c r="N2624" t="s">
        <v>36104</v>
      </c>
      <c r="O2624">
        <f>-789.958421951047 -98.8255559534516 -519.480487477874</f>
        <v>-1408.2644653823727</v>
      </c>
      <c r="P2624">
        <f>-791.162036561602 -130.657645993667 -226.94587988552</f>
        <v>-1148.7655624407889</v>
      </c>
      <c r="Q2624" t="s">
        <v>36105</v>
      </c>
      <c r="R2624" t="s">
        <v>36106</v>
      </c>
      <c r="S2624" t="s">
        <v>36107</v>
      </c>
      <c r="T2624" t="s">
        <v>36108</v>
      </c>
      <c r="U2624" t="s">
        <v>36109</v>
      </c>
      <c r="V2624">
        <f>-747.804945637795 -12.7705629412549 -92.2893393162551</f>
        <v>-852.86484789530493</v>
      </c>
      <c r="W2624" t="s">
        <v>36110</v>
      </c>
      <c r="X2624" t="s">
        <v>36111</v>
      </c>
      <c r="Y2624" t="s">
        <v>36112</v>
      </c>
    </row>
    <row r="2625" spans="1:25" x14ac:dyDescent="0.3">
      <c r="A2625">
        <v>131200</v>
      </c>
      <c r="B2625" t="s">
        <v>36113</v>
      </c>
      <c r="C2625" t="s">
        <v>36114</v>
      </c>
      <c r="D2625" t="s">
        <v>36115</v>
      </c>
      <c r="E2625" t="s">
        <v>36116</v>
      </c>
      <c r="F2625" t="s">
        <v>36117</v>
      </c>
      <c r="G2625" t="s">
        <v>36118</v>
      </c>
      <c r="H2625" t="s">
        <v>36119</v>
      </c>
      <c r="I2625" t="s">
        <v>36120</v>
      </c>
      <c r="J2625" t="s">
        <v>36121</v>
      </c>
      <c r="K2625" t="s">
        <v>36122</v>
      </c>
      <c r="L2625" t="s">
        <v>36123</v>
      </c>
      <c r="M2625" t="s">
        <v>36124</v>
      </c>
      <c r="N2625" t="s">
        <v>36125</v>
      </c>
      <c r="O2625">
        <f>-788.78620528713 -99.7413940026493 -519.922325541497</f>
        <v>-1408.4499248312763</v>
      </c>
      <c r="P2625">
        <f>-788.857304061925 -131.93055997646 -227.424316363495</f>
        <v>-1148.21218040188</v>
      </c>
      <c r="Q2625" t="s">
        <v>36126</v>
      </c>
      <c r="R2625" t="s">
        <v>36127</v>
      </c>
      <c r="S2625" t="s">
        <v>36128</v>
      </c>
      <c r="T2625" t="s">
        <v>36129</v>
      </c>
      <c r="U2625" t="s">
        <v>36130</v>
      </c>
      <c r="V2625">
        <f>-747.950775996182 -13.6190001935322 -92.1543625509332</f>
        <v>-853.72413874064739</v>
      </c>
      <c r="W2625" t="s">
        <v>36131</v>
      </c>
      <c r="X2625" t="s">
        <v>36132</v>
      </c>
      <c r="Y2625" t="s">
        <v>36133</v>
      </c>
    </row>
    <row r="2626" spans="1:25" x14ac:dyDescent="0.3">
      <c r="A2626">
        <v>131250</v>
      </c>
      <c r="B2626" t="s">
        <v>36134</v>
      </c>
      <c r="C2626" t="s">
        <v>36135</v>
      </c>
      <c r="D2626" t="s">
        <v>36136</v>
      </c>
      <c r="E2626" t="s">
        <v>36137</v>
      </c>
      <c r="F2626" t="s">
        <v>36138</v>
      </c>
      <c r="G2626" t="s">
        <v>36139</v>
      </c>
      <c r="H2626" t="s">
        <v>36140</v>
      </c>
      <c r="I2626" t="s">
        <v>36141</v>
      </c>
      <c r="J2626" t="s">
        <v>36142</v>
      </c>
      <c r="K2626" t="s">
        <v>36143</v>
      </c>
      <c r="L2626" t="s">
        <v>36144</v>
      </c>
      <c r="M2626" t="s">
        <v>36145</v>
      </c>
      <c r="N2626" t="s">
        <v>36146</v>
      </c>
      <c r="O2626">
        <f>-788.751183000958 -100.2466167849 -520.374160115307</f>
        <v>-1409.3719599011649</v>
      </c>
      <c r="P2626">
        <f>-788.542981035435 -132.782915408475 -227.914579196043</f>
        <v>-1149.240475639953</v>
      </c>
      <c r="Q2626" t="s">
        <v>36147</v>
      </c>
      <c r="R2626" t="s">
        <v>36148</v>
      </c>
      <c r="S2626" t="s">
        <v>36149</v>
      </c>
      <c r="T2626" t="s">
        <v>36150</v>
      </c>
      <c r="U2626" t="s">
        <v>36151</v>
      </c>
      <c r="V2626">
        <f>-747.992505135686 -14.3566432435193 -92.2745500014635</f>
        <v>-854.62369838066877</v>
      </c>
      <c r="W2626" t="s">
        <v>36152</v>
      </c>
      <c r="X2626" t="s">
        <v>36153</v>
      </c>
      <c r="Y2626" t="s">
        <v>36154</v>
      </c>
    </row>
    <row r="2627" spans="1:25" x14ac:dyDescent="0.3">
      <c r="A2627">
        <v>131300</v>
      </c>
      <c r="B2627" t="s">
        <v>36155</v>
      </c>
      <c r="C2627" t="s">
        <v>36156</v>
      </c>
      <c r="D2627" t="s">
        <v>36157</v>
      </c>
      <c r="E2627" t="s">
        <v>36158</v>
      </c>
      <c r="F2627" t="s">
        <v>36159</v>
      </c>
      <c r="G2627" t="s">
        <v>36160</v>
      </c>
      <c r="H2627" t="s">
        <v>36161</v>
      </c>
      <c r="I2627" t="s">
        <v>36162</v>
      </c>
      <c r="J2627" t="s">
        <v>36163</v>
      </c>
      <c r="K2627" t="s">
        <v>36164</v>
      </c>
      <c r="L2627" t="s">
        <v>36165</v>
      </c>
      <c r="M2627" t="s">
        <v>36166</v>
      </c>
      <c r="N2627" t="s">
        <v>36167</v>
      </c>
      <c r="O2627">
        <f>-789.216094146137 -100.470381069621 -520.742332465398</f>
        <v>-1410.4288076811561</v>
      </c>
      <c r="P2627">
        <f>-788.398612770269 -133.513435075779 -228.340787088219</f>
        <v>-1150.252834934267</v>
      </c>
      <c r="Q2627" t="s">
        <v>36168</v>
      </c>
      <c r="R2627" t="s">
        <v>36169</v>
      </c>
      <c r="S2627" t="s">
        <v>36170</v>
      </c>
      <c r="T2627" t="s">
        <v>36171</v>
      </c>
      <c r="U2627" t="s">
        <v>36172</v>
      </c>
      <c r="V2627">
        <f>-748.211497077582 -14.7975124272789 -92.3949330869859</f>
        <v>-855.40394259184677</v>
      </c>
      <c r="W2627" t="s">
        <v>36173</v>
      </c>
      <c r="X2627" t="s">
        <v>36174</v>
      </c>
      <c r="Y2627" t="s">
        <v>36175</v>
      </c>
    </row>
    <row r="2628" spans="1:25" x14ac:dyDescent="0.3">
      <c r="A2628">
        <v>131350</v>
      </c>
      <c r="B2628" t="s">
        <v>36176</v>
      </c>
      <c r="C2628" t="s">
        <v>36177</v>
      </c>
      <c r="D2628" t="s">
        <v>36178</v>
      </c>
      <c r="E2628" t="s">
        <v>36179</v>
      </c>
      <c r="F2628" t="s">
        <v>36180</v>
      </c>
      <c r="G2628" t="s">
        <v>36181</v>
      </c>
      <c r="H2628" t="s">
        <v>36182</v>
      </c>
      <c r="I2628" t="s">
        <v>36183</v>
      </c>
      <c r="J2628" t="s">
        <v>36184</v>
      </c>
      <c r="K2628" t="s">
        <v>36185</v>
      </c>
      <c r="L2628" t="s">
        <v>36186</v>
      </c>
      <c r="M2628" t="s">
        <v>36187</v>
      </c>
      <c r="N2628" t="s">
        <v>36188</v>
      </c>
      <c r="O2628">
        <f>-791.340436580595 -99.2951066460732 -520.913909634978</f>
        <v>-1411.5494528616464</v>
      </c>
      <c r="P2628">
        <f>-790.18779393934 -132.42750286361 -228.523727300297</f>
        <v>-1151.139024103247</v>
      </c>
      <c r="Q2628" t="s">
        <v>36189</v>
      </c>
      <c r="R2628" t="s">
        <v>36190</v>
      </c>
      <c r="S2628" t="s">
        <v>36191</v>
      </c>
      <c r="T2628" t="s">
        <v>36192</v>
      </c>
      <c r="U2628" t="s">
        <v>36193</v>
      </c>
      <c r="V2628">
        <f>-749.722791253623 -13.4260027706612 -92.374323396195</f>
        <v>-855.52311742047914</v>
      </c>
      <c r="W2628" t="s">
        <v>36194</v>
      </c>
      <c r="X2628" t="s">
        <v>36195</v>
      </c>
      <c r="Y2628" t="s">
        <v>36196</v>
      </c>
    </row>
    <row r="2629" spans="1:25" x14ac:dyDescent="0.3">
      <c r="A2629">
        <v>131400</v>
      </c>
      <c r="B2629" t="s">
        <v>36197</v>
      </c>
      <c r="C2629" t="s">
        <v>36198</v>
      </c>
      <c r="D2629" t="s">
        <v>36199</v>
      </c>
      <c r="E2629" t="s">
        <v>36200</v>
      </c>
      <c r="F2629" t="s">
        <v>36201</v>
      </c>
      <c r="G2629" t="s">
        <v>36202</v>
      </c>
      <c r="H2629" t="s">
        <v>36203</v>
      </c>
      <c r="I2629" t="s">
        <v>36204</v>
      </c>
      <c r="J2629" t="s">
        <v>36205</v>
      </c>
      <c r="K2629" t="s">
        <v>36206</v>
      </c>
      <c r="L2629" t="s">
        <v>36207</v>
      </c>
      <c r="M2629" t="s">
        <v>36208</v>
      </c>
      <c r="N2629" t="s">
        <v>36209</v>
      </c>
      <c r="O2629">
        <f>-793.473025835223 -97.3968207697005 -520.746079961065</f>
        <v>-1411.6159265659885</v>
      </c>
      <c r="P2629">
        <f>-791.953984492091 -130.376083941655 -228.339938632774</f>
        <v>-1150.6700070665199</v>
      </c>
      <c r="Q2629" t="s">
        <v>36210</v>
      </c>
      <c r="R2629" t="s">
        <v>36211</v>
      </c>
      <c r="S2629" t="s">
        <v>36212</v>
      </c>
      <c r="T2629" t="s">
        <v>36213</v>
      </c>
      <c r="U2629" t="s">
        <v>36214</v>
      </c>
      <c r="V2629">
        <f>-750.550430164326 -11.3572290766404 -92.3149619535953</f>
        <v>-854.22262119456173</v>
      </c>
      <c r="W2629" t="s">
        <v>36215</v>
      </c>
      <c r="X2629" t="s">
        <v>36216</v>
      </c>
      <c r="Y2629" t="s">
        <v>36217</v>
      </c>
    </row>
    <row r="2630" spans="1:25" x14ac:dyDescent="0.3">
      <c r="A2630">
        <v>131450</v>
      </c>
      <c r="B2630" t="s">
        <v>36218</v>
      </c>
      <c r="C2630" t="s">
        <v>36219</v>
      </c>
      <c r="D2630" t="s">
        <v>36220</v>
      </c>
      <c r="E2630" t="s">
        <v>36221</v>
      </c>
      <c r="F2630" t="s">
        <v>36222</v>
      </c>
      <c r="G2630" t="s">
        <v>36223</v>
      </c>
      <c r="H2630" t="s">
        <v>36224</v>
      </c>
      <c r="I2630" t="s">
        <v>36225</v>
      </c>
      <c r="J2630" t="s">
        <v>36226</v>
      </c>
      <c r="K2630" t="s">
        <v>36227</v>
      </c>
      <c r="L2630" t="s">
        <v>36228</v>
      </c>
      <c r="M2630" t="s">
        <v>36229</v>
      </c>
      <c r="N2630" t="s">
        <v>36230</v>
      </c>
      <c r="O2630">
        <f>-794.139710023685 -97.0913340980524 -520.648014046268</f>
        <v>-1411.8790581680055</v>
      </c>
      <c r="P2630">
        <f>-792.276362193921 -129.956877609742 -228.231266107102</f>
        <v>-1150.4645059107652</v>
      </c>
      <c r="Q2630" t="s">
        <v>36231</v>
      </c>
      <c r="R2630" t="s">
        <v>36232</v>
      </c>
      <c r="S2630" t="s">
        <v>36233</v>
      </c>
      <c r="T2630" t="s">
        <v>36234</v>
      </c>
      <c r="U2630" t="s">
        <v>36235</v>
      </c>
      <c r="V2630">
        <f>-750.711713029679 -11.1109555961605 -92.3080686305142</f>
        <v>-854.13073725635365</v>
      </c>
      <c r="W2630" t="s">
        <v>36236</v>
      </c>
      <c r="X2630" t="s">
        <v>36237</v>
      </c>
      <c r="Y2630" t="s">
        <v>36238</v>
      </c>
    </row>
    <row r="2631" spans="1:25" x14ac:dyDescent="0.3">
      <c r="A2631">
        <v>131500</v>
      </c>
      <c r="B2631" t="s">
        <v>36239</v>
      </c>
      <c r="C2631" t="s">
        <v>36240</v>
      </c>
      <c r="D2631" t="s">
        <v>36241</v>
      </c>
      <c r="E2631" t="s">
        <v>36242</v>
      </c>
      <c r="F2631" t="s">
        <v>36243</v>
      </c>
      <c r="G2631" t="s">
        <v>36244</v>
      </c>
      <c r="H2631" t="s">
        <v>36245</v>
      </c>
      <c r="I2631" t="s">
        <v>36246</v>
      </c>
      <c r="J2631" t="s">
        <v>36247</v>
      </c>
      <c r="K2631" t="s">
        <v>36248</v>
      </c>
      <c r="L2631" t="s">
        <v>36249</v>
      </c>
      <c r="M2631" t="s">
        <v>36250</v>
      </c>
      <c r="N2631" t="s">
        <v>36251</v>
      </c>
      <c r="O2631">
        <f>-794.721389139046 -97.6469377989938 -520.226566587205</f>
        <v>-1412.5948935252447</v>
      </c>
      <c r="P2631">
        <f>-792.594685912801 -130.028754733838 -227.757521076346</f>
        <v>-1150.3809617229849</v>
      </c>
      <c r="Q2631" t="s">
        <v>36252</v>
      </c>
      <c r="R2631" t="s">
        <v>36253</v>
      </c>
      <c r="S2631" t="s">
        <v>36254</v>
      </c>
      <c r="T2631" t="s">
        <v>36255</v>
      </c>
      <c r="U2631" t="s">
        <v>36256</v>
      </c>
      <c r="V2631">
        <f>-750.463293765534 -11.7823640285321 -92.2208796102877</f>
        <v>-854.46653740435386</v>
      </c>
      <c r="W2631" t="s">
        <v>36257</v>
      </c>
      <c r="X2631" t="s">
        <v>36258</v>
      </c>
      <c r="Y2631" t="s">
        <v>36259</v>
      </c>
    </row>
    <row r="2632" spans="1:25" x14ac:dyDescent="0.3">
      <c r="A2632">
        <v>131550</v>
      </c>
      <c r="B2632" t="s">
        <v>36260</v>
      </c>
      <c r="C2632" t="s">
        <v>36261</v>
      </c>
      <c r="D2632" t="s">
        <v>36262</v>
      </c>
      <c r="E2632" t="s">
        <v>36263</v>
      </c>
      <c r="F2632" t="s">
        <v>36264</v>
      </c>
      <c r="G2632" t="s">
        <v>36265</v>
      </c>
      <c r="H2632" t="s">
        <v>36266</v>
      </c>
      <c r="I2632" t="s">
        <v>36267</v>
      </c>
      <c r="J2632" t="s">
        <v>36268</v>
      </c>
      <c r="K2632" t="s">
        <v>36269</v>
      </c>
      <c r="L2632" t="s">
        <v>36270</v>
      </c>
      <c r="M2632" t="s">
        <v>36271</v>
      </c>
      <c r="N2632" t="s">
        <v>36272</v>
      </c>
      <c r="O2632">
        <f>-794.640134862145 -98.1544466111845 -520.04889512842</f>
        <v>-1412.8434766017494</v>
      </c>
      <c r="P2632">
        <f>-792.464462666208 -130.191204789911 -227.54221152728</f>
        <v>-1150.1978789833991</v>
      </c>
      <c r="Q2632" t="s">
        <v>36273</v>
      </c>
      <c r="R2632" t="s">
        <v>36274</v>
      </c>
      <c r="S2632" t="s">
        <v>36275</v>
      </c>
      <c r="T2632" t="s">
        <v>36276</v>
      </c>
      <c r="U2632" t="s">
        <v>36277</v>
      </c>
      <c r="V2632">
        <f>-750.365670702991 -12.1772849929719 -92.2157495403983</f>
        <v>-854.75870523636115</v>
      </c>
      <c r="W2632" t="s">
        <v>36278</v>
      </c>
      <c r="X2632" t="s">
        <v>36279</v>
      </c>
      <c r="Y2632" t="s">
        <v>36280</v>
      </c>
    </row>
    <row r="2633" spans="1:25" x14ac:dyDescent="0.3">
      <c r="A2633">
        <v>131600</v>
      </c>
      <c r="B2633" t="s">
        <v>36281</v>
      </c>
      <c r="C2633" t="s">
        <v>36282</v>
      </c>
      <c r="D2633" t="s">
        <v>36283</v>
      </c>
      <c r="E2633" t="s">
        <v>36284</v>
      </c>
      <c r="F2633" t="s">
        <v>36285</v>
      </c>
      <c r="G2633" t="s">
        <v>36286</v>
      </c>
      <c r="H2633" t="s">
        <v>36287</v>
      </c>
      <c r="I2633" t="s">
        <v>36288</v>
      </c>
      <c r="J2633" t="s">
        <v>36289</v>
      </c>
      <c r="K2633" t="s">
        <v>36290</v>
      </c>
      <c r="L2633" t="s">
        <v>36291</v>
      </c>
      <c r="M2633" t="s">
        <v>36292</v>
      </c>
      <c r="N2633" t="s">
        <v>36293</v>
      </c>
      <c r="O2633">
        <f>-793.91688547222 -98.5687762101138 -519.736118325003</f>
        <v>-1412.2217800073367</v>
      </c>
      <c r="P2633">
        <f>-791.751272072357 -130.074180886584 -227.171678408517</f>
        <v>-1148.997131367458</v>
      </c>
      <c r="Q2633" t="s">
        <v>36294</v>
      </c>
      <c r="R2633" t="s">
        <v>36295</v>
      </c>
      <c r="S2633" t="s">
        <v>36296</v>
      </c>
      <c r="T2633" t="s">
        <v>36297</v>
      </c>
      <c r="U2633" t="s">
        <v>36298</v>
      </c>
      <c r="V2633">
        <f>-749.821882250513 -11.9333864217758 -92.2184679886235</f>
        <v>-853.97373666091232</v>
      </c>
      <c r="W2633" t="s">
        <v>36299</v>
      </c>
      <c r="X2633" t="s">
        <v>36300</v>
      </c>
      <c r="Y2633" t="s">
        <v>36301</v>
      </c>
    </row>
    <row r="2634" spans="1:25" x14ac:dyDescent="0.3">
      <c r="A2634">
        <v>131650</v>
      </c>
      <c r="B2634" t="s">
        <v>36302</v>
      </c>
      <c r="C2634" t="s">
        <v>36303</v>
      </c>
      <c r="D2634" t="s">
        <v>36304</v>
      </c>
      <c r="E2634" t="s">
        <v>36305</v>
      </c>
      <c r="F2634" t="s">
        <v>36306</v>
      </c>
      <c r="G2634" t="s">
        <v>36307</v>
      </c>
      <c r="H2634" t="s">
        <v>36308</v>
      </c>
      <c r="I2634" t="s">
        <v>36309</v>
      </c>
      <c r="J2634" t="s">
        <v>36310</v>
      </c>
      <c r="K2634" t="s">
        <v>36311</v>
      </c>
      <c r="L2634" t="s">
        <v>36312</v>
      </c>
      <c r="M2634" t="s">
        <v>36313</v>
      </c>
      <c r="N2634" t="s">
        <v>36314</v>
      </c>
      <c r="O2634">
        <f>-793.461314242199 -98.4976350692862 -519.553396724918</f>
        <v>-1411.5123460364032</v>
      </c>
      <c r="P2634">
        <f>-791.287730163088 -129.868436576955 -226.97468283489</f>
        <v>-1148.1308495749329</v>
      </c>
      <c r="Q2634" t="s">
        <v>36315</v>
      </c>
      <c r="R2634" t="s">
        <v>36316</v>
      </c>
      <c r="S2634" t="s">
        <v>36317</v>
      </c>
      <c r="T2634" t="s">
        <v>36318</v>
      </c>
      <c r="U2634" t="s">
        <v>36319</v>
      </c>
      <c r="V2634">
        <f>-749.559954119103 -11.8855045032715 -92.202886904571</f>
        <v>-853.64834552694549</v>
      </c>
      <c r="W2634" t="s">
        <v>36320</v>
      </c>
      <c r="X2634" t="s">
        <v>36321</v>
      </c>
      <c r="Y2634" t="s">
        <v>36322</v>
      </c>
    </row>
    <row r="2635" spans="1:25" x14ac:dyDescent="0.3">
      <c r="A2635">
        <v>131700</v>
      </c>
      <c r="B2635" t="s">
        <v>36323</v>
      </c>
      <c r="C2635" t="s">
        <v>36324</v>
      </c>
      <c r="D2635" t="s">
        <v>36325</v>
      </c>
      <c r="E2635" t="s">
        <v>36326</v>
      </c>
      <c r="F2635" t="s">
        <v>36327</v>
      </c>
      <c r="G2635" t="s">
        <v>36328</v>
      </c>
      <c r="H2635" t="s">
        <v>36329</v>
      </c>
      <c r="I2635" t="s">
        <v>36330</v>
      </c>
      <c r="J2635" t="s">
        <v>36331</v>
      </c>
      <c r="K2635" t="s">
        <v>36332</v>
      </c>
      <c r="L2635" t="s">
        <v>36333</v>
      </c>
      <c r="M2635" t="s">
        <v>36334</v>
      </c>
      <c r="N2635" t="s">
        <v>36335</v>
      </c>
      <c r="O2635">
        <f>-792.736827249837 -98.3591952588315 -519.329054537863</f>
        <v>-1410.4250770465314</v>
      </c>
      <c r="P2635">
        <f>-790.493227757373 -129.353608877637 -226.710537350973</f>
        <v>-1146.5573739859831</v>
      </c>
      <c r="Q2635" t="s">
        <v>36336</v>
      </c>
      <c r="R2635" t="s">
        <v>36337</v>
      </c>
      <c r="S2635" t="s">
        <v>36338</v>
      </c>
      <c r="T2635" t="s">
        <v>36339</v>
      </c>
      <c r="U2635" t="s">
        <v>36340</v>
      </c>
      <c r="V2635">
        <f>-749.210701794658 -11.7578950229995 -92.2572427560309</f>
        <v>-853.2258395736884</v>
      </c>
      <c r="W2635" t="s">
        <v>36341</v>
      </c>
      <c r="X2635" t="s">
        <v>36342</v>
      </c>
      <c r="Y2635" t="s">
        <v>36343</v>
      </c>
    </row>
    <row r="2636" spans="1:25" x14ac:dyDescent="0.3">
      <c r="A2636">
        <v>131750</v>
      </c>
      <c r="B2636" t="s">
        <v>36344</v>
      </c>
      <c r="C2636" t="s">
        <v>36345</v>
      </c>
      <c r="D2636" t="s">
        <v>36346</v>
      </c>
      <c r="E2636" t="s">
        <v>36347</v>
      </c>
      <c r="F2636" t="s">
        <v>36348</v>
      </c>
      <c r="G2636" t="s">
        <v>36349</v>
      </c>
      <c r="H2636" t="s">
        <v>36350</v>
      </c>
      <c r="I2636" t="s">
        <v>36351</v>
      </c>
      <c r="J2636" t="s">
        <v>36352</v>
      </c>
      <c r="K2636" t="s">
        <v>36353</v>
      </c>
      <c r="L2636" t="s">
        <v>36354</v>
      </c>
      <c r="M2636" t="s">
        <v>36355</v>
      </c>
      <c r="N2636" t="s">
        <v>36356</v>
      </c>
      <c r="O2636">
        <f>-792.58676739897 -98.447820146265 -519.198346103016</f>
        <v>-1410.232933648251</v>
      </c>
      <c r="P2636">
        <f>-790.419854544981 -129.158516820547 -226.549498183522</f>
        <v>-1146.12786954905</v>
      </c>
      <c r="Q2636" t="s">
        <v>36357</v>
      </c>
      <c r="R2636" t="s">
        <v>36358</v>
      </c>
      <c r="S2636" t="s">
        <v>36359</v>
      </c>
      <c r="T2636" t="s">
        <v>36360</v>
      </c>
      <c r="U2636" t="s">
        <v>36361</v>
      </c>
      <c r="V2636">
        <f>-749.219448174107 -11.6053453663137 -92.2845476261577</f>
        <v>-853.10934116657847</v>
      </c>
      <c r="W2636" t="s">
        <v>36362</v>
      </c>
      <c r="X2636" t="s">
        <v>36363</v>
      </c>
      <c r="Y2636" t="s">
        <v>36364</v>
      </c>
    </row>
    <row r="2637" spans="1:25" x14ac:dyDescent="0.3">
      <c r="A2637">
        <v>131800</v>
      </c>
      <c r="B2637" t="s">
        <v>36365</v>
      </c>
      <c r="C2637" t="s">
        <v>36366</v>
      </c>
      <c r="D2637" t="s">
        <v>36367</v>
      </c>
      <c r="E2637" t="s">
        <v>36368</v>
      </c>
      <c r="F2637" t="s">
        <v>36369</v>
      </c>
      <c r="G2637" t="s">
        <v>36370</v>
      </c>
      <c r="H2637" t="s">
        <v>36371</v>
      </c>
      <c r="I2637" t="s">
        <v>36372</v>
      </c>
      <c r="J2637" t="s">
        <v>36373</v>
      </c>
      <c r="K2637" t="s">
        <v>36374</v>
      </c>
      <c r="L2637" t="s">
        <v>36375</v>
      </c>
      <c r="M2637" t="s">
        <v>36376</v>
      </c>
      <c r="N2637" t="s">
        <v>36377</v>
      </c>
      <c r="O2637">
        <f>-792.778220567837 -98.9872958612596 -518.922639115146</f>
        <v>-1410.6881555442426</v>
      </c>
      <c r="P2637">
        <f>-790.693635458494 -129.002724378729 -226.20113886717</f>
        <v>-1145.897498704393</v>
      </c>
      <c r="Q2637" t="s">
        <v>36378</v>
      </c>
      <c r="R2637" t="s">
        <v>36379</v>
      </c>
      <c r="S2637" t="s">
        <v>36380</v>
      </c>
      <c r="T2637" t="s">
        <v>36381</v>
      </c>
      <c r="U2637" t="s">
        <v>36382</v>
      </c>
      <c r="V2637">
        <f>-749.474520963927 -11.7659126606013 -92.3156390751114</f>
        <v>-853.5560726996398</v>
      </c>
      <c r="W2637" t="s">
        <v>36383</v>
      </c>
      <c r="X2637" t="s">
        <v>36384</v>
      </c>
      <c r="Y2637" t="s">
        <v>36385</v>
      </c>
    </row>
    <row r="2638" spans="1:25" x14ac:dyDescent="0.3">
      <c r="A2638">
        <v>131850</v>
      </c>
      <c r="B2638" t="s">
        <v>36386</v>
      </c>
      <c r="C2638" t="s">
        <v>36387</v>
      </c>
      <c r="D2638" t="s">
        <v>36388</v>
      </c>
      <c r="E2638" t="s">
        <v>36389</v>
      </c>
      <c r="F2638" t="s">
        <v>36390</v>
      </c>
      <c r="G2638" t="s">
        <v>36391</v>
      </c>
      <c r="H2638" t="s">
        <v>36392</v>
      </c>
      <c r="I2638" t="s">
        <v>36393</v>
      </c>
      <c r="J2638" t="s">
        <v>36394</v>
      </c>
      <c r="K2638" t="s">
        <v>36395</v>
      </c>
      <c r="L2638" t="s">
        <v>36396</v>
      </c>
      <c r="M2638" t="s">
        <v>36397</v>
      </c>
      <c r="N2638" t="s">
        <v>36398</v>
      </c>
      <c r="O2638">
        <f>-792.971552172708 -99.2805682892113 -518.811834543363</f>
        <v>-1411.0639550052824</v>
      </c>
      <c r="P2638">
        <f>-790.934256977928 -129.058347156601 -226.065648667366</f>
        <v>-1146.0582528018952</v>
      </c>
      <c r="Q2638" t="s">
        <v>36399</v>
      </c>
      <c r="R2638" t="s">
        <v>36400</v>
      </c>
      <c r="S2638" t="s">
        <v>36401</v>
      </c>
      <c r="T2638" t="s">
        <v>36402</v>
      </c>
      <c r="U2638" t="s">
        <v>36403</v>
      </c>
      <c r="V2638">
        <f>-749.611242809239 -11.8380726938533 -92.3502140491814</f>
        <v>-853.79952955227373</v>
      </c>
      <c r="W2638" t="s">
        <v>36404</v>
      </c>
      <c r="X2638" t="s">
        <v>36405</v>
      </c>
      <c r="Y2638" t="s">
        <v>36406</v>
      </c>
    </row>
    <row r="2639" spans="1:25" x14ac:dyDescent="0.3">
      <c r="A2639">
        <v>131900</v>
      </c>
      <c r="B2639" t="s">
        <v>36407</v>
      </c>
      <c r="C2639" t="s">
        <v>36408</v>
      </c>
      <c r="D2639" t="s">
        <v>36409</v>
      </c>
      <c r="E2639" t="s">
        <v>36410</v>
      </c>
      <c r="F2639" t="s">
        <v>36411</v>
      </c>
      <c r="G2639" t="s">
        <v>36412</v>
      </c>
      <c r="H2639" t="s">
        <v>36413</v>
      </c>
      <c r="I2639" t="s">
        <v>36414</v>
      </c>
      <c r="J2639" t="s">
        <v>36415</v>
      </c>
      <c r="K2639" t="s">
        <v>36416</v>
      </c>
      <c r="L2639" t="s">
        <v>36417</v>
      </c>
      <c r="M2639" t="s">
        <v>36418</v>
      </c>
      <c r="N2639" t="s">
        <v>36419</v>
      </c>
      <c r="O2639">
        <f>-793.843568185774 -99.7471397195393 -518.589268169488</f>
        <v>-1412.1799760748013</v>
      </c>
      <c r="P2639">
        <f>-791.824898412973 -129.029614046361 -225.792943647738</f>
        <v>-1146.647456107072</v>
      </c>
      <c r="Q2639" t="s">
        <v>36420</v>
      </c>
      <c r="R2639" t="s">
        <v>36421</v>
      </c>
      <c r="S2639" t="s">
        <v>36422</v>
      </c>
      <c r="T2639" t="s">
        <v>36423</v>
      </c>
      <c r="U2639" t="s">
        <v>36424</v>
      </c>
      <c r="V2639">
        <f>-750.319106567665 -11.804945795056 -92.378948314533</f>
        <v>-854.50300067725402</v>
      </c>
      <c r="W2639" t="s">
        <v>36425</v>
      </c>
      <c r="X2639" t="s">
        <v>36426</v>
      </c>
      <c r="Y2639" t="s">
        <v>36427</v>
      </c>
    </row>
    <row r="2640" spans="1:25" x14ac:dyDescent="0.3">
      <c r="A2640">
        <v>131950</v>
      </c>
      <c r="B2640" t="s">
        <v>36428</v>
      </c>
      <c r="C2640" t="s">
        <v>36429</v>
      </c>
      <c r="D2640" t="s">
        <v>36430</v>
      </c>
      <c r="E2640" t="s">
        <v>36431</v>
      </c>
      <c r="F2640" t="s">
        <v>36432</v>
      </c>
      <c r="G2640" t="s">
        <v>36433</v>
      </c>
      <c r="H2640" t="s">
        <v>36434</v>
      </c>
      <c r="I2640" t="s">
        <v>36435</v>
      </c>
      <c r="J2640" t="s">
        <v>36436</v>
      </c>
      <c r="K2640" t="s">
        <v>36437</v>
      </c>
      <c r="L2640" t="s">
        <v>36438</v>
      </c>
      <c r="M2640" t="s">
        <v>36439</v>
      </c>
      <c r="N2640" t="s">
        <v>36440</v>
      </c>
      <c r="O2640">
        <f>-794.453950178093 -99.8025470304019 -518.462244584789</f>
        <v>-1412.7187417932839</v>
      </c>
      <c r="P2640">
        <f>-792.442223631194 -128.853311760244 -225.642865782032</f>
        <v>-1146.9384011734701</v>
      </c>
      <c r="Q2640" t="s">
        <v>36441</v>
      </c>
      <c r="R2640" t="s">
        <v>36442</v>
      </c>
      <c r="S2640" t="s">
        <v>36443</v>
      </c>
      <c r="T2640" t="s">
        <v>36444</v>
      </c>
      <c r="U2640" t="s">
        <v>36445</v>
      </c>
      <c r="V2640">
        <f>-750.869199088268 -11.7456634052282 -92.3713760586421</f>
        <v>-854.98623855213839</v>
      </c>
      <c r="W2640" t="s">
        <v>36446</v>
      </c>
      <c r="X2640" t="s">
        <v>36447</v>
      </c>
      <c r="Y2640" t="s">
        <v>36448</v>
      </c>
    </row>
    <row r="2641" spans="1:25" x14ac:dyDescent="0.3">
      <c r="A2641">
        <v>132000</v>
      </c>
      <c r="B2641" t="s">
        <v>36449</v>
      </c>
      <c r="C2641" t="s">
        <v>36450</v>
      </c>
      <c r="D2641" t="s">
        <v>36451</v>
      </c>
      <c r="E2641" t="s">
        <v>36452</v>
      </c>
      <c r="F2641" t="s">
        <v>36453</v>
      </c>
      <c r="G2641" t="s">
        <v>36454</v>
      </c>
      <c r="H2641" t="s">
        <v>36455</v>
      </c>
      <c r="I2641" t="s">
        <v>36456</v>
      </c>
      <c r="J2641" t="s">
        <v>36457</v>
      </c>
      <c r="K2641" t="s">
        <v>36458</v>
      </c>
      <c r="L2641" t="s">
        <v>36459</v>
      </c>
      <c r="M2641" t="s">
        <v>36460</v>
      </c>
      <c r="N2641" t="s">
        <v>36461</v>
      </c>
      <c r="O2641">
        <f>-795.989713136847 -99.9497250249733 -518.257149077186</f>
        <v>-1414.1965872390062</v>
      </c>
      <c r="P2641">
        <f>-794.001483149141 -128.564295377747 -225.394693271826</f>
        <v>-1147.960471798714</v>
      </c>
      <c r="Q2641" t="s">
        <v>36462</v>
      </c>
      <c r="R2641" t="s">
        <v>36463</v>
      </c>
      <c r="S2641" t="s">
        <v>36464</v>
      </c>
      <c r="T2641" t="s">
        <v>36465</v>
      </c>
      <c r="U2641" t="s">
        <v>36466</v>
      </c>
      <c r="V2641">
        <f>-752.176875789069 -11.7927589654082 -92.3237997988628</f>
        <v>-856.29343455333992</v>
      </c>
      <c r="W2641" t="s">
        <v>36467</v>
      </c>
      <c r="X2641" t="s">
        <v>36468</v>
      </c>
      <c r="Y2641" t="s">
        <v>36469</v>
      </c>
    </row>
    <row r="2642" spans="1:25" x14ac:dyDescent="0.3">
      <c r="A2642">
        <v>132050</v>
      </c>
      <c r="B2642" t="s">
        <v>36470</v>
      </c>
      <c r="C2642" t="s">
        <v>36471</v>
      </c>
      <c r="D2642" t="s">
        <v>36472</v>
      </c>
      <c r="E2642" t="s">
        <v>36473</v>
      </c>
      <c r="F2642" t="s">
        <v>36474</v>
      </c>
      <c r="G2642" t="s">
        <v>36475</v>
      </c>
      <c r="H2642" t="s">
        <v>36476</v>
      </c>
      <c r="I2642" t="s">
        <v>36477</v>
      </c>
      <c r="J2642" t="s">
        <v>36478</v>
      </c>
      <c r="K2642" t="s">
        <v>36479</v>
      </c>
      <c r="L2642" t="s">
        <v>36480</v>
      </c>
      <c r="M2642" t="s">
        <v>36481</v>
      </c>
      <c r="N2642" t="s">
        <v>36482</v>
      </c>
      <c r="O2642">
        <f>-796.419051993917 -100.066951988956 -518.202630796436</f>
        <v>-1414.688634779309</v>
      </c>
      <c r="P2642">
        <f>-794.419589563841 -128.555279945587 -225.327887966416</f>
        <v>-1148.3027574758439</v>
      </c>
      <c r="Q2642" t="s">
        <v>36483</v>
      </c>
      <c r="R2642" t="s">
        <v>36484</v>
      </c>
      <c r="S2642" t="s">
        <v>36485</v>
      </c>
      <c r="T2642" t="s">
        <v>36486</v>
      </c>
      <c r="U2642" t="s">
        <v>36487</v>
      </c>
      <c r="V2642">
        <f>-752.801552768924 -11.9882415126792 -92.2715418326031</f>
        <v>-857.06133611420637</v>
      </c>
      <c r="W2642" t="s">
        <v>36488</v>
      </c>
      <c r="X2642" t="s">
        <v>36489</v>
      </c>
      <c r="Y2642" t="s">
        <v>36490</v>
      </c>
    </row>
    <row r="2643" spans="1:25" x14ac:dyDescent="0.3">
      <c r="A2643">
        <v>132100</v>
      </c>
      <c r="B2643" t="s">
        <v>36491</v>
      </c>
      <c r="C2643" t="s">
        <v>36492</v>
      </c>
      <c r="D2643" t="s">
        <v>36493</v>
      </c>
      <c r="E2643" t="s">
        <v>36494</v>
      </c>
      <c r="F2643" t="s">
        <v>36495</v>
      </c>
      <c r="G2643" t="s">
        <v>36496</v>
      </c>
      <c r="H2643" t="s">
        <v>36497</v>
      </c>
      <c r="I2643" t="s">
        <v>36498</v>
      </c>
      <c r="J2643" t="s">
        <v>36499</v>
      </c>
      <c r="K2643" t="s">
        <v>36500</v>
      </c>
      <c r="L2643" t="s">
        <v>36501</v>
      </c>
      <c r="M2643" t="s">
        <v>36502</v>
      </c>
      <c r="N2643" t="s">
        <v>36503</v>
      </c>
      <c r="O2643">
        <f>-797.646026851237 -100.1740359626 -518.083467857733</f>
        <v>-1415.90353067157</v>
      </c>
      <c r="P2643">
        <f>-795.317160344998 -128.768102554209 -225.221441525407</f>
        <v>-1149.3067044246141</v>
      </c>
      <c r="Q2643" t="s">
        <v>36504</v>
      </c>
      <c r="R2643" t="s">
        <v>36505</v>
      </c>
      <c r="S2643" t="s">
        <v>36506</v>
      </c>
      <c r="T2643" t="s">
        <v>36507</v>
      </c>
      <c r="U2643" t="s">
        <v>36508</v>
      </c>
      <c r="V2643">
        <f>-753.912293326054 -12.1544451377556 -92.1196257218886</f>
        <v>-858.18636418569827</v>
      </c>
      <c r="W2643" t="s">
        <v>36509</v>
      </c>
      <c r="X2643" t="s">
        <v>36510</v>
      </c>
      <c r="Y2643" t="s">
        <v>36511</v>
      </c>
    </row>
    <row r="2644" spans="1:25" x14ac:dyDescent="0.3">
      <c r="A2644">
        <v>132150</v>
      </c>
      <c r="B2644" t="s">
        <v>36512</v>
      </c>
      <c r="C2644" t="s">
        <v>36513</v>
      </c>
      <c r="D2644" t="s">
        <v>36514</v>
      </c>
      <c r="E2644" t="s">
        <v>36515</v>
      </c>
      <c r="F2644" t="s">
        <v>36516</v>
      </c>
      <c r="G2644" t="s">
        <v>36517</v>
      </c>
      <c r="H2644" t="s">
        <v>36518</v>
      </c>
      <c r="I2644" t="s">
        <v>36519</v>
      </c>
      <c r="J2644" t="s">
        <v>36520</v>
      </c>
      <c r="K2644" t="s">
        <v>36521</v>
      </c>
      <c r="L2644" t="s">
        <v>36522</v>
      </c>
      <c r="M2644" t="s">
        <v>36523</v>
      </c>
      <c r="N2644" t="s">
        <v>36524</v>
      </c>
      <c r="O2644">
        <f>-798.408149458161 -100.313863462769 -517.99184460225</f>
        <v>-1416.71385752318</v>
      </c>
      <c r="P2644">
        <f>-795.793064881209 -129.008704792112 -225.142124370465</f>
        <v>-1149.943894043786</v>
      </c>
      <c r="Q2644" t="s">
        <v>36525</v>
      </c>
      <c r="R2644" t="s">
        <v>36526</v>
      </c>
      <c r="S2644" t="s">
        <v>36527</v>
      </c>
      <c r="T2644" t="s">
        <v>36528</v>
      </c>
      <c r="U2644" t="s">
        <v>36529</v>
      </c>
      <c r="V2644">
        <f>-754.256597686626 -12.320940013569 -92.0599116927842</f>
        <v>-858.63744939297931</v>
      </c>
      <c r="W2644" t="s">
        <v>36530</v>
      </c>
      <c r="X2644" t="s">
        <v>36531</v>
      </c>
      <c r="Y2644" t="s">
        <v>36532</v>
      </c>
    </row>
    <row r="2645" spans="1:25" x14ac:dyDescent="0.3">
      <c r="A2645">
        <v>132200</v>
      </c>
      <c r="B2645" t="s">
        <v>36533</v>
      </c>
      <c r="C2645" t="s">
        <v>36534</v>
      </c>
      <c r="D2645" t="s">
        <v>36535</v>
      </c>
      <c r="E2645" t="s">
        <v>36536</v>
      </c>
      <c r="F2645" t="s">
        <v>36537</v>
      </c>
      <c r="G2645" t="s">
        <v>36538</v>
      </c>
      <c r="H2645" t="s">
        <v>36539</v>
      </c>
      <c r="I2645" t="s">
        <v>36540</v>
      </c>
      <c r="J2645" t="s">
        <v>36541</v>
      </c>
      <c r="K2645" t="s">
        <v>36542</v>
      </c>
      <c r="L2645" t="s">
        <v>36543</v>
      </c>
      <c r="M2645" t="s">
        <v>36544</v>
      </c>
      <c r="N2645" t="s">
        <v>36545</v>
      </c>
      <c r="O2645">
        <f>-800.065735698355 -100.936802914922 -517.796169400036</f>
        <v>-1418.798708013313</v>
      </c>
      <c r="P2645">
        <f>-797.252632509279 -129.519468542382 -224.937290987476</f>
        <v>-1151.7093920391371</v>
      </c>
      <c r="Q2645" t="s">
        <v>36546</v>
      </c>
      <c r="R2645" t="s">
        <v>36547</v>
      </c>
      <c r="S2645" t="s">
        <v>36548</v>
      </c>
      <c r="T2645" t="s">
        <v>36549</v>
      </c>
      <c r="U2645" t="s">
        <v>36550</v>
      </c>
      <c r="V2645">
        <f>-754.735879014403 -12.9100938562142 -91.9529073697873</f>
        <v>-859.59888024040458</v>
      </c>
      <c r="W2645" t="s">
        <v>36551</v>
      </c>
      <c r="X2645" t="s">
        <v>36552</v>
      </c>
      <c r="Y2645" t="s">
        <v>36553</v>
      </c>
    </row>
    <row r="2646" spans="1:25" x14ac:dyDescent="0.3">
      <c r="A2646">
        <v>132250</v>
      </c>
      <c r="B2646" t="s">
        <v>36554</v>
      </c>
      <c r="C2646" t="s">
        <v>36555</v>
      </c>
      <c r="D2646" t="s">
        <v>36556</v>
      </c>
      <c r="E2646" t="s">
        <v>36557</v>
      </c>
      <c r="F2646" t="s">
        <v>36558</v>
      </c>
      <c r="G2646" t="s">
        <v>36559</v>
      </c>
      <c r="H2646" t="s">
        <v>36560</v>
      </c>
      <c r="I2646" t="s">
        <v>36561</v>
      </c>
      <c r="J2646" t="s">
        <v>36562</v>
      </c>
      <c r="K2646" t="s">
        <v>36563</v>
      </c>
      <c r="L2646" t="s">
        <v>36564</v>
      </c>
      <c r="M2646" t="s">
        <v>36565</v>
      </c>
      <c r="N2646" t="s">
        <v>36566</v>
      </c>
      <c r="O2646">
        <f>-800.800177432251 -101.302629305946 -517.681424715114</f>
        <v>-1419.7842314533109</v>
      </c>
      <c r="P2646">
        <f>-797.826247251559 -129.749674065223 -224.810828185201</f>
        <v>-1152.3867495019831</v>
      </c>
      <c r="Q2646" t="s">
        <v>36567</v>
      </c>
      <c r="R2646" t="s">
        <v>36568</v>
      </c>
      <c r="S2646" t="s">
        <v>36569</v>
      </c>
      <c r="T2646" t="s">
        <v>36570</v>
      </c>
      <c r="U2646" t="s">
        <v>36571</v>
      </c>
      <c r="V2646">
        <f>-754.873864041007 -13.0490714695811 -91.8971646097858</f>
        <v>-859.82010012037392</v>
      </c>
      <c r="W2646" t="s">
        <v>36572</v>
      </c>
      <c r="X2646" t="s">
        <v>36573</v>
      </c>
      <c r="Y2646" t="s">
        <v>36574</v>
      </c>
    </row>
    <row r="2647" spans="1:25" x14ac:dyDescent="0.3">
      <c r="A2647">
        <v>132300</v>
      </c>
      <c r="B2647" t="s">
        <v>36575</v>
      </c>
      <c r="C2647" t="s">
        <v>36576</v>
      </c>
      <c r="D2647" t="s">
        <v>36577</v>
      </c>
      <c r="E2647" t="s">
        <v>36578</v>
      </c>
      <c r="F2647" t="s">
        <v>36579</v>
      </c>
      <c r="G2647" t="s">
        <v>36580</v>
      </c>
      <c r="H2647" t="s">
        <v>36581</v>
      </c>
      <c r="I2647" t="s">
        <v>36582</v>
      </c>
      <c r="J2647" t="s">
        <v>36583</v>
      </c>
      <c r="K2647" t="s">
        <v>36584</v>
      </c>
      <c r="L2647" t="s">
        <v>36585</v>
      </c>
      <c r="M2647" t="s">
        <v>36586</v>
      </c>
      <c r="N2647" t="s">
        <v>36587</v>
      </c>
      <c r="O2647">
        <f>-802.100924186503 -101.865036855939 -517.444836746251</f>
        <v>-1421.4107977886929</v>
      </c>
      <c r="P2647">
        <f>-798.710326549856 -129.955705061393 -224.544472925448</f>
        <v>-1153.210504536697</v>
      </c>
      <c r="Q2647" t="s">
        <v>36588</v>
      </c>
      <c r="R2647" t="s">
        <v>36589</v>
      </c>
      <c r="S2647" t="s">
        <v>36590</v>
      </c>
      <c r="T2647" t="s">
        <v>36591</v>
      </c>
      <c r="U2647" t="s">
        <v>36592</v>
      </c>
      <c r="V2647">
        <f>-755.093488924419 -13.217640579094 -91.8323486048929</f>
        <v>-860.14347810840593</v>
      </c>
      <c r="W2647" t="s">
        <v>36593</v>
      </c>
      <c r="X2647" t="s">
        <v>36594</v>
      </c>
      <c r="Y2647" t="s">
        <v>36595</v>
      </c>
    </row>
    <row r="2648" spans="1:25" x14ac:dyDescent="0.3">
      <c r="A2648">
        <v>132350</v>
      </c>
      <c r="B2648" t="s">
        <v>36596</v>
      </c>
      <c r="C2648" t="s">
        <v>36597</v>
      </c>
      <c r="D2648" t="s">
        <v>36598</v>
      </c>
      <c r="E2648" t="s">
        <v>36599</v>
      </c>
      <c r="F2648" t="s">
        <v>36600</v>
      </c>
      <c r="G2648" t="s">
        <v>36601</v>
      </c>
      <c r="H2648" t="s">
        <v>36602</v>
      </c>
      <c r="I2648" t="s">
        <v>36603</v>
      </c>
      <c r="J2648" t="s">
        <v>36604</v>
      </c>
      <c r="K2648" t="s">
        <v>36605</v>
      </c>
      <c r="L2648" t="s">
        <v>36606</v>
      </c>
      <c r="M2648" t="s">
        <v>36607</v>
      </c>
      <c r="N2648" t="s">
        <v>36608</v>
      </c>
      <c r="O2648">
        <f>-802.517242438038 -102.335995609471 -517.291357463115</f>
        <v>-1422.144595510624</v>
      </c>
      <c r="P2648">
        <f>-798.884174888248 -130.236427783535 -224.375642013545</f>
        <v>-1153.4962446853281</v>
      </c>
      <c r="Q2648" t="s">
        <v>36609</v>
      </c>
      <c r="R2648" t="s">
        <v>36610</v>
      </c>
      <c r="S2648" t="s">
        <v>36611</v>
      </c>
      <c r="T2648" t="s">
        <v>36612</v>
      </c>
      <c r="U2648" t="s">
        <v>36613</v>
      </c>
      <c r="V2648">
        <f>-755.124452060589 -13.5007818953625 -91.8074324813158</f>
        <v>-860.43266643726724</v>
      </c>
      <c r="W2648" t="s">
        <v>36614</v>
      </c>
      <c r="X2648" t="s">
        <v>36615</v>
      </c>
      <c r="Y2648" t="s">
        <v>36616</v>
      </c>
    </row>
    <row r="2649" spans="1:25" x14ac:dyDescent="0.3">
      <c r="A2649">
        <v>132400</v>
      </c>
      <c r="B2649" t="s">
        <v>36617</v>
      </c>
      <c r="C2649" t="s">
        <v>36618</v>
      </c>
      <c r="D2649" t="s">
        <v>36619</v>
      </c>
      <c r="E2649" t="s">
        <v>36620</v>
      </c>
      <c r="F2649" t="s">
        <v>36621</v>
      </c>
      <c r="G2649" t="s">
        <v>36622</v>
      </c>
      <c r="H2649" t="s">
        <v>36623</v>
      </c>
      <c r="I2649" t="s">
        <v>36624</v>
      </c>
      <c r="J2649" t="s">
        <v>36625</v>
      </c>
      <c r="K2649" t="s">
        <v>36626</v>
      </c>
      <c r="L2649" t="s">
        <v>36627</v>
      </c>
      <c r="M2649" t="s">
        <v>36628</v>
      </c>
      <c r="N2649" t="s">
        <v>36629</v>
      </c>
      <c r="O2649">
        <f>-803.214389352171 -103.249503704195 -516.934356529307</f>
        <v>-1423.3982495856731</v>
      </c>
      <c r="P2649">
        <f>-799.075419177423 -130.582358763285 -223.971856258743</f>
        <v>-1153.6296341994509</v>
      </c>
      <c r="Q2649" t="s">
        <v>36630</v>
      </c>
      <c r="R2649" t="s">
        <v>36631</v>
      </c>
      <c r="S2649" t="s">
        <v>36632</v>
      </c>
      <c r="T2649" t="s">
        <v>36633</v>
      </c>
      <c r="U2649" t="s">
        <v>36634</v>
      </c>
      <c r="V2649">
        <f>-755.099972773433 -13.8486736945626 -91.774564632502</f>
        <v>-860.72321110049768</v>
      </c>
      <c r="W2649" t="s">
        <v>36635</v>
      </c>
      <c r="X2649" t="s">
        <v>36636</v>
      </c>
      <c r="Y2649" t="s">
        <v>36637</v>
      </c>
    </row>
    <row r="2650" spans="1:25" x14ac:dyDescent="0.3">
      <c r="A2650">
        <v>132450</v>
      </c>
      <c r="B2650" t="s">
        <v>36638</v>
      </c>
      <c r="C2650" t="s">
        <v>36639</v>
      </c>
      <c r="D2650" t="s">
        <v>36640</v>
      </c>
      <c r="E2650" t="s">
        <v>36641</v>
      </c>
      <c r="F2650" t="s">
        <v>36642</v>
      </c>
      <c r="G2650" t="s">
        <v>36643</v>
      </c>
      <c r="H2650" t="s">
        <v>36644</v>
      </c>
      <c r="I2650" t="s">
        <v>36645</v>
      </c>
      <c r="J2650" t="s">
        <v>36646</v>
      </c>
      <c r="K2650" t="s">
        <v>36647</v>
      </c>
      <c r="L2650" t="s">
        <v>36648</v>
      </c>
      <c r="M2650" t="s">
        <v>36649</v>
      </c>
      <c r="N2650" t="s">
        <v>36650</v>
      </c>
      <c r="O2650">
        <f>-803.338108309877 -103.543937171981 -516.728944212272</f>
        <v>-1423.6109896941302</v>
      </c>
      <c r="P2650">
        <f>-798.957547336668 -130.585230697138 -223.742905412771</f>
        <v>-1153.285683446577</v>
      </c>
      <c r="Q2650" t="s">
        <v>36651</v>
      </c>
      <c r="R2650" t="s">
        <v>36652</v>
      </c>
      <c r="S2650" t="s">
        <v>36653</v>
      </c>
      <c r="T2650" t="s">
        <v>36654</v>
      </c>
      <c r="U2650" t="s">
        <v>36655</v>
      </c>
      <c r="V2650">
        <f>-755.022094027823 -13.8982432416838 -91.7619638830882</f>
        <v>-860.68230115259496</v>
      </c>
      <c r="W2650" t="s">
        <v>36656</v>
      </c>
      <c r="X2650" t="s">
        <v>36657</v>
      </c>
      <c r="Y2650" t="s">
        <v>36658</v>
      </c>
    </row>
    <row r="2651" spans="1:25" x14ac:dyDescent="0.3">
      <c r="A2651">
        <v>132500</v>
      </c>
      <c r="B2651" t="s">
        <v>36659</v>
      </c>
      <c r="C2651" t="s">
        <v>36660</v>
      </c>
      <c r="D2651" t="s">
        <v>36661</v>
      </c>
      <c r="E2651" t="s">
        <v>36662</v>
      </c>
      <c r="F2651" t="s">
        <v>36663</v>
      </c>
      <c r="G2651" t="s">
        <v>36664</v>
      </c>
      <c r="H2651" t="s">
        <v>36665</v>
      </c>
      <c r="I2651" t="s">
        <v>36666</v>
      </c>
      <c r="J2651" t="s">
        <v>36667</v>
      </c>
      <c r="K2651" t="s">
        <v>36668</v>
      </c>
      <c r="L2651" t="s">
        <v>36669</v>
      </c>
      <c r="M2651" t="s">
        <v>36670</v>
      </c>
      <c r="N2651" t="s">
        <v>36671</v>
      </c>
      <c r="O2651">
        <f>-803.160851585411 -103.793959441321 -516.31154138632</f>
        <v>-1423.2663524130521</v>
      </c>
      <c r="P2651">
        <f>-798.417955923708 -130.063258083651 -223.260975166888</f>
        <v>-1151.742189174247</v>
      </c>
      <c r="Q2651" t="s">
        <v>36672</v>
      </c>
      <c r="R2651" t="s">
        <v>36673</v>
      </c>
      <c r="S2651" t="s">
        <v>36674</v>
      </c>
      <c r="T2651" t="s">
        <v>36675</v>
      </c>
      <c r="U2651" t="s">
        <v>36676</v>
      </c>
      <c r="V2651">
        <f>-754.596466216937 -13.6252449140648 -91.7630355215904</f>
        <v>-859.98474665259209</v>
      </c>
      <c r="W2651" t="s">
        <v>36677</v>
      </c>
      <c r="X2651" t="s">
        <v>36678</v>
      </c>
      <c r="Y2651" t="s">
        <v>36679</v>
      </c>
    </row>
    <row r="2652" spans="1:25" x14ac:dyDescent="0.3">
      <c r="A2652">
        <v>132550</v>
      </c>
      <c r="B2652" t="s">
        <v>36680</v>
      </c>
      <c r="C2652" t="s">
        <v>36681</v>
      </c>
      <c r="D2652" t="s">
        <v>36682</v>
      </c>
      <c r="E2652" t="s">
        <v>36683</v>
      </c>
      <c r="F2652" t="s">
        <v>36684</v>
      </c>
      <c r="G2652" t="s">
        <v>36685</v>
      </c>
      <c r="H2652" t="s">
        <v>36686</v>
      </c>
      <c r="I2652" t="s">
        <v>36687</v>
      </c>
      <c r="J2652" t="s">
        <v>36688</v>
      </c>
      <c r="K2652" t="s">
        <v>36689</v>
      </c>
      <c r="L2652" t="s">
        <v>36690</v>
      </c>
      <c r="M2652" t="s">
        <v>36691</v>
      </c>
      <c r="N2652" t="s">
        <v>36692</v>
      </c>
      <c r="O2652">
        <f>-803.130319732505 -103.995515990252 -516.08409628398</f>
        <v>-1423.2099320067368</v>
      </c>
      <c r="P2652">
        <f>-798.176649863084 -129.925883567501 -223.006772231009</f>
        <v>-1151.1093056615941</v>
      </c>
      <c r="Q2652" t="s">
        <v>36693</v>
      </c>
      <c r="R2652" t="s">
        <v>36694</v>
      </c>
      <c r="S2652" t="s">
        <v>36695</v>
      </c>
      <c r="T2652" t="s">
        <v>36696</v>
      </c>
      <c r="U2652" t="s">
        <v>36697</v>
      </c>
      <c r="V2652">
        <f>-754.39260825743 -13.4842921672027 -91.7659634693016</f>
        <v>-859.6428638939343</v>
      </c>
      <c r="W2652" t="s">
        <v>36698</v>
      </c>
      <c r="X2652" t="s">
        <v>36699</v>
      </c>
      <c r="Y2652" t="s">
        <v>36700</v>
      </c>
    </row>
    <row r="2653" spans="1:25" x14ac:dyDescent="0.3">
      <c r="A2653">
        <v>132600</v>
      </c>
      <c r="B2653" t="s">
        <v>36701</v>
      </c>
      <c r="C2653" t="s">
        <v>36702</v>
      </c>
      <c r="D2653" t="s">
        <v>36703</v>
      </c>
      <c r="E2653" t="s">
        <v>36704</v>
      </c>
      <c r="F2653" t="s">
        <v>36705</v>
      </c>
      <c r="G2653" t="s">
        <v>36706</v>
      </c>
      <c r="H2653" t="s">
        <v>36707</v>
      </c>
      <c r="I2653" t="s">
        <v>36708</v>
      </c>
      <c r="J2653" t="s">
        <v>36709</v>
      </c>
      <c r="K2653" t="s">
        <v>36710</v>
      </c>
      <c r="L2653" t="s">
        <v>36711</v>
      </c>
      <c r="M2653" t="s">
        <v>36712</v>
      </c>
      <c r="N2653" t="s">
        <v>36713</v>
      </c>
      <c r="O2653">
        <f>-803.122272135832 -104.436149111673 -515.704389197831</f>
        <v>-1423.2628104453361</v>
      </c>
      <c r="P2653">
        <f>-798.050371501238 -129.788540811121 -222.578595174709</f>
        <v>-1150.4175074870682</v>
      </c>
      <c r="Q2653" t="s">
        <v>36714</v>
      </c>
      <c r="R2653" t="s">
        <v>36715</v>
      </c>
      <c r="S2653" t="s">
        <v>36716</v>
      </c>
      <c r="T2653" t="s">
        <v>36717</v>
      </c>
      <c r="U2653" t="s">
        <v>36718</v>
      </c>
      <c r="V2653">
        <f>-754.305727765669 -13.5040612333823 -91.7657676064975</f>
        <v>-859.57555660554885</v>
      </c>
      <c r="W2653" t="s">
        <v>36719</v>
      </c>
      <c r="X2653" t="s">
        <v>36720</v>
      </c>
      <c r="Y2653" t="s">
        <v>36721</v>
      </c>
    </row>
    <row r="2654" spans="1:25" x14ac:dyDescent="0.3">
      <c r="A2654">
        <v>132650</v>
      </c>
      <c r="B2654" t="s">
        <v>36722</v>
      </c>
      <c r="C2654" t="s">
        <v>36723</v>
      </c>
      <c r="D2654" t="s">
        <v>36724</v>
      </c>
      <c r="E2654" t="s">
        <v>36725</v>
      </c>
      <c r="F2654" t="s">
        <v>36726</v>
      </c>
      <c r="G2654" t="s">
        <v>36727</v>
      </c>
      <c r="H2654" t="s">
        <v>36728</v>
      </c>
      <c r="I2654" t="s">
        <v>36729</v>
      </c>
      <c r="J2654" t="s">
        <v>36730</v>
      </c>
      <c r="K2654" t="s">
        <v>36731</v>
      </c>
      <c r="L2654" t="s">
        <v>36732</v>
      </c>
      <c r="M2654" t="s">
        <v>36733</v>
      </c>
      <c r="N2654" t="s">
        <v>36734</v>
      </c>
      <c r="O2654">
        <f>-803.028692063328 -104.482682912311 -515.56173845149</f>
        <v>-1423.0731134271291</v>
      </c>
      <c r="P2654">
        <f>-797.905384907247 -129.650074566469 -222.420875256203</f>
        <v>-1149.976334729919</v>
      </c>
      <c r="Q2654" t="s">
        <v>36735</v>
      </c>
      <c r="R2654" t="s">
        <v>36736</v>
      </c>
      <c r="S2654" t="s">
        <v>36737</v>
      </c>
      <c r="T2654" t="s">
        <v>36738</v>
      </c>
      <c r="U2654" t="s">
        <v>36739</v>
      </c>
      <c r="V2654">
        <f>-754.236053220577 -13.2584378413567 -91.7818958298679</f>
        <v>-859.27638689180162</v>
      </c>
      <c r="W2654" t="s">
        <v>36740</v>
      </c>
      <c r="X2654" t="s">
        <v>36741</v>
      </c>
      <c r="Y2654" t="s">
        <v>36742</v>
      </c>
    </row>
    <row r="2655" spans="1:25" x14ac:dyDescent="0.3">
      <c r="A2655">
        <v>132700</v>
      </c>
      <c r="B2655" t="s">
        <v>36743</v>
      </c>
      <c r="C2655" t="s">
        <v>36744</v>
      </c>
      <c r="D2655" t="s">
        <v>36745</v>
      </c>
      <c r="E2655" t="s">
        <v>36746</v>
      </c>
      <c r="F2655" t="s">
        <v>36747</v>
      </c>
      <c r="G2655" t="s">
        <v>36748</v>
      </c>
      <c r="H2655" t="s">
        <v>36749</v>
      </c>
      <c r="I2655" t="s">
        <v>36750</v>
      </c>
      <c r="J2655" t="s">
        <v>36751</v>
      </c>
      <c r="K2655" t="s">
        <v>36752</v>
      </c>
      <c r="L2655" t="s">
        <v>36753</v>
      </c>
      <c r="M2655" t="s">
        <v>36754</v>
      </c>
      <c r="N2655" t="s">
        <v>36755</v>
      </c>
      <c r="O2655">
        <f>-802.974938998546 -104.276921372763 -515.414447187482</f>
        <v>-1422.666307558791</v>
      </c>
      <c r="P2655">
        <f>-797.876676754469 -129.069626903802 -222.241169449995</f>
        <v>-1149.187473108266</v>
      </c>
      <c r="Q2655" t="s">
        <v>36756</v>
      </c>
      <c r="R2655" t="s">
        <v>36757</v>
      </c>
      <c r="S2655" t="s">
        <v>36758</v>
      </c>
      <c r="T2655" t="s">
        <v>36759</v>
      </c>
      <c r="U2655" t="s">
        <v>36760</v>
      </c>
      <c r="V2655">
        <f>-754.191765120333 -12.6520836734094 -91.8270805626406</f>
        <v>-858.670929356383</v>
      </c>
      <c r="W2655" t="s">
        <v>36761</v>
      </c>
      <c r="X2655" t="s">
        <v>36762</v>
      </c>
      <c r="Y2655" t="s">
        <v>36763</v>
      </c>
    </row>
    <row r="2656" spans="1:25" x14ac:dyDescent="0.3">
      <c r="A2656">
        <v>132750</v>
      </c>
      <c r="B2656" t="s">
        <v>36764</v>
      </c>
      <c r="C2656" t="s">
        <v>36765</v>
      </c>
      <c r="D2656" t="s">
        <v>36766</v>
      </c>
      <c r="E2656" t="s">
        <v>36767</v>
      </c>
      <c r="F2656" t="s">
        <v>36768</v>
      </c>
      <c r="G2656" t="s">
        <v>36769</v>
      </c>
      <c r="H2656" t="s">
        <v>36770</v>
      </c>
      <c r="I2656" t="s">
        <v>36771</v>
      </c>
      <c r="J2656" t="s">
        <v>36772</v>
      </c>
      <c r="K2656" t="s">
        <v>36773</v>
      </c>
      <c r="L2656" t="s">
        <v>36774</v>
      </c>
      <c r="M2656" t="s">
        <v>36775</v>
      </c>
      <c r="N2656" t="s">
        <v>36776</v>
      </c>
      <c r="O2656">
        <f>-802.977015882416 -104.186154581033 -515.379936085999</f>
        <v>-1422.5431065494481</v>
      </c>
      <c r="P2656">
        <f>-797.869369788462 -128.888652643729 -222.199291732975</f>
        <v>-1148.9573141651661</v>
      </c>
      <c r="Q2656" t="s">
        <v>36777</v>
      </c>
      <c r="R2656" t="s">
        <v>36778</v>
      </c>
      <c r="S2656" t="s">
        <v>36779</v>
      </c>
      <c r="T2656" t="s">
        <v>36780</v>
      </c>
      <c r="U2656" t="s">
        <v>36781</v>
      </c>
      <c r="V2656">
        <f>-754.223087425999 -12.5075013434221 -91.8253614979259</f>
        <v>-858.55595026734693</v>
      </c>
      <c r="W2656" t="s">
        <v>36782</v>
      </c>
      <c r="X2656" t="s">
        <v>36783</v>
      </c>
      <c r="Y2656" t="s">
        <v>36784</v>
      </c>
    </row>
    <row r="2657" spans="1:25" x14ac:dyDescent="0.3">
      <c r="A2657">
        <v>132800</v>
      </c>
      <c r="B2657" t="s">
        <v>36785</v>
      </c>
      <c r="C2657" t="s">
        <v>36786</v>
      </c>
      <c r="D2657" t="s">
        <v>36787</v>
      </c>
      <c r="E2657" t="s">
        <v>36788</v>
      </c>
      <c r="F2657" t="s">
        <v>36789</v>
      </c>
      <c r="G2657" t="s">
        <v>36790</v>
      </c>
      <c r="H2657" t="s">
        <v>36791</v>
      </c>
      <c r="I2657" t="s">
        <v>36792</v>
      </c>
      <c r="J2657" t="s">
        <v>36793</v>
      </c>
      <c r="K2657" t="s">
        <v>36794</v>
      </c>
      <c r="L2657" t="s">
        <v>36795</v>
      </c>
      <c r="M2657" t="s">
        <v>36796</v>
      </c>
      <c r="N2657" t="s">
        <v>36797</v>
      </c>
      <c r="O2657">
        <f>-803.060152918401 -104.026527472157 -515.342318675562</f>
        <v>-1422.42899906612</v>
      </c>
      <c r="P2657">
        <f>-798.094978880124 -128.704522011021 -222.157171999584</f>
        <v>-1148.9566728907291</v>
      </c>
      <c r="Q2657" t="s">
        <v>36798</v>
      </c>
      <c r="R2657" t="s">
        <v>36799</v>
      </c>
      <c r="S2657" t="s">
        <v>36800</v>
      </c>
      <c r="T2657" t="s">
        <v>36801</v>
      </c>
      <c r="U2657" t="s">
        <v>36802</v>
      </c>
      <c r="V2657">
        <f>-754.307782625907 -12.4271070009147 -91.8530161227135</f>
        <v>-858.58790574953514</v>
      </c>
      <c r="W2657" t="s">
        <v>36803</v>
      </c>
      <c r="X2657" t="s">
        <v>36804</v>
      </c>
      <c r="Y2657" t="s">
        <v>36805</v>
      </c>
    </row>
    <row r="2658" spans="1:25" x14ac:dyDescent="0.3">
      <c r="A2658">
        <v>132850</v>
      </c>
      <c r="B2658" t="s">
        <v>36806</v>
      </c>
      <c r="C2658" t="s">
        <v>36807</v>
      </c>
      <c r="D2658" t="s">
        <v>36808</v>
      </c>
      <c r="E2658" t="s">
        <v>36809</v>
      </c>
      <c r="F2658" t="s">
        <v>36810</v>
      </c>
      <c r="G2658" t="s">
        <v>36811</v>
      </c>
      <c r="H2658" t="s">
        <v>36812</v>
      </c>
      <c r="I2658" t="s">
        <v>36813</v>
      </c>
      <c r="J2658" t="s">
        <v>36814</v>
      </c>
      <c r="K2658" t="s">
        <v>36815</v>
      </c>
      <c r="L2658" t="s">
        <v>36816</v>
      </c>
      <c r="M2658" t="s">
        <v>36817</v>
      </c>
      <c r="N2658" t="s">
        <v>36818</v>
      </c>
      <c r="O2658">
        <f>-803.147942173667 -103.963979204705 -515.330148281712</f>
        <v>-1422.4420696600841</v>
      </c>
      <c r="P2658">
        <f>-798.215096194011 -128.601302262549 -222.14095506672</f>
        <v>-1148.9573535232801</v>
      </c>
      <c r="Q2658" t="s">
        <v>36819</v>
      </c>
      <c r="R2658" t="s">
        <v>36820</v>
      </c>
      <c r="S2658" t="s">
        <v>36821</v>
      </c>
      <c r="T2658" t="s">
        <v>36822</v>
      </c>
      <c r="U2658" t="s">
        <v>36823</v>
      </c>
      <c r="V2658">
        <f>-754.381504891981 -12.3707868028782 -91.8418572198011</f>
        <v>-858.59414891466031</v>
      </c>
      <c r="W2658" t="s">
        <v>36824</v>
      </c>
      <c r="X2658" t="s">
        <v>36825</v>
      </c>
      <c r="Y2658" t="s">
        <v>36826</v>
      </c>
    </row>
    <row r="2659" spans="1:25" x14ac:dyDescent="0.3">
      <c r="A2659">
        <v>132900</v>
      </c>
      <c r="B2659" t="s">
        <v>36827</v>
      </c>
      <c r="C2659" t="s">
        <v>36828</v>
      </c>
      <c r="D2659" t="s">
        <v>36829</v>
      </c>
      <c r="E2659" t="s">
        <v>36830</v>
      </c>
      <c r="F2659" t="s">
        <v>36831</v>
      </c>
      <c r="G2659" t="s">
        <v>36832</v>
      </c>
      <c r="H2659" t="s">
        <v>36833</v>
      </c>
      <c r="I2659" t="s">
        <v>36834</v>
      </c>
      <c r="J2659" t="s">
        <v>36835</v>
      </c>
      <c r="K2659" t="s">
        <v>36836</v>
      </c>
      <c r="L2659" t="s">
        <v>36837</v>
      </c>
      <c r="M2659" t="s">
        <v>36838</v>
      </c>
      <c r="N2659" t="s">
        <v>36839</v>
      </c>
      <c r="O2659">
        <f>-803.417156894887 -103.842479716403 -515.301225989207</f>
        <v>-1422.5608626004969</v>
      </c>
      <c r="P2659">
        <f>-798.533337232758 -128.454544637044 -222.109103562601</f>
        <v>-1149.096985432403</v>
      </c>
      <c r="Q2659" t="s">
        <v>36840</v>
      </c>
      <c r="R2659" t="s">
        <v>36841</v>
      </c>
      <c r="S2659" t="s">
        <v>36842</v>
      </c>
      <c r="T2659" t="s">
        <v>36843</v>
      </c>
      <c r="U2659" t="s">
        <v>36844</v>
      </c>
      <c r="V2659">
        <f>-754.60815050854 -12.237499858735 -91.8090287312784</f>
        <v>-858.6546790985534</v>
      </c>
      <c r="W2659" t="s">
        <v>36845</v>
      </c>
      <c r="X2659" t="s">
        <v>36846</v>
      </c>
      <c r="Y2659" t="s">
        <v>36847</v>
      </c>
    </row>
    <row r="2660" spans="1:25" x14ac:dyDescent="0.3">
      <c r="A2660">
        <v>132950</v>
      </c>
      <c r="B2660" t="s">
        <v>36848</v>
      </c>
      <c r="C2660" t="s">
        <v>36849</v>
      </c>
      <c r="D2660" t="s">
        <v>36850</v>
      </c>
      <c r="E2660" t="s">
        <v>36851</v>
      </c>
      <c r="F2660" t="s">
        <v>36852</v>
      </c>
      <c r="G2660" t="s">
        <v>36853</v>
      </c>
      <c r="H2660" t="s">
        <v>36854</v>
      </c>
      <c r="I2660" t="s">
        <v>36855</v>
      </c>
      <c r="J2660" t="s">
        <v>36856</v>
      </c>
      <c r="K2660" t="s">
        <v>36857</v>
      </c>
      <c r="L2660" t="s">
        <v>36858</v>
      </c>
      <c r="M2660" t="s">
        <v>36859</v>
      </c>
      <c r="N2660" t="s">
        <v>36860</v>
      </c>
      <c r="O2660">
        <f>-803.565057160567 -103.76468021066 -515.29759070134</f>
        <v>-1422.627328072567</v>
      </c>
      <c r="P2660">
        <f>-798.67913541243 -128.475622400422 -222.113879856496</f>
        <v>-1149.268637669348</v>
      </c>
      <c r="Q2660" t="s">
        <v>36861</v>
      </c>
      <c r="R2660" t="s">
        <v>36862</v>
      </c>
      <c r="S2660" t="s">
        <v>36863</v>
      </c>
      <c r="T2660" t="s">
        <v>36864</v>
      </c>
      <c r="U2660" t="s">
        <v>36865</v>
      </c>
      <c r="V2660">
        <f>-754.732666168195 -12.1600232423755 -91.7987496263901</f>
        <v>-858.69143903696056</v>
      </c>
      <c r="W2660" t="s">
        <v>36866</v>
      </c>
      <c r="X2660" t="s">
        <v>36867</v>
      </c>
      <c r="Y2660" t="s">
        <v>36868</v>
      </c>
    </row>
    <row r="2661" spans="1:25" x14ac:dyDescent="0.3">
      <c r="A2661">
        <v>133000</v>
      </c>
      <c r="B2661" t="s">
        <v>36869</v>
      </c>
      <c r="C2661" t="s">
        <v>36870</v>
      </c>
      <c r="D2661" t="s">
        <v>36871</v>
      </c>
      <c r="E2661" t="s">
        <v>36872</v>
      </c>
      <c r="F2661" t="s">
        <v>36873</v>
      </c>
      <c r="G2661" t="s">
        <v>36874</v>
      </c>
      <c r="H2661" t="s">
        <v>36875</v>
      </c>
      <c r="I2661" t="s">
        <v>36876</v>
      </c>
      <c r="J2661" t="s">
        <v>36877</v>
      </c>
      <c r="K2661" t="s">
        <v>36878</v>
      </c>
      <c r="L2661" t="s">
        <v>36879</v>
      </c>
      <c r="M2661" t="s">
        <v>36880</v>
      </c>
      <c r="N2661" t="s">
        <v>36881</v>
      </c>
      <c r="O2661">
        <f>-803.875215455485 -103.729653339599 -515.242645418207</f>
        <v>-1422.8475142132911</v>
      </c>
      <c r="P2661">
        <f>-799.067191936989 -128.469987352147 -222.060015799703</f>
        <v>-1149.597195088839</v>
      </c>
      <c r="Q2661" t="s">
        <v>36882</v>
      </c>
      <c r="R2661" t="s">
        <v>36883</v>
      </c>
      <c r="S2661" t="s">
        <v>36884</v>
      </c>
      <c r="T2661" t="s">
        <v>36885</v>
      </c>
      <c r="U2661" t="s">
        <v>36886</v>
      </c>
      <c r="V2661">
        <f>-754.99200762986 -12.1341834230604 -91.7493266208705</f>
        <v>-858.87551767379102</v>
      </c>
      <c r="W2661" t="s">
        <v>36887</v>
      </c>
      <c r="X2661" t="s">
        <v>36888</v>
      </c>
      <c r="Y2661" t="s">
        <v>36889</v>
      </c>
    </row>
    <row r="2662" spans="1:25" x14ac:dyDescent="0.3">
      <c r="A2662">
        <v>133050</v>
      </c>
      <c r="B2662" t="s">
        <v>36890</v>
      </c>
      <c r="C2662" t="s">
        <v>36891</v>
      </c>
      <c r="D2662" t="s">
        <v>36892</v>
      </c>
      <c r="E2662" t="s">
        <v>36893</v>
      </c>
      <c r="F2662" t="s">
        <v>36894</v>
      </c>
      <c r="G2662" t="s">
        <v>36895</v>
      </c>
      <c r="H2662" t="s">
        <v>36896</v>
      </c>
      <c r="I2662" t="s">
        <v>36897</v>
      </c>
      <c r="J2662" t="s">
        <v>36898</v>
      </c>
      <c r="K2662" t="s">
        <v>36899</v>
      </c>
      <c r="L2662" t="s">
        <v>36900</v>
      </c>
      <c r="M2662" t="s">
        <v>36901</v>
      </c>
      <c r="N2662" t="s">
        <v>36902</v>
      </c>
      <c r="O2662">
        <f>-804.033864548807 -103.768042537971 -515.188391827331</f>
        <v>-1422.990298914109</v>
      </c>
      <c r="P2662">
        <f>-799.274204177169 -128.489706471527 -222.003428427955</f>
        <v>-1149.7673390766511</v>
      </c>
      <c r="Q2662" t="s">
        <v>36903</v>
      </c>
      <c r="R2662" t="s">
        <v>36904</v>
      </c>
      <c r="S2662" t="s">
        <v>36905</v>
      </c>
      <c r="T2662" t="s">
        <v>36906</v>
      </c>
      <c r="U2662" t="s">
        <v>36907</v>
      </c>
      <c r="V2662">
        <f>-755.080051133833 -12.1524381116512 -91.7308984239193</f>
        <v>-858.96338766940346</v>
      </c>
      <c r="W2662" t="s">
        <v>36908</v>
      </c>
      <c r="X2662" t="s">
        <v>36909</v>
      </c>
      <c r="Y2662" t="s">
        <v>36910</v>
      </c>
    </row>
    <row r="2663" spans="1:25" x14ac:dyDescent="0.3">
      <c r="A2663">
        <v>133100</v>
      </c>
      <c r="B2663" t="s">
        <v>36911</v>
      </c>
      <c r="C2663" t="s">
        <v>36912</v>
      </c>
      <c r="D2663" t="s">
        <v>36913</v>
      </c>
      <c r="E2663" t="s">
        <v>36914</v>
      </c>
      <c r="F2663" t="s">
        <v>36915</v>
      </c>
      <c r="G2663" t="s">
        <v>36916</v>
      </c>
      <c r="H2663" t="s">
        <v>36917</v>
      </c>
      <c r="I2663" t="s">
        <v>36918</v>
      </c>
      <c r="J2663" t="s">
        <v>36919</v>
      </c>
      <c r="K2663" t="s">
        <v>36920</v>
      </c>
      <c r="L2663" t="s">
        <v>36921</v>
      </c>
      <c r="M2663" t="s">
        <v>36922</v>
      </c>
      <c r="N2663" t="s">
        <v>36923</v>
      </c>
      <c r="O2663">
        <f>-804.209137880595 -103.951375338484 -515.083956654258</f>
        <v>-1423.244469873337</v>
      </c>
      <c r="P2663">
        <f>-799.629032914665 -128.577990782857 -221.888197342258</f>
        <v>-1150.09522103978</v>
      </c>
      <c r="Q2663" t="s">
        <v>36924</v>
      </c>
      <c r="R2663" t="s">
        <v>36925</v>
      </c>
      <c r="S2663" t="s">
        <v>36926</v>
      </c>
      <c r="T2663" t="s">
        <v>36927</v>
      </c>
      <c r="U2663" t="s">
        <v>36928</v>
      </c>
      <c r="V2663">
        <f>-755.086917326091 -12.3580531337864 -91.6822646743091</f>
        <v>-859.12723513418644</v>
      </c>
      <c r="W2663" t="s">
        <v>36929</v>
      </c>
      <c r="X2663" t="s">
        <v>36930</v>
      </c>
      <c r="Y2663" t="s">
        <v>36931</v>
      </c>
    </row>
    <row r="2664" spans="1:25" x14ac:dyDescent="0.3">
      <c r="A2664">
        <v>133150</v>
      </c>
      <c r="B2664" t="s">
        <v>36932</v>
      </c>
      <c r="C2664" t="s">
        <v>36933</v>
      </c>
      <c r="D2664" t="s">
        <v>36934</v>
      </c>
      <c r="E2664" t="s">
        <v>36935</v>
      </c>
      <c r="F2664" t="s">
        <v>36936</v>
      </c>
      <c r="G2664" t="s">
        <v>36937</v>
      </c>
      <c r="H2664" t="s">
        <v>36938</v>
      </c>
      <c r="I2664" t="s">
        <v>36939</v>
      </c>
      <c r="J2664" t="s">
        <v>36940</v>
      </c>
      <c r="K2664" t="s">
        <v>36941</v>
      </c>
      <c r="L2664" t="s">
        <v>36942</v>
      </c>
      <c r="M2664" t="s">
        <v>36943</v>
      </c>
      <c r="N2664" t="s">
        <v>36944</v>
      </c>
      <c r="O2664">
        <f>-804.186084886089 -103.934149123809 -515.04779527832</f>
        <v>-1423.1680292882179</v>
      </c>
      <c r="P2664">
        <f>-799.611235075378 -128.516929982656 -221.848279553086</f>
        <v>-1149.9764446111201</v>
      </c>
      <c r="Q2664" t="s">
        <v>36945</v>
      </c>
      <c r="R2664" t="s">
        <v>36946</v>
      </c>
      <c r="S2664" t="s">
        <v>36947</v>
      </c>
      <c r="T2664" t="s">
        <v>36948</v>
      </c>
      <c r="U2664" t="s">
        <v>36949</v>
      </c>
      <c r="V2664">
        <f>-754.993098195791 -12.2664415894976 -91.6724456518438</f>
        <v>-858.93198543713243</v>
      </c>
      <c r="W2664" t="s">
        <v>36950</v>
      </c>
      <c r="X2664" t="s">
        <v>36951</v>
      </c>
      <c r="Y2664" t="s">
        <v>36952</v>
      </c>
    </row>
    <row r="2665" spans="1:25" x14ac:dyDescent="0.3">
      <c r="A2665">
        <v>133200</v>
      </c>
      <c r="B2665" t="s">
        <v>36953</v>
      </c>
      <c r="C2665" t="s">
        <v>36954</v>
      </c>
      <c r="D2665" t="s">
        <v>36955</v>
      </c>
      <c r="E2665" t="s">
        <v>36956</v>
      </c>
      <c r="F2665" t="s">
        <v>36957</v>
      </c>
      <c r="G2665" t="s">
        <v>36958</v>
      </c>
      <c r="H2665" t="s">
        <v>36959</v>
      </c>
      <c r="I2665" t="s">
        <v>36960</v>
      </c>
      <c r="J2665" t="s">
        <v>36961</v>
      </c>
      <c r="K2665" t="s">
        <v>36962</v>
      </c>
      <c r="L2665" t="s">
        <v>36963</v>
      </c>
      <c r="M2665" t="s">
        <v>36964</v>
      </c>
      <c r="N2665" t="s">
        <v>36965</v>
      </c>
      <c r="O2665">
        <f>-804.100722544162 -103.808473087773 -514.947304108959</f>
        <v>-1422.8564997408939</v>
      </c>
      <c r="P2665">
        <f>-799.427294570512 -128.304654404016 -221.742106368464</f>
        <v>-1149.474055342992</v>
      </c>
      <c r="Q2665" t="s">
        <v>36966</v>
      </c>
      <c r="R2665" t="s">
        <v>36967</v>
      </c>
      <c r="S2665" t="s">
        <v>36968</v>
      </c>
      <c r="T2665" t="s">
        <v>36969</v>
      </c>
      <c r="U2665" t="s">
        <v>36970</v>
      </c>
      <c r="V2665">
        <f>-754.919004875878 -12.1724911384117 -91.649837433215</f>
        <v>-858.74133344750476</v>
      </c>
      <c r="W2665" t="s">
        <v>36971</v>
      </c>
      <c r="X2665" t="s">
        <v>36972</v>
      </c>
      <c r="Y2665" t="s">
        <v>36973</v>
      </c>
    </row>
    <row r="2666" spans="1:25" x14ac:dyDescent="0.3">
      <c r="A2666">
        <v>133250</v>
      </c>
      <c r="B2666" t="s">
        <v>36974</v>
      </c>
      <c r="C2666" t="s">
        <v>36975</v>
      </c>
      <c r="D2666" t="s">
        <v>36976</v>
      </c>
      <c r="E2666" t="s">
        <v>36977</v>
      </c>
      <c r="F2666" t="s">
        <v>36978</v>
      </c>
      <c r="G2666" t="s">
        <v>36979</v>
      </c>
      <c r="H2666" t="s">
        <v>36980</v>
      </c>
      <c r="I2666" t="s">
        <v>36981</v>
      </c>
      <c r="J2666" t="s">
        <v>36982</v>
      </c>
      <c r="K2666" t="s">
        <v>36983</v>
      </c>
      <c r="L2666" t="s">
        <v>36984</v>
      </c>
      <c r="M2666" t="s">
        <v>36985</v>
      </c>
      <c r="N2666" t="s">
        <v>36986</v>
      </c>
      <c r="O2666">
        <f>-804.018645311893 -103.785588563785 -514.891717252921</f>
        <v>-1422.6959511285991</v>
      </c>
      <c r="P2666">
        <f>-799.308324240372 -128.262124821242 -221.685355880161</f>
        <v>-1149.2558049417751</v>
      </c>
      <c r="Q2666" t="s">
        <v>36987</v>
      </c>
      <c r="R2666" t="s">
        <v>36988</v>
      </c>
      <c r="S2666" t="s">
        <v>36989</v>
      </c>
      <c r="T2666" t="s">
        <v>36990</v>
      </c>
      <c r="U2666" t="s">
        <v>36991</v>
      </c>
      <c r="V2666">
        <f>-754.852105209626 -12.1593678846241 -91.6380169736781</f>
        <v>-858.64949006792813</v>
      </c>
      <c r="W2666" t="s">
        <v>36992</v>
      </c>
      <c r="X2666" t="s">
        <v>36993</v>
      </c>
      <c r="Y2666" t="s">
        <v>36994</v>
      </c>
    </row>
    <row r="2667" spans="1:25" x14ac:dyDescent="0.3">
      <c r="A2667">
        <v>133300</v>
      </c>
      <c r="B2667" t="s">
        <v>36995</v>
      </c>
      <c r="C2667" t="s">
        <v>36996</v>
      </c>
      <c r="D2667" t="s">
        <v>36997</v>
      </c>
      <c r="E2667" t="s">
        <v>36998</v>
      </c>
      <c r="F2667" t="s">
        <v>36999</v>
      </c>
      <c r="G2667" t="s">
        <v>37000</v>
      </c>
      <c r="H2667" t="s">
        <v>37001</v>
      </c>
      <c r="I2667" t="s">
        <v>37002</v>
      </c>
      <c r="J2667" t="s">
        <v>37003</v>
      </c>
      <c r="K2667" t="s">
        <v>37004</v>
      </c>
      <c r="L2667" t="s">
        <v>37005</v>
      </c>
      <c r="M2667" t="s">
        <v>37006</v>
      </c>
      <c r="N2667" t="s">
        <v>37007</v>
      </c>
      <c r="O2667">
        <f>-803.017432825289 -103.684938664871 -514.862448273031</f>
        <v>-1421.5648197631908</v>
      </c>
      <c r="P2667">
        <f>-798.457317983374 -128.180603271611 -221.655258603318</f>
        <v>-1148.2931798583031</v>
      </c>
      <c r="Q2667" t="s">
        <v>37008</v>
      </c>
      <c r="R2667" t="s">
        <v>37009</v>
      </c>
      <c r="S2667" t="s">
        <v>37010</v>
      </c>
      <c r="T2667" t="s">
        <v>37011</v>
      </c>
      <c r="U2667" t="s">
        <v>37012</v>
      </c>
      <c r="V2667">
        <f>-754.799534581909 -12.0224189326282 -91.6034271806332</f>
        <v>-858.42538069517036</v>
      </c>
      <c r="W2667" t="s">
        <v>37013</v>
      </c>
      <c r="X2667" t="s">
        <v>37014</v>
      </c>
      <c r="Y2667" t="s">
        <v>37015</v>
      </c>
    </row>
    <row r="2668" spans="1:25" x14ac:dyDescent="0.3">
      <c r="A2668">
        <v>133350</v>
      </c>
      <c r="B2668" t="s">
        <v>37016</v>
      </c>
      <c r="C2668" t="s">
        <v>37017</v>
      </c>
      <c r="D2668" t="s">
        <v>37018</v>
      </c>
      <c r="E2668" t="s">
        <v>37019</v>
      </c>
      <c r="F2668" t="s">
        <v>37020</v>
      </c>
      <c r="G2668" t="s">
        <v>37021</v>
      </c>
      <c r="H2668" t="s">
        <v>37022</v>
      </c>
      <c r="I2668" t="s">
        <v>37023</v>
      </c>
      <c r="J2668" t="s">
        <v>37024</v>
      </c>
      <c r="K2668" t="s">
        <v>37025</v>
      </c>
      <c r="L2668" t="s">
        <v>37026</v>
      </c>
      <c r="M2668" t="s">
        <v>37027</v>
      </c>
      <c r="N2668" t="s">
        <v>37028</v>
      </c>
      <c r="O2668">
        <f>-802.583131539 -103.603455205435 -514.886943897398</f>
        <v>-1421.073530641833</v>
      </c>
      <c r="P2668">
        <f>-798.139384276037 -128.204473290398 -221.687044797187</f>
        <v>-1148.0309023636221</v>
      </c>
      <c r="Q2668" t="s">
        <v>37029</v>
      </c>
      <c r="R2668" t="s">
        <v>37030</v>
      </c>
      <c r="S2668" t="s">
        <v>37031</v>
      </c>
      <c r="T2668" t="s">
        <v>37032</v>
      </c>
      <c r="U2668" t="s">
        <v>37033</v>
      </c>
      <c r="V2668">
        <f>-754.768610972789 -12.0745364076911 -91.5960878278428</f>
        <v>-858.43923520832288</v>
      </c>
      <c r="W2668" t="s">
        <v>37034</v>
      </c>
      <c r="X2668" t="s">
        <v>37035</v>
      </c>
      <c r="Y2668" t="s">
        <v>37036</v>
      </c>
    </row>
    <row r="2669" spans="1:25" x14ac:dyDescent="0.3">
      <c r="A2669">
        <v>133400</v>
      </c>
      <c r="B2669" t="s">
        <v>37037</v>
      </c>
      <c r="C2669" t="s">
        <v>37038</v>
      </c>
      <c r="D2669" t="s">
        <v>37039</v>
      </c>
      <c r="E2669" t="s">
        <v>37040</v>
      </c>
      <c r="F2669" t="s">
        <v>37041</v>
      </c>
      <c r="G2669" t="s">
        <v>37042</v>
      </c>
      <c r="H2669" t="s">
        <v>37043</v>
      </c>
      <c r="I2669" t="s">
        <v>37044</v>
      </c>
      <c r="J2669" t="s">
        <v>37045</v>
      </c>
      <c r="K2669" t="s">
        <v>37046</v>
      </c>
      <c r="L2669" t="s">
        <v>37047</v>
      </c>
      <c r="M2669" t="s">
        <v>37048</v>
      </c>
      <c r="N2669" t="s">
        <v>37049</v>
      </c>
      <c r="O2669">
        <f>-802.337764856231 -103.322295086848 -514.809157132306</f>
        <v>-1420.4692170753851</v>
      </c>
      <c r="P2669">
        <f>-798.039067309513 -127.778485358561 -221.594773999015</f>
        <v>-1147.412326667089</v>
      </c>
      <c r="Q2669" t="s">
        <v>37050</v>
      </c>
      <c r="R2669" t="s">
        <v>37051</v>
      </c>
      <c r="S2669" t="s">
        <v>37052</v>
      </c>
      <c r="T2669" t="s">
        <v>37053</v>
      </c>
      <c r="U2669" t="s">
        <v>37054</v>
      </c>
      <c r="V2669">
        <f>-754.605953796539 -11.7997508299982 -91.6222249755635</f>
        <v>-858.0279296021007</v>
      </c>
      <c r="W2669" t="s">
        <v>37055</v>
      </c>
      <c r="X2669" t="s">
        <v>37056</v>
      </c>
      <c r="Y2669" t="s">
        <v>37057</v>
      </c>
    </row>
    <row r="2670" spans="1:25" x14ac:dyDescent="0.3">
      <c r="A2670">
        <v>133450</v>
      </c>
      <c r="B2670" t="s">
        <v>37058</v>
      </c>
      <c r="C2670" t="s">
        <v>37059</v>
      </c>
      <c r="D2670" t="s">
        <v>37060</v>
      </c>
      <c r="E2670" t="s">
        <v>37061</v>
      </c>
      <c r="F2670" t="s">
        <v>37062</v>
      </c>
      <c r="G2670" t="s">
        <v>37063</v>
      </c>
      <c r="H2670" t="s">
        <v>37064</v>
      </c>
      <c r="I2670" t="s">
        <v>37065</v>
      </c>
      <c r="J2670" t="s">
        <v>37066</v>
      </c>
      <c r="K2670" t="s">
        <v>37067</v>
      </c>
      <c r="L2670" t="s">
        <v>37068</v>
      </c>
      <c r="M2670" t="s">
        <v>37069</v>
      </c>
      <c r="N2670" t="s">
        <v>37070</v>
      </c>
      <c r="O2670">
        <f>-802.345717351126 -103.182669626067 -514.733847513971</f>
        <v>-1420.262234491164</v>
      </c>
      <c r="P2670">
        <f>-798.075358157621 -127.405216551646 -221.499741686205</f>
        <v>-1146.9803163954721</v>
      </c>
      <c r="Q2670" t="s">
        <v>37071</v>
      </c>
      <c r="R2670" t="s">
        <v>37072</v>
      </c>
      <c r="S2670" t="s">
        <v>37073</v>
      </c>
      <c r="T2670" t="s">
        <v>37074</v>
      </c>
      <c r="U2670" t="s">
        <v>37075</v>
      </c>
      <c r="V2670">
        <f>-754.485489742439 -11.4287456091906 -91.6376295146877</f>
        <v>-857.55186486631726</v>
      </c>
      <c r="W2670" t="s">
        <v>37076</v>
      </c>
      <c r="X2670" t="s">
        <v>37077</v>
      </c>
      <c r="Y2670" t="s">
        <v>37078</v>
      </c>
    </row>
    <row r="2671" spans="1:25" x14ac:dyDescent="0.3">
      <c r="A2671">
        <v>133500</v>
      </c>
      <c r="B2671" t="s">
        <v>37079</v>
      </c>
      <c r="C2671" t="s">
        <v>37080</v>
      </c>
      <c r="D2671" t="s">
        <v>37081</v>
      </c>
      <c r="E2671" t="s">
        <v>37082</v>
      </c>
      <c r="F2671" t="s">
        <v>37083</v>
      </c>
      <c r="G2671" t="s">
        <v>37084</v>
      </c>
      <c r="H2671" t="s">
        <v>37085</v>
      </c>
      <c r="I2671" t="s">
        <v>37086</v>
      </c>
      <c r="J2671" t="s">
        <v>37087</v>
      </c>
      <c r="K2671" t="s">
        <v>37088</v>
      </c>
      <c r="L2671" t="s">
        <v>37089</v>
      </c>
      <c r="M2671" t="s">
        <v>37090</v>
      </c>
      <c r="N2671" t="s">
        <v>37091</v>
      </c>
      <c r="O2671">
        <f>-802.505166897626 -103.006352563106 -514.667579863477</f>
        <v>-1420.1790993242091</v>
      </c>
      <c r="P2671">
        <f>-798.11186763193 -127.187693281962 -221.431811475033</f>
        <v>-1146.7313723889249</v>
      </c>
      <c r="Q2671" t="s">
        <v>37092</v>
      </c>
      <c r="R2671" t="s">
        <v>37093</v>
      </c>
      <c r="S2671" t="s">
        <v>37094</v>
      </c>
      <c r="T2671" t="s">
        <v>37095</v>
      </c>
      <c r="U2671" t="s">
        <v>37096</v>
      </c>
      <c r="V2671">
        <f>-754.217300839071 -11.2513455849969 -91.6861530562824</f>
        <v>-857.15479948035022</v>
      </c>
      <c r="W2671" t="s">
        <v>37097</v>
      </c>
      <c r="X2671" t="s">
        <v>37098</v>
      </c>
      <c r="Y2671" t="s">
        <v>37099</v>
      </c>
    </row>
    <row r="2672" spans="1:25" x14ac:dyDescent="0.3">
      <c r="A2672">
        <v>133550</v>
      </c>
      <c r="B2672" t="s">
        <v>37100</v>
      </c>
      <c r="C2672" t="s">
        <v>37101</v>
      </c>
      <c r="D2672" t="s">
        <v>37102</v>
      </c>
      <c r="E2672" t="s">
        <v>37103</v>
      </c>
      <c r="F2672" t="s">
        <v>37104</v>
      </c>
      <c r="G2672" t="s">
        <v>37105</v>
      </c>
      <c r="H2672" t="s">
        <v>37106</v>
      </c>
      <c r="I2672" t="s">
        <v>37107</v>
      </c>
      <c r="J2672" t="s">
        <v>37108</v>
      </c>
      <c r="K2672" t="s">
        <v>37109</v>
      </c>
      <c r="L2672" t="s">
        <v>37110</v>
      </c>
      <c r="M2672" t="s">
        <v>37111</v>
      </c>
      <c r="N2672" t="s">
        <v>37112</v>
      </c>
      <c r="O2672">
        <f>-802.156214103465 -102.969092001302 -514.679705302587</f>
        <v>-1419.805011407354</v>
      </c>
      <c r="P2672">
        <f>-797.840756395492 -127.082413056869 -221.437379295031</f>
        <v>-1146.3605487473919</v>
      </c>
      <c r="Q2672" t="s">
        <v>37113</v>
      </c>
      <c r="R2672" t="s">
        <v>37114</v>
      </c>
      <c r="S2672" t="s">
        <v>37115</v>
      </c>
      <c r="T2672" t="s">
        <v>37116</v>
      </c>
      <c r="U2672" t="s">
        <v>37117</v>
      </c>
      <c r="V2672">
        <f>-754.144784087153 -11.2236195651681 -91.6981608681665</f>
        <v>-857.06656452048753</v>
      </c>
      <c r="W2672" t="s">
        <v>37118</v>
      </c>
      <c r="X2672" t="s">
        <v>37119</v>
      </c>
      <c r="Y2672" t="s">
        <v>37120</v>
      </c>
    </row>
    <row r="2673" spans="1:25" x14ac:dyDescent="0.3">
      <c r="A2673">
        <v>133600</v>
      </c>
      <c r="B2673" t="s">
        <v>37121</v>
      </c>
      <c r="C2673" t="s">
        <v>37122</v>
      </c>
      <c r="D2673" t="s">
        <v>37123</v>
      </c>
      <c r="E2673" t="s">
        <v>37124</v>
      </c>
      <c r="F2673" t="s">
        <v>37125</v>
      </c>
      <c r="G2673" t="s">
        <v>37126</v>
      </c>
      <c r="H2673" t="s">
        <v>37127</v>
      </c>
      <c r="I2673" t="s">
        <v>37128</v>
      </c>
      <c r="J2673" t="s">
        <v>37129</v>
      </c>
      <c r="K2673" t="s">
        <v>37130</v>
      </c>
      <c r="L2673" t="s">
        <v>37131</v>
      </c>
      <c r="M2673" t="s">
        <v>37132</v>
      </c>
      <c r="N2673" t="s">
        <v>37133</v>
      </c>
      <c r="O2673">
        <f>-801.53253502711 -102.706501001656 -514.718904925956</f>
        <v>-1418.9579409547221</v>
      </c>
      <c r="P2673">
        <f>-797.303487838249 -126.810711396549 -221.474392837734</f>
        <v>-1145.588592072532</v>
      </c>
      <c r="Q2673" t="s">
        <v>37134</v>
      </c>
      <c r="R2673" t="s">
        <v>37135</v>
      </c>
      <c r="S2673" t="s">
        <v>37136</v>
      </c>
      <c r="T2673" t="s">
        <v>37137</v>
      </c>
      <c r="U2673" t="s">
        <v>37138</v>
      </c>
      <c r="V2673">
        <f>-753.831722637168 -10.8603304892747 -91.7276821015744</f>
        <v>-856.41973522801709</v>
      </c>
      <c r="W2673" t="s">
        <v>37139</v>
      </c>
      <c r="X2673" t="s">
        <v>37140</v>
      </c>
      <c r="Y2673" t="s">
        <v>37141</v>
      </c>
    </row>
    <row r="2674" spans="1:25" x14ac:dyDescent="0.3">
      <c r="A2674">
        <v>133650</v>
      </c>
      <c r="B2674" t="s">
        <v>37142</v>
      </c>
      <c r="C2674" t="s">
        <v>37143</v>
      </c>
      <c r="D2674" t="s">
        <v>37144</v>
      </c>
      <c r="E2674" t="s">
        <v>37145</v>
      </c>
      <c r="F2674" t="s">
        <v>37146</v>
      </c>
      <c r="G2674" t="s">
        <v>37147</v>
      </c>
      <c r="H2674" t="s">
        <v>37148</v>
      </c>
      <c r="I2674" t="s">
        <v>37149</v>
      </c>
      <c r="J2674" t="s">
        <v>37150</v>
      </c>
      <c r="K2674" t="s">
        <v>37151</v>
      </c>
      <c r="L2674" t="s">
        <v>37152</v>
      </c>
      <c r="M2674" t="s">
        <v>37153</v>
      </c>
      <c r="N2674" t="s">
        <v>37154</v>
      </c>
      <c r="O2674">
        <f>-801.153521925093 -102.515198727448 -514.732297991257</f>
        <v>-1418.4010186437981</v>
      </c>
      <c r="P2674">
        <f>-797.036186883387 -126.608115122786 -221.485257745507</f>
        <v>-1145.1295597516801</v>
      </c>
      <c r="Q2674" t="s">
        <v>37155</v>
      </c>
      <c r="R2674" t="s">
        <v>37156</v>
      </c>
      <c r="S2674" t="s">
        <v>37157</v>
      </c>
      <c r="T2674" t="s">
        <v>37158</v>
      </c>
      <c r="U2674" t="s">
        <v>37159</v>
      </c>
      <c r="V2674">
        <f>-753.654911630618 -10.7356228136791 -91.7416086807041</f>
        <v>-856.13214312500122</v>
      </c>
      <c r="W2674" t="s">
        <v>37160</v>
      </c>
      <c r="X2674" t="s">
        <v>37161</v>
      </c>
      <c r="Y2674" t="s">
        <v>37162</v>
      </c>
    </row>
    <row r="2675" spans="1:25" x14ac:dyDescent="0.3">
      <c r="A2675">
        <v>133700</v>
      </c>
      <c r="B2675" t="s">
        <v>37163</v>
      </c>
      <c r="C2675" t="s">
        <v>37164</v>
      </c>
      <c r="D2675" t="s">
        <v>37165</v>
      </c>
      <c r="E2675" t="s">
        <v>37166</v>
      </c>
      <c r="F2675" t="s">
        <v>37167</v>
      </c>
      <c r="G2675" t="s">
        <v>37168</v>
      </c>
      <c r="H2675" t="s">
        <v>37169</v>
      </c>
      <c r="I2675" t="s">
        <v>37170</v>
      </c>
      <c r="J2675" t="s">
        <v>37171</v>
      </c>
      <c r="K2675" t="s">
        <v>37172</v>
      </c>
      <c r="L2675" t="s">
        <v>37173</v>
      </c>
      <c r="M2675" t="s">
        <v>37174</v>
      </c>
      <c r="N2675" t="s">
        <v>37175</v>
      </c>
      <c r="O2675">
        <f>-800.999179191812 -102.298976829271 -514.687988041174</f>
        <v>-1417.9861440622572</v>
      </c>
      <c r="P2675">
        <f>-796.714390899479 -126.378070079686 -221.44224923431</f>
        <v>-1144.5347102134751</v>
      </c>
      <c r="Q2675" t="s">
        <v>37176</v>
      </c>
      <c r="R2675" t="s">
        <v>37177</v>
      </c>
      <c r="S2675" t="s">
        <v>37178</v>
      </c>
      <c r="T2675" t="s">
        <v>37179</v>
      </c>
      <c r="U2675" t="s">
        <v>37180</v>
      </c>
      <c r="V2675">
        <f>-753.344663211872 -10.6853571877537 -91.7349218166567</f>
        <v>-855.76494221628229</v>
      </c>
      <c r="W2675" t="s">
        <v>37181</v>
      </c>
      <c r="X2675" t="s">
        <v>37182</v>
      </c>
      <c r="Y2675" t="s">
        <v>37183</v>
      </c>
    </row>
    <row r="2676" spans="1:25" x14ac:dyDescent="0.3">
      <c r="A2676">
        <v>133750</v>
      </c>
      <c r="B2676" t="s">
        <v>37184</v>
      </c>
      <c r="C2676" t="s">
        <v>37185</v>
      </c>
      <c r="D2676" t="s">
        <v>37186</v>
      </c>
      <c r="E2676" t="s">
        <v>37187</v>
      </c>
      <c r="F2676" t="s">
        <v>37188</v>
      </c>
      <c r="G2676" t="s">
        <v>37189</v>
      </c>
      <c r="H2676" t="s">
        <v>37190</v>
      </c>
      <c r="I2676" t="s">
        <v>37191</v>
      </c>
      <c r="J2676" t="s">
        <v>37192</v>
      </c>
      <c r="K2676" t="s">
        <v>37193</v>
      </c>
      <c r="L2676" t="s">
        <v>37194</v>
      </c>
      <c r="M2676" t="s">
        <v>37195</v>
      </c>
      <c r="N2676" t="s">
        <v>37196</v>
      </c>
      <c r="O2676">
        <f>-800.921074899258 -102.261987873834 -514.677813709876</f>
        <v>-1417.8608764829678</v>
      </c>
      <c r="P2676">
        <f>-796.627395385801 -126.230777450341 -221.423226767983</f>
        <v>-1144.281399604125</v>
      </c>
      <c r="Q2676" t="s">
        <v>37197</v>
      </c>
      <c r="R2676" t="s">
        <v>37198</v>
      </c>
      <c r="S2676" t="s">
        <v>37199</v>
      </c>
      <c r="T2676" t="s">
        <v>37200</v>
      </c>
      <c r="U2676" t="s">
        <v>37201</v>
      </c>
      <c r="V2676">
        <f>-753.254134508692 -10.7100087743338 -91.7470134447822</f>
        <v>-855.71115672780797</v>
      </c>
      <c r="W2676" t="s">
        <v>37202</v>
      </c>
      <c r="X2676" t="s">
        <v>37203</v>
      </c>
      <c r="Y2676" t="s">
        <v>37204</v>
      </c>
    </row>
    <row r="2677" spans="1:25" x14ac:dyDescent="0.3">
      <c r="A2677">
        <v>133800</v>
      </c>
      <c r="B2677" t="s">
        <v>37205</v>
      </c>
      <c r="C2677" t="s">
        <v>37206</v>
      </c>
      <c r="D2677" t="s">
        <v>37207</v>
      </c>
      <c r="E2677" t="s">
        <v>37208</v>
      </c>
      <c r="F2677" t="s">
        <v>37209</v>
      </c>
      <c r="G2677" t="s">
        <v>37210</v>
      </c>
      <c r="H2677" t="s">
        <v>37211</v>
      </c>
      <c r="I2677" t="s">
        <v>37212</v>
      </c>
      <c r="J2677" t="s">
        <v>37213</v>
      </c>
      <c r="K2677" t="s">
        <v>37214</v>
      </c>
      <c r="L2677" t="s">
        <v>37215</v>
      </c>
      <c r="M2677" t="s">
        <v>37216</v>
      </c>
      <c r="N2677" t="s">
        <v>37217</v>
      </c>
      <c r="O2677">
        <f>-800.561447307768 -102.157022590563 -514.617923192202</f>
        <v>-1417.336393090533</v>
      </c>
      <c r="P2677">
        <f>-796.213765382855 -126.086741213201 -221.360923246827</f>
        <v>-1143.6614298428829</v>
      </c>
      <c r="Q2677" t="s">
        <v>37218</v>
      </c>
      <c r="R2677" t="s">
        <v>37219</v>
      </c>
      <c r="S2677" t="s">
        <v>37220</v>
      </c>
      <c r="T2677" t="s">
        <v>37221</v>
      </c>
      <c r="U2677" t="s">
        <v>37222</v>
      </c>
      <c r="V2677">
        <f>-752.972257995843 -10.4293047954297 -91.7607831647628</f>
        <v>-855.16234595603555</v>
      </c>
      <c r="W2677" t="s">
        <v>37223</v>
      </c>
      <c r="X2677" t="s">
        <v>37224</v>
      </c>
      <c r="Y2677" t="s">
        <v>37225</v>
      </c>
    </row>
    <row r="2678" spans="1:25" x14ac:dyDescent="0.3">
      <c r="A2678">
        <v>133850</v>
      </c>
      <c r="B2678" t="s">
        <v>37226</v>
      </c>
      <c r="C2678" t="s">
        <v>37227</v>
      </c>
      <c r="D2678" t="s">
        <v>37228</v>
      </c>
      <c r="E2678" t="s">
        <v>37229</v>
      </c>
      <c r="F2678" t="s">
        <v>37230</v>
      </c>
      <c r="G2678" t="s">
        <v>37231</v>
      </c>
      <c r="H2678" t="s">
        <v>37232</v>
      </c>
      <c r="I2678" t="s">
        <v>37233</v>
      </c>
      <c r="J2678" t="s">
        <v>37234</v>
      </c>
      <c r="K2678" t="s">
        <v>37235</v>
      </c>
      <c r="L2678" t="s">
        <v>37236</v>
      </c>
      <c r="M2678" t="s">
        <v>37237</v>
      </c>
      <c r="N2678" t="s">
        <v>37238</v>
      </c>
      <c r="O2678">
        <f>-800.429632348635 -102.157948722086 -514.559216684459</f>
        <v>-1417.1467977551799</v>
      </c>
      <c r="P2678">
        <f>-796.041715607757 -126.020510972986 -221.297320303206</f>
        <v>-1143.359546883949</v>
      </c>
      <c r="Q2678" t="s">
        <v>37239</v>
      </c>
      <c r="R2678" t="s">
        <v>37240</v>
      </c>
      <c r="S2678" t="s">
        <v>37241</v>
      </c>
      <c r="T2678" t="s">
        <v>37242</v>
      </c>
      <c r="U2678" t="s">
        <v>37243</v>
      </c>
      <c r="V2678">
        <f>-752.87165723991 -10.3600914051895 -91.7595124547712</f>
        <v>-854.9912610998706</v>
      </c>
      <c r="W2678" t="s">
        <v>37244</v>
      </c>
      <c r="X2678" t="s">
        <v>37245</v>
      </c>
      <c r="Y2678" t="s">
        <v>37246</v>
      </c>
    </row>
    <row r="2679" spans="1:25" x14ac:dyDescent="0.3">
      <c r="A2679">
        <v>133900</v>
      </c>
      <c r="B2679" t="s">
        <v>37247</v>
      </c>
      <c r="C2679" t="s">
        <v>37248</v>
      </c>
      <c r="D2679" t="s">
        <v>37249</v>
      </c>
      <c r="E2679" t="s">
        <v>37250</v>
      </c>
      <c r="F2679" t="s">
        <v>37251</v>
      </c>
      <c r="G2679" t="s">
        <v>37252</v>
      </c>
      <c r="H2679" t="s">
        <v>37253</v>
      </c>
      <c r="I2679" t="s">
        <v>37254</v>
      </c>
      <c r="J2679" t="s">
        <v>37255</v>
      </c>
      <c r="K2679" t="s">
        <v>37256</v>
      </c>
      <c r="L2679" t="s">
        <v>37257</v>
      </c>
      <c r="M2679" t="s">
        <v>37258</v>
      </c>
      <c r="N2679" t="s">
        <v>37259</v>
      </c>
      <c r="O2679">
        <f>-800.163426229896 -102.279546063541 -514.457419801211</f>
        <v>-1416.9003920946479</v>
      </c>
      <c r="P2679">
        <f>-795.663995257146 -126.01364435747 -221.186794722872</f>
        <v>-1142.8644343374879</v>
      </c>
      <c r="Q2679" t="s">
        <v>37260</v>
      </c>
      <c r="R2679" t="s">
        <v>37261</v>
      </c>
      <c r="S2679" t="s">
        <v>37262</v>
      </c>
      <c r="T2679" t="s">
        <v>37263</v>
      </c>
      <c r="U2679" t="s">
        <v>37264</v>
      </c>
      <c r="V2679">
        <f>-752.704028182429 -10.4545829783692 -91.7537162232049</f>
        <v>-854.91232738400322</v>
      </c>
      <c r="W2679" t="s">
        <v>37265</v>
      </c>
      <c r="X2679" t="s">
        <v>37266</v>
      </c>
      <c r="Y2679" t="s">
        <v>37267</v>
      </c>
    </row>
    <row r="2680" spans="1:25" x14ac:dyDescent="0.3">
      <c r="A2680">
        <v>133950</v>
      </c>
      <c r="B2680" t="s">
        <v>37268</v>
      </c>
      <c r="C2680" t="s">
        <v>37269</v>
      </c>
      <c r="D2680" t="s">
        <v>37270</v>
      </c>
      <c r="E2680" t="s">
        <v>37271</v>
      </c>
      <c r="F2680" t="s">
        <v>37272</v>
      </c>
      <c r="G2680" t="s">
        <v>37273</v>
      </c>
      <c r="H2680" t="s">
        <v>37274</v>
      </c>
      <c r="I2680" t="s">
        <v>37275</v>
      </c>
      <c r="J2680" t="s">
        <v>37276</v>
      </c>
      <c r="K2680" t="s">
        <v>37277</v>
      </c>
      <c r="L2680" t="s">
        <v>37278</v>
      </c>
      <c r="M2680" t="s">
        <v>37279</v>
      </c>
      <c r="N2680" t="s">
        <v>37280</v>
      </c>
      <c r="O2680">
        <f>-799.949605743173 -102.247030950158 -514.431229898023</f>
        <v>-1416.6278665913542</v>
      </c>
      <c r="P2680">
        <f>-795.356378953039 -125.947560671987 -221.159325790033</f>
        <v>-1142.4632654150591</v>
      </c>
      <c r="Q2680" t="s">
        <v>37281</v>
      </c>
      <c r="R2680" t="s">
        <v>37282</v>
      </c>
      <c r="S2680" t="s">
        <v>37283</v>
      </c>
      <c r="T2680" t="s">
        <v>37284</v>
      </c>
      <c r="U2680" t="s">
        <v>37285</v>
      </c>
      <c r="V2680">
        <f>-752.540065310786 -10.2950198881588 -91.7655400404693</f>
        <v>-854.60062523941406</v>
      </c>
      <c r="W2680" t="s">
        <v>37286</v>
      </c>
      <c r="X2680" t="s">
        <v>37287</v>
      </c>
      <c r="Y2680" t="s">
        <v>37288</v>
      </c>
    </row>
    <row r="2681" spans="1:25" x14ac:dyDescent="0.3">
      <c r="A2681">
        <v>134000</v>
      </c>
      <c r="B2681" t="s">
        <v>37289</v>
      </c>
      <c r="C2681" t="s">
        <v>37290</v>
      </c>
      <c r="D2681" t="s">
        <v>37291</v>
      </c>
      <c r="E2681" t="s">
        <v>37292</v>
      </c>
      <c r="F2681" t="s">
        <v>37293</v>
      </c>
      <c r="G2681" t="s">
        <v>37294</v>
      </c>
      <c r="H2681" t="s">
        <v>37295</v>
      </c>
      <c r="I2681" t="s">
        <v>37296</v>
      </c>
      <c r="J2681" t="s">
        <v>37297</v>
      </c>
      <c r="K2681" t="s">
        <v>37298</v>
      </c>
      <c r="L2681" t="s">
        <v>37299</v>
      </c>
      <c r="M2681" t="s">
        <v>37300</v>
      </c>
      <c r="N2681" t="s">
        <v>37301</v>
      </c>
      <c r="O2681">
        <f>-799.612646166657 -101.797268660407 -514.403034247774</f>
        <v>-1415.8129490748379</v>
      </c>
      <c r="P2681">
        <f>-794.906493783492 -125.394695462031 -221.124519625785</f>
        <v>-1141.425708871308</v>
      </c>
      <c r="Q2681" t="s">
        <v>37302</v>
      </c>
      <c r="R2681" t="s">
        <v>37303</v>
      </c>
      <c r="S2681" t="s">
        <v>37304</v>
      </c>
      <c r="T2681" t="s">
        <v>37305</v>
      </c>
      <c r="U2681" t="s">
        <v>37306</v>
      </c>
      <c r="V2681">
        <f>-752.30149086689 -9.95302086084484 -91.7882122507831</f>
        <v>-854.04272397851798</v>
      </c>
      <c r="W2681" t="s">
        <v>37307</v>
      </c>
      <c r="X2681" t="s">
        <v>37308</v>
      </c>
      <c r="Y2681" t="s">
        <v>37309</v>
      </c>
    </row>
    <row r="2682" spans="1:25" x14ac:dyDescent="0.3">
      <c r="A2682">
        <v>134050</v>
      </c>
      <c r="B2682" t="s">
        <v>37310</v>
      </c>
      <c r="C2682" t="s">
        <v>37311</v>
      </c>
      <c r="D2682" t="s">
        <v>37312</v>
      </c>
      <c r="E2682" t="s">
        <v>37313</v>
      </c>
      <c r="F2682" t="s">
        <v>37314</v>
      </c>
      <c r="G2682" t="s">
        <v>37315</v>
      </c>
      <c r="H2682" t="s">
        <v>37316</v>
      </c>
      <c r="I2682" t="s">
        <v>37317</v>
      </c>
      <c r="J2682" t="s">
        <v>37318</v>
      </c>
      <c r="K2682" t="s">
        <v>37319</v>
      </c>
      <c r="L2682" t="s">
        <v>37320</v>
      </c>
      <c r="M2682" t="s">
        <v>37321</v>
      </c>
      <c r="N2682" t="s">
        <v>37322</v>
      </c>
      <c r="O2682">
        <f>-799.396952275956 -101.611040742137 -514.42098205717</f>
        <v>-1415.428975075263</v>
      </c>
      <c r="P2682">
        <f>-794.787105053641 -125.151621224598 -221.136580241077</f>
        <v>-1141.075306519316</v>
      </c>
      <c r="Q2682" t="s">
        <v>37323</v>
      </c>
      <c r="R2682" t="s">
        <v>37324</v>
      </c>
      <c r="S2682" t="s">
        <v>37325</v>
      </c>
      <c r="T2682" t="s">
        <v>37326</v>
      </c>
      <c r="U2682" t="s">
        <v>37327</v>
      </c>
      <c r="V2682">
        <f>-752.179252819254 -9.86858875749363 -91.8145824352724</f>
        <v>-853.86242401202003</v>
      </c>
      <c r="W2682" t="s">
        <v>37328</v>
      </c>
      <c r="X2682" t="s">
        <v>37329</v>
      </c>
      <c r="Y2682" t="s">
        <v>37330</v>
      </c>
    </row>
    <row r="2683" spans="1:25" x14ac:dyDescent="0.3">
      <c r="A2683">
        <v>134100</v>
      </c>
      <c r="B2683" t="s">
        <v>37331</v>
      </c>
      <c r="C2683" t="s">
        <v>37332</v>
      </c>
      <c r="D2683" t="s">
        <v>37333</v>
      </c>
      <c r="E2683" t="s">
        <v>37334</v>
      </c>
      <c r="F2683" t="s">
        <v>37335</v>
      </c>
      <c r="G2683" t="s">
        <v>37336</v>
      </c>
      <c r="H2683" t="s">
        <v>37337</v>
      </c>
      <c r="I2683" t="s">
        <v>37338</v>
      </c>
      <c r="J2683" t="s">
        <v>37339</v>
      </c>
      <c r="K2683" t="s">
        <v>37340</v>
      </c>
      <c r="L2683" t="s">
        <v>37341</v>
      </c>
      <c r="M2683" t="s">
        <v>37342</v>
      </c>
      <c r="N2683" t="s">
        <v>37343</v>
      </c>
      <c r="O2683">
        <f>-799.007042251229 -101.475870645921 -514.392332708238</f>
        <v>-1414.875245605388</v>
      </c>
      <c r="P2683">
        <f>-794.372055618677 -124.988242002324 -221.106076900033</f>
        <v>-1140.4663745210339</v>
      </c>
      <c r="Q2683" t="s">
        <v>37344</v>
      </c>
      <c r="R2683" t="s">
        <v>37345</v>
      </c>
      <c r="S2683" t="s">
        <v>37346</v>
      </c>
      <c r="T2683" t="s">
        <v>37347</v>
      </c>
      <c r="U2683" t="s">
        <v>37348</v>
      </c>
      <c r="V2683">
        <f>-752.016147945395 -9.65177200228482 -91.8009551958778</f>
        <v>-853.46887514355763</v>
      </c>
      <c r="W2683" t="s">
        <v>37349</v>
      </c>
      <c r="X2683" t="s">
        <v>37350</v>
      </c>
      <c r="Y2683" t="s">
        <v>37351</v>
      </c>
    </row>
    <row r="2684" spans="1:25" x14ac:dyDescent="0.3">
      <c r="A2684">
        <v>134150</v>
      </c>
      <c r="B2684" t="s">
        <v>37352</v>
      </c>
      <c r="C2684" t="s">
        <v>37353</v>
      </c>
      <c r="D2684" t="s">
        <v>37354</v>
      </c>
      <c r="E2684" t="s">
        <v>37355</v>
      </c>
      <c r="F2684" t="s">
        <v>37356</v>
      </c>
      <c r="G2684" t="s">
        <v>37357</v>
      </c>
      <c r="H2684" t="s">
        <v>37358</v>
      </c>
      <c r="I2684" t="s">
        <v>37359</v>
      </c>
      <c r="J2684" t="s">
        <v>37360</v>
      </c>
      <c r="K2684" t="s">
        <v>37361</v>
      </c>
      <c r="L2684" t="s">
        <v>37362</v>
      </c>
      <c r="M2684" t="s">
        <v>37363</v>
      </c>
      <c r="N2684" t="s">
        <v>37364</v>
      </c>
      <c r="O2684">
        <f>-798.85843406598 -101.483660811684 -514.343209018153</f>
        <v>-1414.685303895817</v>
      </c>
      <c r="P2684">
        <f>-794.232046711656 -124.875720915274 -221.047127314794</f>
        <v>-1140.154894941724</v>
      </c>
      <c r="Q2684" t="s">
        <v>37365</v>
      </c>
      <c r="R2684" t="s">
        <v>37366</v>
      </c>
      <c r="S2684" t="s">
        <v>37367</v>
      </c>
      <c r="T2684" t="s">
        <v>37368</v>
      </c>
      <c r="U2684" t="s">
        <v>37369</v>
      </c>
      <c r="V2684">
        <f>-752.060918994468 -9.74865344420164 -91.7922606294386</f>
        <v>-853.60183306810825</v>
      </c>
      <c r="W2684" t="s">
        <v>37370</v>
      </c>
      <c r="X2684" t="s">
        <v>37371</v>
      </c>
      <c r="Y2684" t="s">
        <v>37372</v>
      </c>
    </row>
    <row r="2685" spans="1:25" x14ac:dyDescent="0.3">
      <c r="A2685">
        <v>134200</v>
      </c>
      <c r="B2685" t="s">
        <v>37373</v>
      </c>
      <c r="C2685" t="s">
        <v>37374</v>
      </c>
      <c r="D2685" t="s">
        <v>37375</v>
      </c>
      <c r="E2685" t="s">
        <v>37376</v>
      </c>
      <c r="F2685" t="s">
        <v>37377</v>
      </c>
      <c r="G2685" t="s">
        <v>37378</v>
      </c>
      <c r="H2685" t="s">
        <v>37379</v>
      </c>
      <c r="I2685" t="s">
        <v>37380</v>
      </c>
      <c r="J2685" t="s">
        <v>37381</v>
      </c>
      <c r="K2685" t="s">
        <v>37382</v>
      </c>
      <c r="L2685" t="s">
        <v>37383</v>
      </c>
      <c r="M2685" t="s">
        <v>37384</v>
      </c>
      <c r="N2685" t="s">
        <v>37385</v>
      </c>
      <c r="O2685">
        <f>-798.663705990914 -101.490492897936 -514.203717847521</f>
        <v>-1414.357916736371</v>
      </c>
      <c r="P2685">
        <f>-794.053815781129 -124.669318225366 -220.890516978148</f>
        <v>-1139.6136509846431</v>
      </c>
      <c r="Q2685" t="s">
        <v>37386</v>
      </c>
      <c r="R2685" t="s">
        <v>37387</v>
      </c>
      <c r="S2685" t="s">
        <v>37388</v>
      </c>
      <c r="T2685" t="s">
        <v>37389</v>
      </c>
      <c r="U2685" t="s">
        <v>37390</v>
      </c>
      <c r="V2685">
        <f>-751.931249330895 -9.50703683989332 -91.7931598730644</f>
        <v>-853.23144604385266</v>
      </c>
      <c r="W2685" t="s">
        <v>37391</v>
      </c>
      <c r="X2685" t="s">
        <v>37392</v>
      </c>
      <c r="Y2685" t="s">
        <v>37393</v>
      </c>
    </row>
    <row r="2686" spans="1:25" x14ac:dyDescent="0.3">
      <c r="A2686">
        <v>134250</v>
      </c>
      <c r="B2686" t="s">
        <v>37394</v>
      </c>
      <c r="C2686" t="s">
        <v>37395</v>
      </c>
      <c r="D2686" t="s">
        <v>37396</v>
      </c>
      <c r="E2686" t="s">
        <v>37397</v>
      </c>
      <c r="F2686" t="s">
        <v>37398</v>
      </c>
      <c r="G2686" t="s">
        <v>37399</v>
      </c>
      <c r="H2686" t="s">
        <v>37400</v>
      </c>
      <c r="I2686" t="s">
        <v>37401</v>
      </c>
      <c r="J2686" t="s">
        <v>37402</v>
      </c>
      <c r="K2686" t="s">
        <v>37403</v>
      </c>
      <c r="L2686" t="s">
        <v>37404</v>
      </c>
      <c r="M2686" t="s">
        <v>37405</v>
      </c>
      <c r="N2686" t="s">
        <v>37406</v>
      </c>
      <c r="O2686">
        <f>-798.519902058689 -101.4723633766 -514.149072164891</f>
        <v>-1414.1413376001801</v>
      </c>
      <c r="P2686">
        <f>-793.924836937013 -124.570717022787 -220.829131623842</f>
        <v>-1139.3246855836419</v>
      </c>
      <c r="Q2686" t="s">
        <v>37407</v>
      </c>
      <c r="R2686" t="s">
        <v>37408</v>
      </c>
      <c r="S2686" t="s">
        <v>37409</v>
      </c>
      <c r="T2686" t="s">
        <v>37410</v>
      </c>
      <c r="U2686" t="s">
        <v>37411</v>
      </c>
      <c r="V2686">
        <f>-751.822368229878 -9.39337664482832 -91.7966235253145</f>
        <v>-853.01236840002082</v>
      </c>
      <c r="W2686" t="s">
        <v>37412</v>
      </c>
      <c r="X2686" t="s">
        <v>37413</v>
      </c>
      <c r="Y2686" t="s">
        <v>37414</v>
      </c>
    </row>
    <row r="2687" spans="1:25" x14ac:dyDescent="0.3">
      <c r="A2687">
        <v>134300</v>
      </c>
      <c r="B2687" t="s">
        <v>37415</v>
      </c>
      <c r="C2687" t="s">
        <v>37416</v>
      </c>
      <c r="D2687" t="s">
        <v>37417</v>
      </c>
      <c r="E2687" t="s">
        <v>37418</v>
      </c>
      <c r="F2687" t="s">
        <v>37419</v>
      </c>
      <c r="G2687" t="s">
        <v>37420</v>
      </c>
      <c r="H2687" t="s">
        <v>37421</v>
      </c>
      <c r="I2687" t="s">
        <v>37422</v>
      </c>
      <c r="J2687" t="s">
        <v>37423</v>
      </c>
      <c r="K2687" t="s">
        <v>37424</v>
      </c>
      <c r="L2687" t="s">
        <v>37425</v>
      </c>
      <c r="M2687" t="s">
        <v>37426</v>
      </c>
      <c r="N2687" t="s">
        <v>37427</v>
      </c>
      <c r="O2687">
        <f>-798.403787811308 -101.5247182514 -514.023927713162</f>
        <v>-1413.9524337758701</v>
      </c>
      <c r="P2687">
        <f>-793.786231863249 -124.464457063042 -220.69178419553</f>
        <v>-1138.942473121821</v>
      </c>
      <c r="Q2687" t="s">
        <v>37428</v>
      </c>
      <c r="R2687" t="s">
        <v>37429</v>
      </c>
      <c r="S2687" t="s">
        <v>37430</v>
      </c>
      <c r="T2687" t="s">
        <v>37431</v>
      </c>
      <c r="U2687" t="s">
        <v>37432</v>
      </c>
      <c r="V2687">
        <f>-751.585442655181 -9.33061898951769 -91.7997754720315</f>
        <v>-852.7158371167302</v>
      </c>
      <c r="W2687" t="s">
        <v>37433</v>
      </c>
      <c r="X2687" t="s">
        <v>37434</v>
      </c>
      <c r="Y2687" t="s">
        <v>37435</v>
      </c>
    </row>
    <row r="2688" spans="1:25" x14ac:dyDescent="0.3">
      <c r="A2688">
        <v>134350</v>
      </c>
      <c r="B2688" t="s">
        <v>37436</v>
      </c>
      <c r="C2688" t="s">
        <v>37437</v>
      </c>
      <c r="D2688" t="s">
        <v>37438</v>
      </c>
      <c r="E2688" t="s">
        <v>37439</v>
      </c>
      <c r="F2688" t="s">
        <v>37440</v>
      </c>
      <c r="G2688" t="s">
        <v>37441</v>
      </c>
      <c r="H2688" t="s">
        <v>37442</v>
      </c>
      <c r="I2688" t="s">
        <v>37443</v>
      </c>
      <c r="J2688" t="s">
        <v>37444</v>
      </c>
      <c r="K2688" t="s">
        <v>37445</v>
      </c>
      <c r="L2688" t="s">
        <v>37446</v>
      </c>
      <c r="M2688" t="s">
        <v>37447</v>
      </c>
      <c r="N2688" t="s">
        <v>37448</v>
      </c>
      <c r="O2688">
        <f>-798.311006625632 -101.648328978687 -513.967704411792</f>
        <v>-1413.9270400161111</v>
      </c>
      <c r="P2688">
        <f>-793.7284957018 -124.506053978443 -220.628763240387</f>
        <v>-1138.8633129206301</v>
      </c>
      <c r="Q2688" t="s">
        <v>37449</v>
      </c>
      <c r="R2688" t="s">
        <v>37450</v>
      </c>
      <c r="S2688" t="s">
        <v>37451</v>
      </c>
      <c r="T2688" t="s">
        <v>37452</v>
      </c>
      <c r="U2688" t="s">
        <v>37453</v>
      </c>
      <c r="V2688">
        <f>-751.458749664791 -9.38538266549403 -91.8063477001052</f>
        <v>-852.65048003039021</v>
      </c>
      <c r="W2688" t="s">
        <v>37454</v>
      </c>
      <c r="X2688" t="s">
        <v>37455</v>
      </c>
      <c r="Y2688" t="s">
        <v>37456</v>
      </c>
    </row>
    <row r="2689" spans="1:25" x14ac:dyDescent="0.3">
      <c r="A2689">
        <v>134400</v>
      </c>
      <c r="B2689" t="s">
        <v>37457</v>
      </c>
      <c r="C2689" t="s">
        <v>37458</v>
      </c>
      <c r="D2689" t="s">
        <v>37459</v>
      </c>
      <c r="E2689" t="s">
        <v>37460</v>
      </c>
      <c r="F2689" t="s">
        <v>37461</v>
      </c>
      <c r="G2689" t="s">
        <v>37462</v>
      </c>
      <c r="H2689" t="s">
        <v>37463</v>
      </c>
      <c r="I2689" t="s">
        <v>37464</v>
      </c>
      <c r="J2689" t="s">
        <v>37465</v>
      </c>
      <c r="K2689" t="s">
        <v>37466</v>
      </c>
      <c r="L2689" t="s">
        <v>37467</v>
      </c>
      <c r="M2689" t="s">
        <v>37468</v>
      </c>
      <c r="N2689" t="s">
        <v>37469</v>
      </c>
      <c r="O2689">
        <f>-798.067275845661 -101.711915013234 -513.899893824882</f>
        <v>-1413.6790846837771</v>
      </c>
      <c r="P2689">
        <f>-793.535959362374 -124.402107506268 -220.547247899135</f>
        <v>-1138.485314767777</v>
      </c>
      <c r="Q2689" t="s">
        <v>37470</v>
      </c>
      <c r="R2689" t="s">
        <v>37471</v>
      </c>
      <c r="S2689" t="s">
        <v>37472</v>
      </c>
      <c r="T2689" t="s">
        <v>37473</v>
      </c>
      <c r="U2689" t="s">
        <v>37474</v>
      </c>
      <c r="V2689">
        <f>-751.339067741708 -9.29369304396732 -91.8017717249262</f>
        <v>-852.43453251060157</v>
      </c>
      <c r="W2689" t="s">
        <v>37475</v>
      </c>
      <c r="X2689" t="s">
        <v>37476</v>
      </c>
      <c r="Y2689" t="s">
        <v>37477</v>
      </c>
    </row>
    <row r="2690" spans="1:25" x14ac:dyDescent="0.3">
      <c r="A2690">
        <v>134450</v>
      </c>
      <c r="B2690" t="s">
        <v>37478</v>
      </c>
      <c r="C2690" t="s">
        <v>37479</v>
      </c>
      <c r="D2690" t="s">
        <v>37480</v>
      </c>
      <c r="E2690" t="s">
        <v>37481</v>
      </c>
      <c r="F2690" t="s">
        <v>37482</v>
      </c>
      <c r="G2690" t="s">
        <v>37483</v>
      </c>
      <c r="H2690" t="s">
        <v>37484</v>
      </c>
      <c r="I2690" t="s">
        <v>37485</v>
      </c>
      <c r="J2690" t="s">
        <v>37486</v>
      </c>
      <c r="K2690" t="s">
        <v>37487</v>
      </c>
      <c r="L2690" t="s">
        <v>37488</v>
      </c>
      <c r="M2690" t="s">
        <v>37489</v>
      </c>
      <c r="N2690" t="s">
        <v>37490</v>
      </c>
      <c r="O2690">
        <f>-797.840022633369 -101.67879635999 -513.900456977345</f>
        <v>-1413.4192759707039</v>
      </c>
      <c r="P2690">
        <f>-793.351798505964 -124.38344701658 -220.548151603023</f>
        <v>-1138.283397125567</v>
      </c>
      <c r="Q2690" t="s">
        <v>37491</v>
      </c>
      <c r="R2690" t="s">
        <v>37492</v>
      </c>
      <c r="S2690" t="s">
        <v>37493</v>
      </c>
      <c r="T2690" t="s">
        <v>37494</v>
      </c>
      <c r="U2690" t="s">
        <v>37495</v>
      </c>
      <c r="V2690">
        <f>-751.294244594339 -9.26196372998152 -91.8096106915543</f>
        <v>-852.36581901587488</v>
      </c>
      <c r="W2690" t="s">
        <v>37496</v>
      </c>
      <c r="X2690" t="s">
        <v>37497</v>
      </c>
      <c r="Y2690" t="s">
        <v>37498</v>
      </c>
    </row>
    <row r="2691" spans="1:25" x14ac:dyDescent="0.3">
      <c r="A2691">
        <v>134500</v>
      </c>
      <c r="B2691" t="s">
        <v>37499</v>
      </c>
      <c r="C2691" t="s">
        <v>37500</v>
      </c>
      <c r="D2691" t="s">
        <v>37501</v>
      </c>
      <c r="E2691" t="s">
        <v>37502</v>
      </c>
      <c r="F2691" t="s">
        <v>37503</v>
      </c>
      <c r="G2691" t="s">
        <v>37504</v>
      </c>
      <c r="H2691" t="s">
        <v>37505</v>
      </c>
      <c r="I2691" t="s">
        <v>37506</v>
      </c>
      <c r="J2691" t="s">
        <v>37507</v>
      </c>
      <c r="K2691" t="s">
        <v>37508</v>
      </c>
      <c r="L2691" t="s">
        <v>37509</v>
      </c>
      <c r="M2691" t="s">
        <v>37510</v>
      </c>
      <c r="N2691" t="s">
        <v>37511</v>
      </c>
      <c r="O2691">
        <f>-797.558293034303 -101.705036174662 -513.905628758056</f>
        <v>-1413.168957967021</v>
      </c>
      <c r="P2691">
        <f>-793.20496442969 -124.387685495796 -220.549635625479</f>
        <v>-1138.142285550965</v>
      </c>
      <c r="Q2691" t="s">
        <v>37512</v>
      </c>
      <c r="R2691" t="s">
        <v>37513</v>
      </c>
      <c r="S2691" t="s">
        <v>37514</v>
      </c>
      <c r="T2691" t="s">
        <v>37515</v>
      </c>
      <c r="U2691" t="s">
        <v>37516</v>
      </c>
      <c r="V2691">
        <f>-751.156005999983 -9.20796567520074 -91.8266334256166</f>
        <v>-852.19060510080033</v>
      </c>
      <c r="W2691" t="s">
        <v>37517</v>
      </c>
      <c r="X2691" t="s">
        <v>37518</v>
      </c>
      <c r="Y2691" t="s">
        <v>37519</v>
      </c>
    </row>
    <row r="2692" spans="1:25" x14ac:dyDescent="0.3">
      <c r="A2692">
        <v>134550</v>
      </c>
      <c r="B2692" t="s">
        <v>37520</v>
      </c>
      <c r="C2692" t="s">
        <v>37521</v>
      </c>
      <c r="D2692" t="s">
        <v>37522</v>
      </c>
      <c r="E2692" t="s">
        <v>37523</v>
      </c>
      <c r="F2692" t="s">
        <v>37524</v>
      </c>
      <c r="G2692" t="s">
        <v>37525</v>
      </c>
      <c r="H2692" t="s">
        <v>37526</v>
      </c>
      <c r="I2692" t="s">
        <v>37527</v>
      </c>
      <c r="J2692" t="s">
        <v>37528</v>
      </c>
      <c r="K2692" t="s">
        <v>37529</v>
      </c>
      <c r="L2692" t="s">
        <v>37530</v>
      </c>
      <c r="M2692" t="s">
        <v>37531</v>
      </c>
      <c r="N2692" t="s">
        <v>37532</v>
      </c>
      <c r="O2692">
        <f>-797.404453359299 -101.766634840016 -513.905468560152</f>
        <v>-1413.0765567594672</v>
      </c>
      <c r="P2692">
        <f>-793.114402214903 -124.434767861152 -220.547374368817</f>
        <v>-1138.0965444448718</v>
      </c>
      <c r="Q2692" t="s">
        <v>37533</v>
      </c>
      <c r="R2692" t="s">
        <v>37534</v>
      </c>
      <c r="S2692" t="s">
        <v>37535</v>
      </c>
      <c r="T2692" t="s">
        <v>37536</v>
      </c>
      <c r="U2692" t="s">
        <v>37537</v>
      </c>
      <c r="V2692">
        <f>-751.022476044927 -9.2043979676414 -91.8425659649881</f>
        <v>-852.0694399775565</v>
      </c>
      <c r="W2692" t="s">
        <v>37538</v>
      </c>
      <c r="X2692" t="s">
        <v>37539</v>
      </c>
      <c r="Y2692" t="s">
        <v>37540</v>
      </c>
    </row>
    <row r="2693" spans="1:25" x14ac:dyDescent="0.3">
      <c r="A2693">
        <v>134600</v>
      </c>
      <c r="B2693" t="s">
        <v>37541</v>
      </c>
      <c r="C2693" t="s">
        <v>37542</v>
      </c>
      <c r="D2693" t="s">
        <v>37543</v>
      </c>
      <c r="E2693" t="s">
        <v>37544</v>
      </c>
      <c r="F2693" t="s">
        <v>37545</v>
      </c>
      <c r="G2693" t="s">
        <v>37546</v>
      </c>
      <c r="H2693" t="s">
        <v>37547</v>
      </c>
      <c r="I2693" t="s">
        <v>37548</v>
      </c>
      <c r="J2693" t="s">
        <v>37549</v>
      </c>
      <c r="K2693" t="s">
        <v>37550</v>
      </c>
      <c r="L2693" t="s">
        <v>37551</v>
      </c>
      <c r="M2693" t="s">
        <v>37552</v>
      </c>
      <c r="N2693" t="s">
        <v>37553</v>
      </c>
      <c r="O2693">
        <f>-797.2041411546 -101.944389765783 -513.827855553853</f>
        <v>-1412.9763864742363</v>
      </c>
      <c r="P2693">
        <f>-792.93827164291 -124.520415125164 -220.462367904139</f>
        <v>-1137.9210546722129</v>
      </c>
      <c r="Q2693" t="s">
        <v>37554</v>
      </c>
      <c r="R2693" t="s">
        <v>37555</v>
      </c>
      <c r="S2693" t="s">
        <v>37556</v>
      </c>
      <c r="T2693" t="s">
        <v>37557</v>
      </c>
      <c r="U2693" t="s">
        <v>37558</v>
      </c>
      <c r="V2693">
        <f>-750.906322332344 -9.33221712100999 -91.8397777907775</f>
        <v>-852.07831724413143</v>
      </c>
      <c r="W2693" t="s">
        <v>37559</v>
      </c>
      <c r="X2693" t="s">
        <v>37560</v>
      </c>
      <c r="Y2693" t="s">
        <v>37561</v>
      </c>
    </row>
    <row r="2694" spans="1:25" x14ac:dyDescent="0.3">
      <c r="A2694">
        <v>134650</v>
      </c>
      <c r="B2694" t="s">
        <v>37562</v>
      </c>
      <c r="C2694" t="s">
        <v>37563</v>
      </c>
      <c r="D2694" t="s">
        <v>37564</v>
      </c>
      <c r="E2694" t="s">
        <v>37565</v>
      </c>
      <c r="F2694" t="s">
        <v>37566</v>
      </c>
      <c r="G2694" t="s">
        <v>37567</v>
      </c>
      <c r="H2694" t="s">
        <v>37568</v>
      </c>
      <c r="I2694" t="s">
        <v>37569</v>
      </c>
      <c r="J2694" t="s">
        <v>37570</v>
      </c>
      <c r="K2694" t="s">
        <v>37571</v>
      </c>
      <c r="L2694" t="s">
        <v>37572</v>
      </c>
      <c r="M2694" t="s">
        <v>37573</v>
      </c>
      <c r="N2694" t="s">
        <v>37574</v>
      </c>
      <c r="O2694">
        <f>-797.067121848069 -102.063037903135 -513.781974052169</f>
        <v>-1412.9121338033729</v>
      </c>
      <c r="P2694">
        <f>-792.841733128015 -124.540877716843 -220.408305242131</f>
        <v>-1137.790916086989</v>
      </c>
      <c r="Q2694" t="s">
        <v>37575</v>
      </c>
      <c r="R2694" t="s">
        <v>37576</v>
      </c>
      <c r="S2694" t="s">
        <v>37577</v>
      </c>
      <c r="T2694" t="s">
        <v>37578</v>
      </c>
      <c r="U2694" t="s">
        <v>37579</v>
      </c>
      <c r="V2694">
        <f>-750.838751138763 -9.45010152703617 -91.8406050700945</f>
        <v>-852.12945773589365</v>
      </c>
      <c r="W2694" t="s">
        <v>37580</v>
      </c>
      <c r="X2694" t="s">
        <v>37581</v>
      </c>
      <c r="Y2694" t="s">
        <v>37582</v>
      </c>
    </row>
    <row r="2695" spans="1:25" x14ac:dyDescent="0.3">
      <c r="A2695">
        <v>134700</v>
      </c>
      <c r="B2695" t="s">
        <v>37583</v>
      </c>
      <c r="C2695" t="s">
        <v>37584</v>
      </c>
      <c r="D2695" t="s">
        <v>37585</v>
      </c>
      <c r="E2695" t="s">
        <v>37586</v>
      </c>
      <c r="F2695" t="s">
        <v>37587</v>
      </c>
      <c r="G2695" t="s">
        <v>37588</v>
      </c>
      <c r="H2695" t="s">
        <v>37589</v>
      </c>
      <c r="I2695" t="s">
        <v>37590</v>
      </c>
      <c r="J2695" t="s">
        <v>37591</v>
      </c>
      <c r="K2695" t="s">
        <v>37592</v>
      </c>
      <c r="L2695" t="s">
        <v>37593</v>
      </c>
      <c r="M2695" t="s">
        <v>37594</v>
      </c>
      <c r="N2695" t="s">
        <v>37595</v>
      </c>
      <c r="O2695">
        <f>-796.69534391078 -102.07393040011 -513.757433731748</f>
        <v>-1412.5267080426381</v>
      </c>
      <c r="P2695">
        <f>-792.556457203388 -124.478453849584 -220.376911807828</f>
        <v>-1137.4118228607999</v>
      </c>
      <c r="Q2695" t="s">
        <v>37596</v>
      </c>
      <c r="R2695" t="s">
        <v>37597</v>
      </c>
      <c r="S2695" t="s">
        <v>37598</v>
      </c>
      <c r="T2695" t="s">
        <v>37599</v>
      </c>
      <c r="U2695" t="s">
        <v>37600</v>
      </c>
      <c r="V2695">
        <f>-750.658925727343 -9.40266289858414 -91.8418154583355</f>
        <v>-851.90340408426266</v>
      </c>
      <c r="W2695" t="s">
        <v>37601</v>
      </c>
      <c r="X2695" t="s">
        <v>37602</v>
      </c>
      <c r="Y2695" t="s">
        <v>37603</v>
      </c>
    </row>
    <row r="2696" spans="1:25" x14ac:dyDescent="0.3">
      <c r="A2696">
        <v>134750</v>
      </c>
      <c r="B2696" t="s">
        <v>37604</v>
      </c>
      <c r="C2696" t="s">
        <v>37605</v>
      </c>
      <c r="D2696" t="s">
        <v>37606</v>
      </c>
      <c r="E2696" t="s">
        <v>37607</v>
      </c>
      <c r="F2696" t="s">
        <v>37608</v>
      </c>
      <c r="G2696" t="s">
        <v>37609</v>
      </c>
      <c r="H2696" t="s">
        <v>37610</v>
      </c>
      <c r="I2696" t="s">
        <v>37611</v>
      </c>
      <c r="J2696" t="s">
        <v>37612</v>
      </c>
      <c r="K2696" t="s">
        <v>37613</v>
      </c>
      <c r="L2696" t="s">
        <v>37614</v>
      </c>
      <c r="M2696" t="s">
        <v>37615</v>
      </c>
      <c r="N2696" t="s">
        <v>37616</v>
      </c>
      <c r="O2696">
        <f>-796.451669641092 -102.010509716111 -513.77409433634</f>
        <v>-1412.2362736935429</v>
      </c>
      <c r="P2696">
        <f>-792.373367657534 -124.385172558322 -220.390473859039</f>
        <v>-1137.1490140748949</v>
      </c>
      <c r="Q2696" t="s">
        <v>37617</v>
      </c>
      <c r="R2696" t="s">
        <v>37618</v>
      </c>
      <c r="S2696" t="s">
        <v>37619</v>
      </c>
      <c r="T2696" t="s">
        <v>37620</v>
      </c>
      <c r="U2696" t="s">
        <v>37621</v>
      </c>
      <c r="V2696">
        <f>-750.553030587278 -9.31513439828836 -91.8556553268385</f>
        <v>-851.72382031240488</v>
      </c>
      <c r="W2696" t="s">
        <v>37622</v>
      </c>
      <c r="X2696" t="s">
        <v>37623</v>
      </c>
      <c r="Y2696" t="s">
        <v>37624</v>
      </c>
    </row>
    <row r="2697" spans="1:25" x14ac:dyDescent="0.3">
      <c r="A2697">
        <v>134800</v>
      </c>
      <c r="B2697" t="s">
        <v>37625</v>
      </c>
      <c r="C2697" t="s">
        <v>37626</v>
      </c>
      <c r="D2697" t="s">
        <v>37627</v>
      </c>
      <c r="E2697" t="s">
        <v>37628</v>
      </c>
      <c r="F2697" t="s">
        <v>37629</v>
      </c>
      <c r="G2697" t="s">
        <v>37630</v>
      </c>
      <c r="H2697" t="s">
        <v>37631</v>
      </c>
      <c r="I2697" t="s">
        <v>37632</v>
      </c>
      <c r="J2697" t="s">
        <v>37633</v>
      </c>
      <c r="K2697" t="s">
        <v>37634</v>
      </c>
      <c r="L2697" t="s">
        <v>37635</v>
      </c>
      <c r="M2697" t="s">
        <v>37636</v>
      </c>
      <c r="N2697" t="s">
        <v>37637</v>
      </c>
      <c r="O2697">
        <f>-796.409414699621 -101.931818309443 -513.78836598279</f>
        <v>-1412.129598991854</v>
      </c>
      <c r="P2697">
        <f>-792.52591672213 -124.369814117587 -220.406900052724</f>
        <v>-1137.3026308924409</v>
      </c>
      <c r="Q2697" t="s">
        <v>37638</v>
      </c>
      <c r="R2697" t="s">
        <v>37639</v>
      </c>
      <c r="S2697" t="s">
        <v>37640</v>
      </c>
      <c r="T2697" t="s">
        <v>37641</v>
      </c>
      <c r="U2697" t="s">
        <v>37642</v>
      </c>
      <c r="V2697">
        <f>-750.574230589154 -9.20190164066958 -91.8677587532951</f>
        <v>-851.64389098311869</v>
      </c>
      <c r="W2697" t="s">
        <v>37643</v>
      </c>
      <c r="X2697" t="s">
        <v>37644</v>
      </c>
      <c r="Y2697" t="s">
        <v>37645</v>
      </c>
    </row>
    <row r="2698" spans="1:25" x14ac:dyDescent="0.3">
      <c r="A2698">
        <v>134850</v>
      </c>
      <c r="B2698" t="s">
        <v>37646</v>
      </c>
      <c r="C2698" t="s">
        <v>37647</v>
      </c>
      <c r="D2698" t="s">
        <v>37648</v>
      </c>
      <c r="E2698" t="s">
        <v>37649</v>
      </c>
      <c r="F2698" t="s">
        <v>37650</v>
      </c>
      <c r="G2698" t="s">
        <v>37651</v>
      </c>
      <c r="H2698" t="s">
        <v>37652</v>
      </c>
      <c r="I2698" t="s">
        <v>37653</v>
      </c>
      <c r="J2698" t="s">
        <v>37654</v>
      </c>
      <c r="K2698" t="s">
        <v>37655</v>
      </c>
      <c r="L2698" t="s">
        <v>37656</v>
      </c>
      <c r="M2698" t="s">
        <v>37657</v>
      </c>
      <c r="N2698" t="s">
        <v>37658</v>
      </c>
      <c r="O2698">
        <f>-796.479329080554 -101.842522535773 -513.804475183144</f>
        <v>-1412.1263267994709</v>
      </c>
      <c r="P2698">
        <f>-792.803747599012 -124.345976662938 -220.4253868198</f>
        <v>-1137.57511108175</v>
      </c>
      <c r="Q2698" t="s">
        <v>37659</v>
      </c>
      <c r="R2698" t="s">
        <v>37660</v>
      </c>
      <c r="S2698" t="s">
        <v>37661</v>
      </c>
      <c r="T2698" t="s">
        <v>37662</v>
      </c>
      <c r="U2698" t="s">
        <v>37663</v>
      </c>
      <c r="V2698">
        <f>-750.525337694208 -9.22722143065721 -91.8821668266537</f>
        <v>-851.63472595151893</v>
      </c>
      <c r="W2698" t="s">
        <v>37664</v>
      </c>
      <c r="X2698" t="s">
        <v>37665</v>
      </c>
      <c r="Y2698" t="s">
        <v>37666</v>
      </c>
    </row>
    <row r="2699" spans="1:25" x14ac:dyDescent="0.3">
      <c r="A2699">
        <v>134900</v>
      </c>
      <c r="B2699" t="s">
        <v>37667</v>
      </c>
      <c r="C2699" t="s">
        <v>37668</v>
      </c>
      <c r="D2699" t="s">
        <v>37669</v>
      </c>
      <c r="E2699" t="s">
        <v>37670</v>
      </c>
      <c r="F2699" t="s">
        <v>37671</v>
      </c>
      <c r="G2699" t="s">
        <v>37672</v>
      </c>
      <c r="H2699" t="s">
        <v>37673</v>
      </c>
      <c r="I2699" t="s">
        <v>37674</v>
      </c>
      <c r="J2699" t="s">
        <v>37675</v>
      </c>
      <c r="K2699" t="s">
        <v>37676</v>
      </c>
      <c r="L2699" t="s">
        <v>37677</v>
      </c>
      <c r="M2699" t="s">
        <v>37678</v>
      </c>
      <c r="N2699" t="s">
        <v>37679</v>
      </c>
      <c r="O2699">
        <f>-796.257813892256 -101.691332466389 -513.847551276442</f>
        <v>-1411.796697635087</v>
      </c>
      <c r="P2699">
        <f>-792.868154472553 -124.193581622623 -220.465099285904</f>
        <v>-1137.52683538108</v>
      </c>
      <c r="Q2699" t="s">
        <v>37680</v>
      </c>
      <c r="R2699" t="s">
        <v>37681</v>
      </c>
      <c r="S2699" t="s">
        <v>37682</v>
      </c>
      <c r="T2699" t="s">
        <v>37683</v>
      </c>
      <c r="U2699" t="s">
        <v>37684</v>
      </c>
      <c r="V2699">
        <f>-750.269666662159 -8.94857806242271 -91.9101821123943</f>
        <v>-851.12842683697602</v>
      </c>
      <c r="W2699" t="s">
        <v>37685</v>
      </c>
      <c r="X2699" t="s">
        <v>37686</v>
      </c>
      <c r="Y2699" t="s">
        <v>37687</v>
      </c>
    </row>
    <row r="2700" spans="1:25" x14ac:dyDescent="0.3">
      <c r="A2700">
        <v>134950</v>
      </c>
      <c r="B2700" t="s">
        <v>37688</v>
      </c>
      <c r="C2700" t="s">
        <v>37689</v>
      </c>
      <c r="D2700" t="s">
        <v>37690</v>
      </c>
      <c r="E2700" t="s">
        <v>37691</v>
      </c>
      <c r="F2700" t="s">
        <v>37692</v>
      </c>
      <c r="G2700" t="s">
        <v>37693</v>
      </c>
      <c r="H2700" t="s">
        <v>37694</v>
      </c>
      <c r="I2700" t="s">
        <v>37695</v>
      </c>
      <c r="J2700" t="s">
        <v>37696</v>
      </c>
      <c r="K2700" t="s">
        <v>37697</v>
      </c>
      <c r="L2700" t="s">
        <v>37698</v>
      </c>
      <c r="M2700" t="s">
        <v>37699</v>
      </c>
      <c r="N2700" t="s">
        <v>37700</v>
      </c>
      <c r="O2700">
        <f>-796.21367784585 -101.726172410189 -513.846410262048</f>
        <v>-1411.7862605180871</v>
      </c>
      <c r="P2700">
        <f>-792.835645722155 -124.164388750528 -220.458639565864</f>
        <v>-1137.4586740385471</v>
      </c>
      <c r="Q2700" t="s">
        <v>37701</v>
      </c>
      <c r="R2700" t="s">
        <v>37702</v>
      </c>
      <c r="S2700" t="s">
        <v>37703</v>
      </c>
      <c r="T2700" t="s">
        <v>37704</v>
      </c>
      <c r="U2700" t="s">
        <v>37705</v>
      </c>
      <c r="V2700">
        <f>-750.1250547857 -8.88167517241891 -91.9300029316798</f>
        <v>-850.93673288979869</v>
      </c>
      <c r="W2700" t="s">
        <v>37706</v>
      </c>
      <c r="X2700" t="s">
        <v>37707</v>
      </c>
      <c r="Y2700" t="s">
        <v>37708</v>
      </c>
    </row>
    <row r="2701" spans="1:25" x14ac:dyDescent="0.3">
      <c r="A2701">
        <v>135000</v>
      </c>
      <c r="B2701" t="s">
        <v>37709</v>
      </c>
      <c r="C2701" t="s">
        <v>37710</v>
      </c>
      <c r="D2701" t="s">
        <v>37711</v>
      </c>
      <c r="E2701" t="s">
        <v>37712</v>
      </c>
      <c r="F2701" t="s">
        <v>37713</v>
      </c>
      <c r="G2701" t="s">
        <v>37714</v>
      </c>
      <c r="H2701" t="s">
        <v>37715</v>
      </c>
      <c r="I2701" t="s">
        <v>37716</v>
      </c>
      <c r="J2701" t="s">
        <v>37717</v>
      </c>
      <c r="K2701" t="s">
        <v>37718</v>
      </c>
      <c r="L2701" t="s">
        <v>37719</v>
      </c>
      <c r="M2701" t="s">
        <v>37720</v>
      </c>
      <c r="N2701" t="s">
        <v>37721</v>
      </c>
      <c r="O2701">
        <f>-796.179927831248 -101.567444421507 -513.794039326992</f>
        <v>-1411.5414115797471</v>
      </c>
      <c r="P2701">
        <f>-792.658816907662 -123.928853124453 -220.402146898445</f>
        <v>-1136.98981693056</v>
      </c>
      <c r="Q2701" t="s">
        <v>37722</v>
      </c>
      <c r="R2701" t="s">
        <v>37723</v>
      </c>
      <c r="S2701" t="s">
        <v>37724</v>
      </c>
      <c r="T2701" t="s">
        <v>37725</v>
      </c>
      <c r="U2701" t="s">
        <v>37726</v>
      </c>
      <c r="V2701">
        <f>-749.744839369987 -8.72301268800788 -91.9783791885013</f>
        <v>-850.44623124649615</v>
      </c>
      <c r="W2701" t="s">
        <v>37727</v>
      </c>
      <c r="X2701" t="s">
        <v>37728</v>
      </c>
      <c r="Y2701" t="s">
        <v>37729</v>
      </c>
    </row>
    <row r="2702" spans="1:25" x14ac:dyDescent="0.3">
      <c r="A2702">
        <v>135050</v>
      </c>
      <c r="B2702" t="s">
        <v>37730</v>
      </c>
      <c r="C2702" t="s">
        <v>37731</v>
      </c>
      <c r="D2702" t="s">
        <v>37732</v>
      </c>
      <c r="E2702" t="s">
        <v>37733</v>
      </c>
      <c r="F2702" t="s">
        <v>37734</v>
      </c>
      <c r="G2702" t="s">
        <v>37735</v>
      </c>
      <c r="H2702" t="s">
        <v>37736</v>
      </c>
      <c r="I2702" t="s">
        <v>37737</v>
      </c>
      <c r="J2702" t="s">
        <v>37738</v>
      </c>
      <c r="K2702" t="s">
        <v>37739</v>
      </c>
      <c r="L2702" t="s">
        <v>37740</v>
      </c>
      <c r="M2702" t="s">
        <v>37741</v>
      </c>
      <c r="N2702" t="s">
        <v>37742</v>
      </c>
      <c r="O2702">
        <f>-796.370659025737 -101.60027146885 -513.739533579287</f>
        <v>-1411.7104640738739</v>
      </c>
      <c r="P2702">
        <f>-792.734512436292 -123.867771777779 -220.341857358516</f>
        <v>-1136.9441415725869</v>
      </c>
      <c r="Q2702" t="s">
        <v>37743</v>
      </c>
      <c r="R2702" t="s">
        <v>37744</v>
      </c>
      <c r="S2702" t="s">
        <v>37745</v>
      </c>
      <c r="T2702" t="s">
        <v>37746</v>
      </c>
      <c r="U2702" t="s">
        <v>37747</v>
      </c>
      <c r="V2702">
        <f>-749.647257391128 -8.66277399933529 -91.9929118156656</f>
        <v>-850.30294320612893</v>
      </c>
      <c r="W2702" t="s">
        <v>37748</v>
      </c>
      <c r="X2702" t="s">
        <v>37749</v>
      </c>
      <c r="Y2702" t="s">
        <v>37750</v>
      </c>
    </row>
    <row r="2703" spans="1:25" x14ac:dyDescent="0.3">
      <c r="A2703">
        <v>135100</v>
      </c>
      <c r="B2703" t="s">
        <v>37751</v>
      </c>
      <c r="C2703" t="s">
        <v>37752</v>
      </c>
      <c r="D2703" t="s">
        <v>37753</v>
      </c>
      <c r="E2703" t="s">
        <v>37754</v>
      </c>
      <c r="F2703" t="s">
        <v>37755</v>
      </c>
      <c r="G2703" t="s">
        <v>37756</v>
      </c>
      <c r="H2703" t="s">
        <v>37757</v>
      </c>
      <c r="I2703" t="s">
        <v>37758</v>
      </c>
      <c r="J2703" t="s">
        <v>37759</v>
      </c>
      <c r="K2703" t="s">
        <v>37760</v>
      </c>
      <c r="L2703" t="s">
        <v>37761</v>
      </c>
      <c r="M2703" t="s">
        <v>37762</v>
      </c>
      <c r="N2703" t="s">
        <v>37763</v>
      </c>
      <c r="O2703">
        <f>-796.835646269852 -101.49441125986 -513.660869676788</f>
        <v>-1411.9909272065001</v>
      </c>
      <c r="P2703">
        <f>-792.889564773853 -123.576518335714 -220.253257708137</f>
        <v>-1136.7193408177041</v>
      </c>
      <c r="Q2703" t="s">
        <v>37764</v>
      </c>
      <c r="R2703" t="s">
        <v>37765</v>
      </c>
      <c r="S2703" t="s">
        <v>37766</v>
      </c>
      <c r="T2703" t="s">
        <v>37767</v>
      </c>
      <c r="U2703" t="s">
        <v>37768</v>
      </c>
      <c r="V2703">
        <f>-749.407160166058 -8.46881939213176 -91.9979723114791</f>
        <v>-849.87395186966887</v>
      </c>
      <c r="W2703" t="s">
        <v>37769</v>
      </c>
      <c r="X2703" t="s">
        <v>37770</v>
      </c>
      <c r="Y2703" t="s">
        <v>37771</v>
      </c>
    </row>
    <row r="2704" spans="1:25" x14ac:dyDescent="0.3">
      <c r="A2704">
        <v>135150</v>
      </c>
      <c r="B2704" t="s">
        <v>37772</v>
      </c>
      <c r="C2704" t="s">
        <v>37773</v>
      </c>
      <c r="D2704" t="s">
        <v>37774</v>
      </c>
      <c r="E2704" t="s">
        <v>37775</v>
      </c>
      <c r="F2704" t="s">
        <v>37776</v>
      </c>
      <c r="G2704" t="s">
        <v>37777</v>
      </c>
      <c r="H2704" t="s">
        <v>37778</v>
      </c>
      <c r="I2704" t="s">
        <v>37779</v>
      </c>
      <c r="J2704" t="s">
        <v>37780</v>
      </c>
      <c r="K2704" t="s">
        <v>37781</v>
      </c>
      <c r="L2704" t="s">
        <v>37782</v>
      </c>
      <c r="M2704" t="s">
        <v>37783</v>
      </c>
      <c r="N2704" t="s">
        <v>37784</v>
      </c>
      <c r="O2704">
        <f>-796.870169176711 -101.470303346436 -513.668926750472</f>
        <v>-1412.009399273619</v>
      </c>
      <c r="P2704">
        <f>-792.816381475096 -123.582237343859 -220.265083249682</f>
        <v>-1136.6637020686371</v>
      </c>
      <c r="Q2704" t="s">
        <v>37785</v>
      </c>
      <c r="R2704" t="s">
        <v>37786</v>
      </c>
      <c r="S2704" t="s">
        <v>37787</v>
      </c>
      <c r="T2704" t="s">
        <v>37788</v>
      </c>
      <c r="U2704" t="s">
        <v>37789</v>
      </c>
      <c r="V2704">
        <f>-749.194849390471 -8.46436280311559 -92.0062939491029</f>
        <v>-849.66550614268942</v>
      </c>
      <c r="W2704" t="s">
        <v>37790</v>
      </c>
      <c r="X2704" t="s">
        <v>37791</v>
      </c>
      <c r="Y2704" t="s">
        <v>37792</v>
      </c>
    </row>
    <row r="2705" spans="1:25" x14ac:dyDescent="0.3">
      <c r="A2705">
        <v>135200</v>
      </c>
      <c r="B2705" t="s">
        <v>37793</v>
      </c>
      <c r="C2705" t="s">
        <v>37794</v>
      </c>
      <c r="D2705" t="s">
        <v>37795</v>
      </c>
      <c r="E2705" t="s">
        <v>37796</v>
      </c>
      <c r="F2705" t="s">
        <v>37797</v>
      </c>
      <c r="G2705" t="s">
        <v>37798</v>
      </c>
      <c r="H2705" t="s">
        <v>37799</v>
      </c>
      <c r="I2705" t="s">
        <v>37800</v>
      </c>
      <c r="J2705" t="s">
        <v>37801</v>
      </c>
      <c r="K2705" t="s">
        <v>37802</v>
      </c>
      <c r="L2705" t="s">
        <v>37803</v>
      </c>
      <c r="M2705" t="s">
        <v>37804</v>
      </c>
      <c r="N2705" t="s">
        <v>37805</v>
      </c>
      <c r="O2705">
        <f>-797.018404166174 -101.320715063931 -513.737164274211</f>
        <v>-1412.0762835043161</v>
      </c>
      <c r="P2705">
        <f>-792.687822690859 -123.522738273623 -220.344092249006</f>
        <v>-1136.5546532134879</v>
      </c>
      <c r="Q2705" t="s">
        <v>37806</v>
      </c>
      <c r="R2705" t="s">
        <v>37807</v>
      </c>
      <c r="S2705" t="s">
        <v>37808</v>
      </c>
      <c r="T2705" t="s">
        <v>37809</v>
      </c>
      <c r="U2705" t="s">
        <v>37810</v>
      </c>
      <c r="V2705">
        <f>-748.714435508906 -8.40361580077092 -92.0317113674704</f>
        <v>-849.14976267714735</v>
      </c>
      <c r="W2705" t="s">
        <v>37811</v>
      </c>
      <c r="X2705" t="s">
        <v>37812</v>
      </c>
      <c r="Y2705" t="s">
        <v>37813</v>
      </c>
    </row>
    <row r="2706" spans="1:25" x14ac:dyDescent="0.3">
      <c r="A2706">
        <v>135250</v>
      </c>
      <c r="B2706" t="s">
        <v>37814</v>
      </c>
      <c r="C2706" t="s">
        <v>37815</v>
      </c>
      <c r="D2706" t="s">
        <v>37816</v>
      </c>
      <c r="E2706" t="s">
        <v>37817</v>
      </c>
      <c r="F2706" t="s">
        <v>37818</v>
      </c>
      <c r="G2706" t="s">
        <v>37819</v>
      </c>
      <c r="H2706" t="s">
        <v>37820</v>
      </c>
      <c r="I2706" t="s">
        <v>37821</v>
      </c>
      <c r="J2706" t="s">
        <v>37822</v>
      </c>
      <c r="K2706" t="s">
        <v>37823</v>
      </c>
      <c r="L2706" t="s">
        <v>37824</v>
      </c>
      <c r="M2706" t="s">
        <v>37825</v>
      </c>
      <c r="N2706" t="s">
        <v>37826</v>
      </c>
      <c r="O2706">
        <f>-797.010311615222 -101.19163118563 -513.792647444024</f>
        <v>-1411.9945902448762</v>
      </c>
      <c r="P2706">
        <f>-792.580207681416 -123.340371382142 -220.396900685514</f>
        <v>-1136.3174797490722</v>
      </c>
      <c r="Q2706" t="s">
        <v>37827</v>
      </c>
      <c r="R2706" t="s">
        <v>37828</v>
      </c>
      <c r="S2706" t="s">
        <v>37829</v>
      </c>
      <c r="T2706" t="s">
        <v>37830</v>
      </c>
      <c r="U2706" t="s">
        <v>37831</v>
      </c>
      <c r="V2706">
        <f>-748.491435903116 -8.3751051962347 -92.0543725478252</f>
        <v>-848.92091364717589</v>
      </c>
      <c r="W2706" t="s">
        <v>37832</v>
      </c>
      <c r="X2706" t="s">
        <v>37833</v>
      </c>
      <c r="Y2706" t="s">
        <v>37834</v>
      </c>
    </row>
    <row r="2707" spans="1:25" x14ac:dyDescent="0.3">
      <c r="A2707">
        <v>135300</v>
      </c>
      <c r="B2707" t="s">
        <v>37835</v>
      </c>
      <c r="C2707" t="s">
        <v>37836</v>
      </c>
      <c r="D2707" t="s">
        <v>37837</v>
      </c>
      <c r="E2707" t="s">
        <v>37838</v>
      </c>
      <c r="F2707" t="s">
        <v>37839</v>
      </c>
      <c r="G2707" t="s">
        <v>37840</v>
      </c>
      <c r="H2707" t="s">
        <v>37841</v>
      </c>
      <c r="I2707" t="s">
        <v>37842</v>
      </c>
      <c r="J2707" t="s">
        <v>37843</v>
      </c>
      <c r="K2707" t="s">
        <v>37844</v>
      </c>
      <c r="L2707" t="s">
        <v>37845</v>
      </c>
      <c r="M2707" t="s">
        <v>37846</v>
      </c>
      <c r="N2707" t="s">
        <v>37847</v>
      </c>
      <c r="O2707">
        <f>-796.691023367606 -100.9388774139 -513.943151907611</f>
        <v>-1411.573052689117</v>
      </c>
      <c r="P2707">
        <f>-792.076309978732 -123.239368626044 -220.562002856465</f>
        <v>-1135.8776814612409</v>
      </c>
      <c r="Q2707" t="s">
        <v>37848</v>
      </c>
      <c r="R2707" t="s">
        <v>37849</v>
      </c>
      <c r="S2707" t="s">
        <v>37850</v>
      </c>
      <c r="T2707" t="s">
        <v>37851</v>
      </c>
      <c r="U2707" t="s">
        <v>37852</v>
      </c>
      <c r="V2707">
        <f>-748.087173367217 -8.19452589151751 -92.0884238296717</f>
        <v>-848.37012308840622</v>
      </c>
      <c r="W2707" t="s">
        <v>37853</v>
      </c>
      <c r="X2707" t="s">
        <v>37854</v>
      </c>
      <c r="Y2707" t="s">
        <v>37855</v>
      </c>
    </row>
    <row r="2708" spans="1:25" x14ac:dyDescent="0.3">
      <c r="A2708">
        <v>135350</v>
      </c>
      <c r="B2708" t="s">
        <v>37856</v>
      </c>
      <c r="C2708" t="s">
        <v>37857</v>
      </c>
      <c r="D2708" t="s">
        <v>37858</v>
      </c>
      <c r="E2708" t="s">
        <v>37859</v>
      </c>
      <c r="F2708" t="s">
        <v>37860</v>
      </c>
      <c r="G2708" t="s">
        <v>37861</v>
      </c>
      <c r="H2708" t="s">
        <v>37862</v>
      </c>
      <c r="I2708" t="s">
        <v>37863</v>
      </c>
      <c r="J2708" t="s">
        <v>37864</v>
      </c>
      <c r="K2708" t="s">
        <v>37865</v>
      </c>
      <c r="L2708" t="s">
        <v>37866</v>
      </c>
      <c r="M2708" t="s">
        <v>37867</v>
      </c>
      <c r="N2708" t="s">
        <v>37868</v>
      </c>
      <c r="O2708">
        <f>-796.527109422691 -100.765901232142 -514.028610153782</f>
        <v>-1411.3216208086151</v>
      </c>
      <c r="P2708">
        <f>-791.875125069459 -123.25231103497 -220.662063208701</f>
        <v>-1135.7894993131301</v>
      </c>
      <c r="Q2708" t="s">
        <v>37869</v>
      </c>
      <c r="R2708" t="s">
        <v>37870</v>
      </c>
      <c r="S2708" t="s">
        <v>37871</v>
      </c>
      <c r="T2708" t="s">
        <v>37872</v>
      </c>
      <c r="U2708" t="s">
        <v>37873</v>
      </c>
      <c r="V2708">
        <f>-747.898498747464 -8.16924021931436 -92.0995436648404</f>
        <v>-848.16728263161883</v>
      </c>
      <c r="W2708" t="s">
        <v>37874</v>
      </c>
      <c r="X2708" t="s">
        <v>37875</v>
      </c>
      <c r="Y2708" t="s">
        <v>37876</v>
      </c>
    </row>
    <row r="2709" spans="1:25" x14ac:dyDescent="0.3">
      <c r="A2709">
        <v>135400</v>
      </c>
      <c r="B2709" t="s">
        <v>37877</v>
      </c>
      <c r="C2709" t="s">
        <v>37878</v>
      </c>
      <c r="D2709" t="s">
        <v>37879</v>
      </c>
      <c r="E2709" t="s">
        <v>37880</v>
      </c>
      <c r="F2709" t="s">
        <v>37881</v>
      </c>
      <c r="G2709" t="s">
        <v>37882</v>
      </c>
      <c r="H2709" t="s">
        <v>37883</v>
      </c>
      <c r="I2709" t="s">
        <v>37884</v>
      </c>
      <c r="J2709" t="s">
        <v>37885</v>
      </c>
      <c r="K2709" t="s">
        <v>37886</v>
      </c>
      <c r="L2709" t="s">
        <v>37887</v>
      </c>
      <c r="M2709" t="s">
        <v>37888</v>
      </c>
      <c r="N2709" t="s">
        <v>37889</v>
      </c>
      <c r="O2709">
        <f>-796.272613152639 -100.763940533306 -514.185512132942</f>
        <v>-1411.2220658188871</v>
      </c>
      <c r="P2709">
        <f>-791.529270956511 -123.536825189543 -220.842532553704</f>
        <v>-1135.9086286997581</v>
      </c>
      <c r="Q2709" t="s">
        <v>37890</v>
      </c>
      <c r="R2709" t="s">
        <v>37891</v>
      </c>
      <c r="S2709" t="s">
        <v>37892</v>
      </c>
      <c r="T2709" t="s">
        <v>37893</v>
      </c>
      <c r="U2709" t="s">
        <v>37894</v>
      </c>
      <c r="V2709">
        <f>-747.687100463621 -8.29321506971201 -92.1130675322934</f>
        <v>-848.09338306562643</v>
      </c>
      <c r="W2709" t="s">
        <v>37895</v>
      </c>
      <c r="X2709" t="s">
        <v>37896</v>
      </c>
      <c r="Y2709" t="s">
        <v>37897</v>
      </c>
    </row>
    <row r="2710" spans="1:25" x14ac:dyDescent="0.3">
      <c r="A2710">
        <v>135450</v>
      </c>
      <c r="B2710" t="s">
        <v>37898</v>
      </c>
      <c r="C2710" t="s">
        <v>37899</v>
      </c>
      <c r="D2710" t="s">
        <v>37900</v>
      </c>
      <c r="E2710" t="s">
        <v>37901</v>
      </c>
      <c r="F2710" t="s">
        <v>37902</v>
      </c>
      <c r="G2710" t="s">
        <v>37903</v>
      </c>
      <c r="H2710" t="s">
        <v>37904</v>
      </c>
      <c r="I2710" t="s">
        <v>37905</v>
      </c>
      <c r="J2710" t="s">
        <v>37906</v>
      </c>
      <c r="K2710" t="s">
        <v>37907</v>
      </c>
      <c r="L2710" t="s">
        <v>37908</v>
      </c>
      <c r="M2710" t="s">
        <v>37909</v>
      </c>
      <c r="N2710" t="s">
        <v>37910</v>
      </c>
      <c r="O2710">
        <f>-796.220314650711 -100.806766654739 -514.225636425327</f>
        <v>-1411.252717730777</v>
      </c>
      <c r="P2710">
        <f>-791.50778485796 -123.625859827319 -220.885828103463</f>
        <v>-1136.019472788742</v>
      </c>
      <c r="Q2710" t="s">
        <v>37911</v>
      </c>
      <c r="R2710" t="s">
        <v>37912</v>
      </c>
      <c r="S2710" t="s">
        <v>37913</v>
      </c>
      <c r="T2710" t="s">
        <v>37914</v>
      </c>
      <c r="U2710" t="s">
        <v>37915</v>
      </c>
      <c r="V2710">
        <f>-747.614261511386 -8.31695058374862 -92.1208368746641</f>
        <v>-848.05204896979865</v>
      </c>
      <c r="W2710" t="s">
        <v>37916</v>
      </c>
      <c r="X2710" t="s">
        <v>37917</v>
      </c>
      <c r="Y2710" t="s">
        <v>37918</v>
      </c>
    </row>
    <row r="2711" spans="1:25" x14ac:dyDescent="0.3">
      <c r="A2711">
        <v>135500</v>
      </c>
      <c r="B2711" t="s">
        <v>37919</v>
      </c>
      <c r="C2711" t="s">
        <v>37920</v>
      </c>
      <c r="D2711" t="s">
        <v>37921</v>
      </c>
      <c r="E2711" t="s">
        <v>37922</v>
      </c>
      <c r="F2711" t="s">
        <v>37923</v>
      </c>
      <c r="G2711" t="s">
        <v>37924</v>
      </c>
      <c r="H2711" t="s">
        <v>37925</v>
      </c>
      <c r="I2711" t="s">
        <v>37926</v>
      </c>
      <c r="J2711" t="s">
        <v>37927</v>
      </c>
      <c r="K2711" t="s">
        <v>37928</v>
      </c>
      <c r="L2711" t="s">
        <v>37929</v>
      </c>
      <c r="M2711" t="s">
        <v>37930</v>
      </c>
      <c r="N2711" t="s">
        <v>37931</v>
      </c>
      <c r="O2711">
        <f>-796.208667454455 -100.691262502375 -514.310724494968</f>
        <v>-1411.2106544517981</v>
      </c>
      <c r="P2711">
        <f>-791.524748339989 -123.574373864403 -220.975440127016</f>
        <v>-1136.0745623314078</v>
      </c>
      <c r="Q2711" t="s">
        <v>37932</v>
      </c>
      <c r="R2711" t="s">
        <v>37933</v>
      </c>
      <c r="S2711" t="s">
        <v>37934</v>
      </c>
      <c r="T2711" t="s">
        <v>37935</v>
      </c>
      <c r="U2711" t="s">
        <v>37936</v>
      </c>
      <c r="V2711">
        <f>-747.485340424409 -8.38019875642135 -92.1419415717439</f>
        <v>-848.00748075257422</v>
      </c>
      <c r="W2711" t="s">
        <v>37937</v>
      </c>
      <c r="X2711" t="s">
        <v>37938</v>
      </c>
      <c r="Y2711" t="s">
        <v>37939</v>
      </c>
    </row>
    <row r="2712" spans="1:25" x14ac:dyDescent="0.3">
      <c r="A2712">
        <v>135550</v>
      </c>
      <c r="B2712" t="s">
        <v>37940</v>
      </c>
      <c r="C2712" t="s">
        <v>37941</v>
      </c>
      <c r="D2712" t="s">
        <v>37942</v>
      </c>
      <c r="E2712" t="s">
        <v>37943</v>
      </c>
      <c r="F2712" t="s">
        <v>37944</v>
      </c>
      <c r="G2712" t="s">
        <v>37945</v>
      </c>
      <c r="H2712" t="s">
        <v>37946</v>
      </c>
      <c r="I2712" t="s">
        <v>37947</v>
      </c>
      <c r="J2712" t="s">
        <v>37948</v>
      </c>
      <c r="K2712" t="s">
        <v>37949</v>
      </c>
      <c r="L2712" t="s">
        <v>37950</v>
      </c>
      <c r="M2712" t="s">
        <v>37951</v>
      </c>
      <c r="N2712" t="s">
        <v>37952</v>
      </c>
      <c r="O2712">
        <f>-796.198417037233 -100.640398109451 -514.346657287694</f>
        <v>-1411.185472434378</v>
      </c>
      <c r="P2712">
        <f>-791.486557859383 -123.604193193045 -221.018076960165</f>
        <v>-1136.108828012593</v>
      </c>
      <c r="Q2712" t="s">
        <v>37953</v>
      </c>
      <c r="R2712" t="s">
        <v>37954</v>
      </c>
      <c r="S2712" t="s">
        <v>37955</v>
      </c>
      <c r="T2712" t="s">
        <v>37956</v>
      </c>
      <c r="U2712" t="s">
        <v>37957</v>
      </c>
      <c r="V2712">
        <f>-747.473509076684 -8.3371032599623 -92.1427350481584</f>
        <v>-847.95334738480472</v>
      </c>
      <c r="W2712" t="s">
        <v>37958</v>
      </c>
      <c r="X2712" t="s">
        <v>37959</v>
      </c>
      <c r="Y2712" t="s">
        <v>37960</v>
      </c>
    </row>
    <row r="2713" spans="1:25" x14ac:dyDescent="0.3">
      <c r="A2713">
        <v>135600</v>
      </c>
      <c r="B2713" t="s">
        <v>37961</v>
      </c>
      <c r="C2713" t="s">
        <v>37962</v>
      </c>
      <c r="D2713" t="s">
        <v>37963</v>
      </c>
      <c r="E2713" t="s">
        <v>37964</v>
      </c>
      <c r="F2713" t="s">
        <v>37965</v>
      </c>
      <c r="G2713" t="s">
        <v>37966</v>
      </c>
      <c r="H2713" t="s">
        <v>37967</v>
      </c>
      <c r="I2713" t="s">
        <v>37968</v>
      </c>
      <c r="J2713" t="s">
        <v>37969</v>
      </c>
      <c r="K2713" t="s">
        <v>37970</v>
      </c>
      <c r="L2713" t="s">
        <v>37971</v>
      </c>
      <c r="M2713" t="s">
        <v>37972</v>
      </c>
      <c r="N2713" t="s">
        <v>37973</v>
      </c>
      <c r="O2713">
        <f>-796.02594425078 -100.432782852226 -514.435459478139</f>
        <v>-1410.8941865811448</v>
      </c>
      <c r="P2713">
        <f>-791.367586505392 -123.540738164854 -221.117373959271</f>
        <v>-1136.0256986295169</v>
      </c>
      <c r="Q2713" t="s">
        <v>37974</v>
      </c>
      <c r="R2713" t="s">
        <v>37975</v>
      </c>
      <c r="S2713" t="s">
        <v>37976</v>
      </c>
      <c r="T2713" t="s">
        <v>37977</v>
      </c>
      <c r="U2713" t="s">
        <v>37978</v>
      </c>
      <c r="V2713">
        <f>-747.516557962686 -8.27939068619571 -92.1515589292206</f>
        <v>-847.94750757810232</v>
      </c>
      <c r="W2713" t="s">
        <v>37979</v>
      </c>
      <c r="X2713" t="s">
        <v>37980</v>
      </c>
      <c r="Y2713" t="s">
        <v>37981</v>
      </c>
    </row>
    <row r="2714" spans="1:25" x14ac:dyDescent="0.3">
      <c r="A2714">
        <v>135650</v>
      </c>
      <c r="B2714" t="s">
        <v>37982</v>
      </c>
      <c r="C2714" t="s">
        <v>37983</v>
      </c>
      <c r="D2714" t="s">
        <v>37984</v>
      </c>
      <c r="E2714" t="s">
        <v>37985</v>
      </c>
      <c r="F2714" t="s">
        <v>37986</v>
      </c>
      <c r="G2714" t="s">
        <v>37987</v>
      </c>
      <c r="H2714" t="s">
        <v>37988</v>
      </c>
      <c r="I2714" t="s">
        <v>37989</v>
      </c>
      <c r="J2714" t="s">
        <v>37990</v>
      </c>
      <c r="K2714" t="s">
        <v>37991</v>
      </c>
      <c r="L2714" t="s">
        <v>37992</v>
      </c>
      <c r="M2714" t="s">
        <v>37993</v>
      </c>
      <c r="N2714" t="s">
        <v>37994</v>
      </c>
      <c r="O2714">
        <f>-796.036038125183 -100.333777721568 -514.473200605257</f>
        <v>-1410.8430164520082</v>
      </c>
      <c r="P2714">
        <f>-791.402386330536 -123.426810309028 -221.153516465431</f>
        <v>-1135.9827131049951</v>
      </c>
      <c r="Q2714" t="s">
        <v>37995</v>
      </c>
      <c r="R2714" t="s">
        <v>37996</v>
      </c>
      <c r="S2714" t="s">
        <v>37997</v>
      </c>
      <c r="T2714" t="s">
        <v>37998</v>
      </c>
      <c r="U2714" t="s">
        <v>37999</v>
      </c>
      <c r="V2714">
        <f>-747.600958729505 -8.25836380055352 -92.1549266748848</f>
        <v>-848.01424920494333</v>
      </c>
      <c r="W2714" t="s">
        <v>38000</v>
      </c>
      <c r="X2714" t="s">
        <v>38001</v>
      </c>
      <c r="Y2714" t="s">
        <v>38002</v>
      </c>
    </row>
    <row r="2715" spans="1:25" x14ac:dyDescent="0.3">
      <c r="A2715">
        <v>135700</v>
      </c>
      <c r="B2715" t="s">
        <v>38003</v>
      </c>
      <c r="C2715" t="s">
        <v>38004</v>
      </c>
      <c r="D2715" t="s">
        <v>38005</v>
      </c>
      <c r="E2715" t="s">
        <v>38006</v>
      </c>
      <c r="F2715" t="s">
        <v>38007</v>
      </c>
      <c r="G2715" t="s">
        <v>38008</v>
      </c>
      <c r="H2715" t="s">
        <v>38009</v>
      </c>
      <c r="I2715" t="s">
        <v>38010</v>
      </c>
      <c r="J2715" t="s">
        <v>38011</v>
      </c>
      <c r="K2715" t="s">
        <v>38012</v>
      </c>
      <c r="L2715" t="s">
        <v>38013</v>
      </c>
      <c r="M2715" t="s">
        <v>38014</v>
      </c>
      <c r="N2715" t="s">
        <v>38015</v>
      </c>
      <c r="O2715">
        <f>-796.187501395577 -100.01590445027 -514.508412641612</f>
        <v>-1410.7118184874589</v>
      </c>
      <c r="P2715">
        <f>-791.612669024739 -123.144811176336 -221.190684684751</f>
        <v>-1135.9481648858261</v>
      </c>
      <c r="Q2715" t="s">
        <v>38016</v>
      </c>
      <c r="R2715" t="s">
        <v>38017</v>
      </c>
      <c r="S2715" t="s">
        <v>38018</v>
      </c>
      <c r="T2715" t="s">
        <v>38019</v>
      </c>
      <c r="U2715" t="s">
        <v>38020</v>
      </c>
      <c r="V2715">
        <f>-747.753822916741 -7.87961282521132 -92.1511339552108</f>
        <v>-847.78456969716308</v>
      </c>
      <c r="W2715" t="s">
        <v>38021</v>
      </c>
      <c r="X2715" t="s">
        <v>38022</v>
      </c>
      <c r="Y2715" t="s">
        <v>38023</v>
      </c>
    </row>
    <row r="2716" spans="1:25" x14ac:dyDescent="0.3">
      <c r="A2716">
        <v>135750</v>
      </c>
      <c r="B2716" t="s">
        <v>38024</v>
      </c>
      <c r="C2716" t="s">
        <v>38025</v>
      </c>
      <c r="D2716" t="s">
        <v>38026</v>
      </c>
      <c r="E2716" t="s">
        <v>38027</v>
      </c>
      <c r="F2716" t="s">
        <v>38028</v>
      </c>
      <c r="G2716" t="s">
        <v>38029</v>
      </c>
      <c r="H2716" t="s">
        <v>38030</v>
      </c>
      <c r="I2716" t="s">
        <v>38031</v>
      </c>
      <c r="J2716" t="s">
        <v>38032</v>
      </c>
      <c r="K2716" t="s">
        <v>38033</v>
      </c>
      <c r="L2716" t="s">
        <v>38034</v>
      </c>
      <c r="M2716" t="s">
        <v>38035</v>
      </c>
      <c r="N2716" t="s">
        <v>38036</v>
      </c>
      <c r="O2716">
        <f>-796.433044666792 -99.9311025987574 -514.513021436681</f>
        <v>-1410.8771687022304</v>
      </c>
      <c r="P2716">
        <f>-791.839414902425 -123.118858004102 -221.200134014552</f>
        <v>-1136.1584069210789</v>
      </c>
      <c r="Q2716" t="s">
        <v>38037</v>
      </c>
      <c r="R2716" t="s">
        <v>38038</v>
      </c>
      <c r="S2716" t="s">
        <v>38039</v>
      </c>
      <c r="T2716" t="s">
        <v>38040</v>
      </c>
      <c r="U2716" t="s">
        <v>38041</v>
      </c>
      <c r="V2716">
        <f>-747.990274023549 -7.91003406925006 -92.139807675549</f>
        <v>-848.04011576834807</v>
      </c>
      <c r="W2716" t="s">
        <v>38042</v>
      </c>
      <c r="X2716" t="s">
        <v>38043</v>
      </c>
      <c r="Y2716" t="s">
        <v>38044</v>
      </c>
    </row>
    <row r="2717" spans="1:25" x14ac:dyDescent="0.3">
      <c r="A2717">
        <v>135800</v>
      </c>
      <c r="B2717" t="s">
        <v>38045</v>
      </c>
      <c r="C2717" t="s">
        <v>38046</v>
      </c>
      <c r="D2717" t="s">
        <v>38047</v>
      </c>
      <c r="E2717" t="s">
        <v>38048</v>
      </c>
      <c r="F2717" t="s">
        <v>38049</v>
      </c>
      <c r="G2717" t="s">
        <v>38050</v>
      </c>
      <c r="H2717" t="s">
        <v>38051</v>
      </c>
      <c r="I2717" t="s">
        <v>38052</v>
      </c>
      <c r="J2717" t="s">
        <v>38053</v>
      </c>
      <c r="K2717" t="s">
        <v>38054</v>
      </c>
      <c r="L2717" t="s">
        <v>38055</v>
      </c>
      <c r="M2717" t="s">
        <v>38056</v>
      </c>
      <c r="N2717" t="s">
        <v>38057</v>
      </c>
      <c r="O2717">
        <f>-796.973171696457 -99.5626403691799 -514.517316049547</f>
        <v>-1411.0531281151839</v>
      </c>
      <c r="P2717">
        <f>-792.262625928909 -122.834419987363 -221.21281616628</f>
        <v>-1136.3098620825519</v>
      </c>
      <c r="Q2717" t="s">
        <v>38058</v>
      </c>
      <c r="R2717" t="s">
        <v>38059</v>
      </c>
      <c r="S2717" t="s">
        <v>38060</v>
      </c>
      <c r="T2717" t="s">
        <v>38061</v>
      </c>
      <c r="U2717" t="s">
        <v>38062</v>
      </c>
      <c r="V2717">
        <f>-748.247354388617 -7.49086552793756 -92.1447840045523</f>
        <v>-847.88300392110693</v>
      </c>
      <c r="W2717" t="s">
        <v>38063</v>
      </c>
      <c r="X2717" t="s">
        <v>38064</v>
      </c>
      <c r="Y2717" t="s">
        <v>38065</v>
      </c>
    </row>
    <row r="2718" spans="1:25" x14ac:dyDescent="0.3">
      <c r="A2718">
        <v>135850</v>
      </c>
      <c r="B2718" t="s">
        <v>38066</v>
      </c>
      <c r="C2718" t="s">
        <v>38067</v>
      </c>
      <c r="D2718" t="s">
        <v>38068</v>
      </c>
      <c r="E2718" t="s">
        <v>38069</v>
      </c>
      <c r="F2718" t="s">
        <v>38070</v>
      </c>
      <c r="G2718" t="s">
        <v>38071</v>
      </c>
      <c r="H2718" t="s">
        <v>38072</v>
      </c>
      <c r="I2718" t="s">
        <v>38073</v>
      </c>
      <c r="J2718" t="s">
        <v>38074</v>
      </c>
      <c r="K2718" t="s">
        <v>38075</v>
      </c>
      <c r="L2718" t="s">
        <v>38076</v>
      </c>
      <c r="M2718" t="s">
        <v>38077</v>
      </c>
      <c r="N2718" t="s">
        <v>38078</v>
      </c>
      <c r="O2718">
        <f>-797.251676270268 -99.5206710129639 -514.526203060676</f>
        <v>-1411.2985503439081</v>
      </c>
      <c r="P2718">
        <f>-792.536241241071 -122.778432831097 -221.220750051857</f>
        <v>-1136.535424124025</v>
      </c>
      <c r="Q2718" t="s">
        <v>38079</v>
      </c>
      <c r="R2718" t="s">
        <v>38080</v>
      </c>
      <c r="S2718" t="s">
        <v>38081</v>
      </c>
      <c r="T2718" t="s">
        <v>38082</v>
      </c>
      <c r="U2718" t="s">
        <v>38083</v>
      </c>
      <c r="V2718">
        <f>-748.47791443555 -7.53186614886135 -92.1307173216983</f>
        <v>-848.14049790610966</v>
      </c>
      <c r="W2718" t="s">
        <v>38084</v>
      </c>
      <c r="X2718" t="s">
        <v>38085</v>
      </c>
      <c r="Y2718" t="s">
        <v>38086</v>
      </c>
    </row>
    <row r="2719" spans="1:25" x14ac:dyDescent="0.3">
      <c r="A2719">
        <v>135900</v>
      </c>
      <c r="B2719" t="s">
        <v>38087</v>
      </c>
      <c r="C2719" t="s">
        <v>38088</v>
      </c>
      <c r="D2719" t="s">
        <v>38089</v>
      </c>
      <c r="E2719" t="s">
        <v>38090</v>
      </c>
      <c r="F2719" t="s">
        <v>38091</v>
      </c>
      <c r="G2719" t="s">
        <v>38092</v>
      </c>
      <c r="H2719" t="s">
        <v>38093</v>
      </c>
      <c r="I2719" t="s">
        <v>38094</v>
      </c>
      <c r="J2719" t="s">
        <v>38095</v>
      </c>
      <c r="K2719" t="s">
        <v>38096</v>
      </c>
      <c r="L2719" t="s">
        <v>38097</v>
      </c>
      <c r="M2719" t="s">
        <v>38098</v>
      </c>
      <c r="N2719" t="s">
        <v>38099</v>
      </c>
      <c r="O2719">
        <f>-797.685807205195 -99.2853231018471 -514.525331492349</f>
        <v>-1411.496461799391</v>
      </c>
      <c r="P2719">
        <f>-792.892915722053 -122.599386655187 -221.225731257372</f>
        <v>-1136.7180336346119</v>
      </c>
      <c r="Q2719" t="s">
        <v>38100</v>
      </c>
      <c r="R2719" t="s">
        <v>38101</v>
      </c>
      <c r="S2719" t="s">
        <v>38102</v>
      </c>
      <c r="T2719" t="s">
        <v>38103</v>
      </c>
      <c r="U2719" t="s">
        <v>38104</v>
      </c>
      <c r="V2719">
        <f>-748.652051685696 -7.27028980670229 -92.0835508098687</f>
        <v>-848.00589230226706</v>
      </c>
      <c r="W2719" t="s">
        <v>38105</v>
      </c>
      <c r="X2719" t="s">
        <v>38106</v>
      </c>
      <c r="Y2719" t="s">
        <v>38107</v>
      </c>
    </row>
    <row r="2720" spans="1:25" x14ac:dyDescent="0.3">
      <c r="A2720">
        <v>135950</v>
      </c>
      <c r="B2720" t="s">
        <v>38108</v>
      </c>
      <c r="C2720" t="s">
        <v>38109</v>
      </c>
      <c r="D2720" t="s">
        <v>38110</v>
      </c>
      <c r="E2720" t="s">
        <v>38111</v>
      </c>
      <c r="F2720" t="s">
        <v>38112</v>
      </c>
      <c r="G2720" t="s">
        <v>38113</v>
      </c>
      <c r="H2720" t="s">
        <v>38114</v>
      </c>
      <c r="I2720" t="s">
        <v>38115</v>
      </c>
      <c r="J2720" t="s">
        <v>38116</v>
      </c>
      <c r="K2720" t="s">
        <v>38117</v>
      </c>
      <c r="L2720" t="s">
        <v>38118</v>
      </c>
      <c r="M2720" t="s">
        <v>38119</v>
      </c>
      <c r="N2720" t="s">
        <v>38120</v>
      </c>
      <c r="O2720">
        <f>-797.912951218768 -99.2912487943629 -514.530689785571</f>
        <v>-1411.7348897987017</v>
      </c>
      <c r="P2720">
        <f>-793.080143283483 -122.602582474437 -221.231451342203</f>
        <v>-1136.914177100123</v>
      </c>
      <c r="Q2720" t="s">
        <v>38121</v>
      </c>
      <c r="R2720" t="s">
        <v>38122</v>
      </c>
      <c r="S2720" t="s">
        <v>38123</v>
      </c>
      <c r="T2720" t="s">
        <v>38124</v>
      </c>
      <c r="U2720" t="s">
        <v>38125</v>
      </c>
      <c r="V2720">
        <f>-748.788142446588 -7.41204931321613 -92.0590847047474</f>
        <v>-848.25927646455159</v>
      </c>
      <c r="W2720" t="s">
        <v>38126</v>
      </c>
      <c r="X2720" t="s">
        <v>38127</v>
      </c>
      <c r="Y2720" t="s">
        <v>38128</v>
      </c>
    </row>
    <row r="2721" spans="1:25" x14ac:dyDescent="0.3">
      <c r="A2721">
        <v>136000</v>
      </c>
      <c r="B2721" t="s">
        <v>38129</v>
      </c>
      <c r="C2721" t="s">
        <v>38130</v>
      </c>
      <c r="D2721" t="s">
        <v>38131</v>
      </c>
      <c r="E2721" t="s">
        <v>38132</v>
      </c>
      <c r="F2721" t="s">
        <v>38133</v>
      </c>
      <c r="G2721" t="s">
        <v>38134</v>
      </c>
      <c r="H2721" t="s">
        <v>38135</v>
      </c>
      <c r="I2721" t="s">
        <v>38136</v>
      </c>
      <c r="J2721" t="s">
        <v>38137</v>
      </c>
      <c r="K2721" t="s">
        <v>38138</v>
      </c>
      <c r="L2721" t="s">
        <v>38139</v>
      </c>
      <c r="M2721" t="s">
        <v>38140</v>
      </c>
      <c r="N2721" t="s">
        <v>38141</v>
      </c>
      <c r="O2721">
        <f>-798.318976522572 -99.2942175714975 -514.48918338188</f>
        <v>-1412.1023774759497</v>
      </c>
      <c r="P2721">
        <f>-793.319589129083 -122.511451054005 -221.185233809588</f>
        <v>-1137.0162739926759</v>
      </c>
      <c r="Q2721" t="s">
        <v>38142</v>
      </c>
      <c r="R2721" t="s">
        <v>38143</v>
      </c>
      <c r="S2721" t="s">
        <v>38144</v>
      </c>
      <c r="T2721" t="s">
        <v>38145</v>
      </c>
      <c r="U2721" t="s">
        <v>38146</v>
      </c>
      <c r="V2721">
        <f>-748.851678026777 -7.40366253327625 -92.0268906075861</f>
        <v>-848.28223116763934</v>
      </c>
      <c r="W2721" t="s">
        <v>38147</v>
      </c>
      <c r="X2721" t="s">
        <v>38148</v>
      </c>
      <c r="Y2721" t="s">
        <v>38149</v>
      </c>
    </row>
    <row r="2722" spans="1:25" x14ac:dyDescent="0.3">
      <c r="A2722">
        <v>136050</v>
      </c>
      <c r="B2722" t="s">
        <v>38150</v>
      </c>
      <c r="C2722" t="s">
        <v>38151</v>
      </c>
      <c r="D2722" t="s">
        <v>38152</v>
      </c>
      <c r="E2722" t="s">
        <v>38153</v>
      </c>
      <c r="F2722" t="s">
        <v>38154</v>
      </c>
      <c r="G2722" t="s">
        <v>38155</v>
      </c>
      <c r="H2722" t="s">
        <v>38156</v>
      </c>
      <c r="I2722" t="s">
        <v>38157</v>
      </c>
      <c r="J2722" t="s">
        <v>38158</v>
      </c>
      <c r="K2722" t="s">
        <v>38159</v>
      </c>
      <c r="L2722" t="s">
        <v>38160</v>
      </c>
      <c r="M2722" t="s">
        <v>38161</v>
      </c>
      <c r="N2722" t="s">
        <v>38162</v>
      </c>
      <c r="O2722">
        <f>-798.603475748256 -99.3359946758701 -514.45525234434</f>
        <v>-1412.3947227684662</v>
      </c>
      <c r="P2722">
        <f>-793.52418753308 -122.463157838123 -221.14566375931</f>
        <v>-1137.1330091305131</v>
      </c>
      <c r="Q2722" t="s">
        <v>38163</v>
      </c>
      <c r="R2722" t="s">
        <v>38164</v>
      </c>
      <c r="S2722" t="s">
        <v>38165</v>
      </c>
      <c r="T2722" t="s">
        <v>38166</v>
      </c>
      <c r="U2722" t="s">
        <v>38167</v>
      </c>
      <c r="V2722">
        <f>-748.852583139235 -7.36478459116825 -92.0135739720511</f>
        <v>-848.23094170245429</v>
      </c>
      <c r="W2722" t="s">
        <v>38168</v>
      </c>
      <c r="X2722" t="s">
        <v>38169</v>
      </c>
      <c r="Y2722" t="s">
        <v>38170</v>
      </c>
    </row>
    <row r="2723" spans="1:25" x14ac:dyDescent="0.3">
      <c r="A2723">
        <v>136100</v>
      </c>
      <c r="B2723" t="s">
        <v>38171</v>
      </c>
      <c r="C2723" t="s">
        <v>38172</v>
      </c>
      <c r="D2723" t="s">
        <v>38173</v>
      </c>
      <c r="E2723" t="s">
        <v>38174</v>
      </c>
      <c r="F2723" t="s">
        <v>38175</v>
      </c>
      <c r="G2723" t="s">
        <v>38176</v>
      </c>
      <c r="H2723" t="s">
        <v>38177</v>
      </c>
      <c r="I2723" t="s">
        <v>38178</v>
      </c>
      <c r="J2723" t="s">
        <v>38179</v>
      </c>
      <c r="K2723" t="s">
        <v>38180</v>
      </c>
      <c r="L2723" t="s">
        <v>38181</v>
      </c>
      <c r="M2723" t="s">
        <v>38182</v>
      </c>
      <c r="N2723" t="s">
        <v>38183</v>
      </c>
      <c r="O2723">
        <f>-798.794099844354 -99.5120322546315 -514.43048752907</f>
        <v>-1412.7366196280555</v>
      </c>
      <c r="P2723">
        <f>-793.690401649389 -122.52112319111 -221.112049633457</f>
        <v>-1137.3235744739559</v>
      </c>
      <c r="Q2723" t="s">
        <v>38184</v>
      </c>
      <c r="R2723" t="s">
        <v>38185</v>
      </c>
      <c r="S2723" t="s">
        <v>38186</v>
      </c>
      <c r="T2723" t="s">
        <v>38187</v>
      </c>
      <c r="U2723" t="s">
        <v>38188</v>
      </c>
      <c r="V2723">
        <f>-748.91081669813 -7.60120216039127 -91.9914113863919</f>
        <v>-848.50343024491315</v>
      </c>
      <c r="W2723" t="s">
        <v>38189</v>
      </c>
      <c r="X2723" t="s">
        <v>38190</v>
      </c>
      <c r="Y2723" t="s">
        <v>38191</v>
      </c>
    </row>
    <row r="2724" spans="1:25" x14ac:dyDescent="0.3">
      <c r="A2724">
        <v>136150</v>
      </c>
      <c r="B2724" t="s">
        <v>38192</v>
      </c>
      <c r="C2724" t="s">
        <v>38193</v>
      </c>
      <c r="D2724" t="s">
        <v>38194</v>
      </c>
      <c r="E2724" t="s">
        <v>38195</v>
      </c>
      <c r="F2724" t="s">
        <v>38196</v>
      </c>
      <c r="G2724" t="s">
        <v>38197</v>
      </c>
      <c r="H2724" t="s">
        <v>38198</v>
      </c>
      <c r="I2724" t="s">
        <v>38199</v>
      </c>
      <c r="J2724" t="s">
        <v>38200</v>
      </c>
      <c r="K2724" t="s">
        <v>38201</v>
      </c>
      <c r="L2724" t="s">
        <v>38202</v>
      </c>
      <c r="M2724" t="s">
        <v>38203</v>
      </c>
      <c r="N2724" t="s">
        <v>38204</v>
      </c>
      <c r="O2724">
        <f>-798.741430026525 -99.5777280670252 -514.418017322822</f>
        <v>-1412.7371754163723</v>
      </c>
      <c r="P2724">
        <f>-793.671849186356 -122.595175572535 -221.099649453857</f>
        <v>-1137.366674212748</v>
      </c>
      <c r="Q2724" t="s">
        <v>38205</v>
      </c>
      <c r="R2724" t="s">
        <v>38206</v>
      </c>
      <c r="S2724" t="s">
        <v>38207</v>
      </c>
      <c r="T2724" t="s">
        <v>38208</v>
      </c>
      <c r="U2724" t="s">
        <v>38209</v>
      </c>
      <c r="V2724">
        <f>-748.960383800646 -7.62577980851188 -91.9818707059278</f>
        <v>-848.5680343150857</v>
      </c>
      <c r="W2724" t="s">
        <v>38210</v>
      </c>
      <c r="X2724" t="s">
        <v>38211</v>
      </c>
      <c r="Y2724" t="s">
        <v>38212</v>
      </c>
    </row>
    <row r="2725" spans="1:25" x14ac:dyDescent="0.3">
      <c r="A2725">
        <v>136200</v>
      </c>
      <c r="B2725" t="s">
        <v>38213</v>
      </c>
      <c r="C2725" t="s">
        <v>38214</v>
      </c>
      <c r="D2725" t="s">
        <v>38215</v>
      </c>
      <c r="E2725" t="s">
        <v>38216</v>
      </c>
      <c r="F2725" t="s">
        <v>38217</v>
      </c>
      <c r="G2725" t="s">
        <v>38218</v>
      </c>
      <c r="H2725" t="s">
        <v>38219</v>
      </c>
      <c r="I2725" t="s">
        <v>38220</v>
      </c>
      <c r="J2725" t="s">
        <v>38221</v>
      </c>
      <c r="K2725" t="s">
        <v>38222</v>
      </c>
      <c r="L2725" t="s">
        <v>38223</v>
      </c>
      <c r="M2725" t="s">
        <v>38224</v>
      </c>
      <c r="N2725" t="s">
        <v>38225</v>
      </c>
      <c r="O2725">
        <f>-798.501437571491 -99.3688699214274 -514.355627442756</f>
        <v>-1412.2259349356746</v>
      </c>
      <c r="P2725">
        <f>-793.511509939573 -122.316880805446 -221.030428879876</f>
        <v>-1136.858819624895</v>
      </c>
      <c r="Q2725" t="s">
        <v>38226</v>
      </c>
      <c r="R2725" t="s">
        <v>38227</v>
      </c>
      <c r="S2725" t="s">
        <v>38228</v>
      </c>
      <c r="T2725" t="s">
        <v>38229</v>
      </c>
      <c r="U2725" t="s">
        <v>38230</v>
      </c>
      <c r="V2725">
        <f>-748.971818425859 -7.26907913263608 -91.9731958212759</f>
        <v>-848.21409337977104</v>
      </c>
      <c r="W2725" t="s">
        <v>38231</v>
      </c>
      <c r="X2725" t="s">
        <v>38232</v>
      </c>
      <c r="Y2725" t="s">
        <v>38233</v>
      </c>
    </row>
    <row r="2726" spans="1:25" x14ac:dyDescent="0.3">
      <c r="A2726">
        <v>136250</v>
      </c>
      <c r="B2726" t="s">
        <v>38234</v>
      </c>
      <c r="C2726" t="s">
        <v>38235</v>
      </c>
      <c r="D2726" t="s">
        <v>38236</v>
      </c>
      <c r="E2726" t="s">
        <v>38237</v>
      </c>
      <c r="F2726" t="s">
        <v>38238</v>
      </c>
      <c r="G2726" t="s">
        <v>38239</v>
      </c>
      <c r="H2726" t="s">
        <v>38240</v>
      </c>
      <c r="I2726" t="s">
        <v>38241</v>
      </c>
      <c r="J2726" t="s">
        <v>38242</v>
      </c>
      <c r="K2726" t="s">
        <v>38243</v>
      </c>
      <c r="L2726" t="s">
        <v>38244</v>
      </c>
      <c r="M2726" t="s">
        <v>38245</v>
      </c>
      <c r="N2726" t="s">
        <v>38246</v>
      </c>
      <c r="O2726">
        <f>-798.304465530899 -99.3156523815712 -514.28158137185</f>
        <v>-1411.9016992843203</v>
      </c>
      <c r="P2726">
        <f>-793.319432223839 -122.236354716196 -220.954190465578</f>
        <v>-1136.509977405613</v>
      </c>
      <c r="Q2726" t="s">
        <v>38247</v>
      </c>
      <c r="R2726" t="s">
        <v>38248</v>
      </c>
      <c r="S2726" t="s">
        <v>38249</v>
      </c>
      <c r="T2726" t="s">
        <v>38250</v>
      </c>
      <c r="U2726" t="s">
        <v>38251</v>
      </c>
      <c r="V2726">
        <f>-748.927343575861 -7.22289438993585 -91.9612767057964</f>
        <v>-848.11151467159323</v>
      </c>
      <c r="W2726" t="s">
        <v>38252</v>
      </c>
      <c r="X2726" t="s">
        <v>38253</v>
      </c>
      <c r="Y2726" t="s">
        <v>38254</v>
      </c>
    </row>
    <row r="2727" spans="1:25" x14ac:dyDescent="0.3">
      <c r="A2727">
        <v>136300</v>
      </c>
      <c r="B2727" t="s">
        <v>38255</v>
      </c>
      <c r="C2727" t="s">
        <v>38256</v>
      </c>
      <c r="D2727" t="s">
        <v>38257</v>
      </c>
      <c r="E2727" t="s">
        <v>38258</v>
      </c>
      <c r="F2727" t="s">
        <v>38259</v>
      </c>
      <c r="G2727" t="s">
        <v>38260</v>
      </c>
      <c r="H2727" t="s">
        <v>38261</v>
      </c>
      <c r="I2727" t="s">
        <v>38262</v>
      </c>
      <c r="J2727" t="s">
        <v>38263</v>
      </c>
      <c r="K2727" t="s">
        <v>38264</v>
      </c>
      <c r="L2727" t="s">
        <v>38265</v>
      </c>
      <c r="M2727" t="s">
        <v>38266</v>
      </c>
      <c r="N2727" t="s">
        <v>38267</v>
      </c>
      <c r="O2727">
        <f>-797.915876993237 -99.2991037152024 -514.123654717681</f>
        <v>-1411.3386354261204</v>
      </c>
      <c r="P2727">
        <f>-793.041535597276 -122.007379422389 -220.777788416546</f>
        <v>-1135.8267034362111</v>
      </c>
      <c r="Q2727" t="s">
        <v>38268</v>
      </c>
      <c r="R2727" t="s">
        <v>38269</v>
      </c>
      <c r="S2727" t="s">
        <v>38270</v>
      </c>
      <c r="T2727" t="s">
        <v>38271</v>
      </c>
      <c r="U2727" t="s">
        <v>38272</v>
      </c>
      <c r="V2727">
        <f>-748.569340694287 -7.27034896205214 -91.9594932687329</f>
        <v>-847.79918292507205</v>
      </c>
      <c r="W2727" t="s">
        <v>38273</v>
      </c>
      <c r="X2727" t="s">
        <v>38274</v>
      </c>
      <c r="Y2727" t="s">
        <v>38275</v>
      </c>
    </row>
    <row r="2728" spans="1:25" x14ac:dyDescent="0.3">
      <c r="A2728">
        <v>136350</v>
      </c>
      <c r="B2728" t="s">
        <v>38276</v>
      </c>
      <c r="C2728" t="s">
        <v>38277</v>
      </c>
      <c r="D2728" t="s">
        <v>38278</v>
      </c>
      <c r="E2728" t="s">
        <v>38279</v>
      </c>
      <c r="F2728" t="s">
        <v>38280</v>
      </c>
      <c r="G2728" t="s">
        <v>38281</v>
      </c>
      <c r="H2728" t="s">
        <v>38282</v>
      </c>
      <c r="I2728" t="s">
        <v>38283</v>
      </c>
      <c r="J2728" t="s">
        <v>38284</v>
      </c>
      <c r="K2728" t="s">
        <v>38285</v>
      </c>
      <c r="L2728" t="s">
        <v>38286</v>
      </c>
      <c r="M2728" t="s">
        <v>38287</v>
      </c>
      <c r="N2728" t="s">
        <v>38288</v>
      </c>
      <c r="O2728">
        <f>-797.639345647318 -99.5243745403031 -514.049377746592</f>
        <v>-1411.2130979342132</v>
      </c>
      <c r="P2728">
        <f>-792.75300782074 -122.112345243297 -220.694527244054</f>
        <v>-1135.5598803080909</v>
      </c>
      <c r="Q2728" t="s">
        <v>38289</v>
      </c>
      <c r="R2728" t="s">
        <v>38290</v>
      </c>
      <c r="S2728" t="s">
        <v>38291</v>
      </c>
      <c r="T2728" t="s">
        <v>38292</v>
      </c>
      <c r="U2728" t="s">
        <v>38293</v>
      </c>
      <c r="V2728">
        <f>-748.316367520621 -7.38221251940354 -91.9742768046725</f>
        <v>-847.67285684469709</v>
      </c>
      <c r="W2728" t="s">
        <v>38294</v>
      </c>
      <c r="X2728" t="s">
        <v>38295</v>
      </c>
      <c r="Y2728" t="s">
        <v>38296</v>
      </c>
    </row>
    <row r="2729" spans="1:25" x14ac:dyDescent="0.3">
      <c r="A2729">
        <v>136400</v>
      </c>
      <c r="B2729" t="s">
        <v>38297</v>
      </c>
      <c r="C2729" t="s">
        <v>38298</v>
      </c>
      <c r="D2729" t="s">
        <v>38299</v>
      </c>
      <c r="E2729" t="s">
        <v>38300</v>
      </c>
      <c r="F2729" t="s">
        <v>38301</v>
      </c>
      <c r="G2729" t="s">
        <v>38302</v>
      </c>
      <c r="H2729" t="s">
        <v>38303</v>
      </c>
      <c r="I2729" t="s">
        <v>38304</v>
      </c>
      <c r="J2729" t="s">
        <v>38305</v>
      </c>
      <c r="K2729" t="s">
        <v>38306</v>
      </c>
      <c r="L2729" t="s">
        <v>38307</v>
      </c>
      <c r="M2729" t="s">
        <v>38308</v>
      </c>
      <c r="N2729" t="s">
        <v>38309</v>
      </c>
      <c r="O2729">
        <f>-797.028271640654 -99.8878702261752 -513.902043499844</f>
        <v>-1410.8181853666733</v>
      </c>
      <c r="P2729">
        <f>-792.07205524919 -122.268401773506 -220.532339623065</f>
        <v>-1134.8727966457609</v>
      </c>
      <c r="Q2729" t="s">
        <v>38310</v>
      </c>
      <c r="R2729" t="s">
        <v>38311</v>
      </c>
      <c r="S2729" t="s">
        <v>38312</v>
      </c>
      <c r="T2729" t="s">
        <v>38313</v>
      </c>
      <c r="U2729" t="s">
        <v>38314</v>
      </c>
      <c r="V2729">
        <f>-747.811031311752 -7.36453241073286 -91.9974977239214</f>
        <v>-847.17306144640622</v>
      </c>
      <c r="W2729" t="s">
        <v>38315</v>
      </c>
      <c r="X2729" t="s">
        <v>38316</v>
      </c>
      <c r="Y2729" t="s">
        <v>38317</v>
      </c>
    </row>
    <row r="2730" spans="1:25" x14ac:dyDescent="0.3">
      <c r="A2730">
        <v>136450</v>
      </c>
      <c r="B2730" t="s">
        <v>38318</v>
      </c>
      <c r="C2730" t="s">
        <v>38319</v>
      </c>
      <c r="D2730" t="s">
        <v>38320</v>
      </c>
      <c r="E2730" t="s">
        <v>38321</v>
      </c>
      <c r="F2730" t="s">
        <v>38322</v>
      </c>
      <c r="G2730" t="s">
        <v>38323</v>
      </c>
      <c r="H2730" t="s">
        <v>38324</v>
      </c>
      <c r="I2730" t="s">
        <v>38325</v>
      </c>
      <c r="J2730" t="s">
        <v>38326</v>
      </c>
      <c r="K2730" t="s">
        <v>38327</v>
      </c>
      <c r="L2730" t="s">
        <v>38328</v>
      </c>
      <c r="M2730" t="s">
        <v>38329</v>
      </c>
      <c r="N2730" t="s">
        <v>38330</v>
      </c>
      <c r="O2730">
        <f>-796.837765732043 -99.9390426711277 -513.844894262967</f>
        <v>-1410.6217026661377</v>
      </c>
      <c r="P2730">
        <f>-791.847364024186 -122.165112329523 -220.46414992963</f>
        <v>-1134.4766262833391</v>
      </c>
      <c r="Q2730" t="s">
        <v>38331</v>
      </c>
      <c r="R2730" t="s">
        <v>38332</v>
      </c>
      <c r="S2730" t="s">
        <v>38333</v>
      </c>
      <c r="T2730" t="s">
        <v>38334</v>
      </c>
      <c r="U2730" t="s">
        <v>38335</v>
      </c>
      <c r="V2730">
        <f>-747.648202771013 -7.30622665140868 -92.0003343885446</f>
        <v>-846.95476381096626</v>
      </c>
      <c r="W2730" t="s">
        <v>38336</v>
      </c>
      <c r="X2730" t="s">
        <v>38337</v>
      </c>
      <c r="Y2730" t="s">
        <v>38338</v>
      </c>
    </row>
    <row r="2731" spans="1:25" x14ac:dyDescent="0.3">
      <c r="A2731">
        <v>136500</v>
      </c>
      <c r="B2731" t="s">
        <v>38339</v>
      </c>
      <c r="C2731" t="s">
        <v>38340</v>
      </c>
      <c r="D2731" t="s">
        <v>38341</v>
      </c>
      <c r="E2731" t="s">
        <v>38342</v>
      </c>
      <c r="F2731" t="s">
        <v>38343</v>
      </c>
      <c r="G2731" t="s">
        <v>38344</v>
      </c>
      <c r="H2731" t="s">
        <v>38345</v>
      </c>
      <c r="I2731" t="s">
        <v>38346</v>
      </c>
      <c r="J2731" t="s">
        <v>38347</v>
      </c>
      <c r="K2731" t="s">
        <v>38348</v>
      </c>
      <c r="L2731" t="s">
        <v>38349</v>
      </c>
      <c r="M2731" t="s">
        <v>38350</v>
      </c>
      <c r="N2731" t="s">
        <v>38351</v>
      </c>
      <c r="O2731">
        <f>-796.53976491874 -99.9532373869397 -513.738155437984</f>
        <v>-1410.2311577436637</v>
      </c>
      <c r="P2731">
        <f>-791.513903288328 -122.012552769352 -220.345493458691</f>
        <v>-1133.8719495163709</v>
      </c>
      <c r="Q2731" t="s">
        <v>38352</v>
      </c>
      <c r="R2731" t="s">
        <v>38353</v>
      </c>
      <c r="S2731" t="s">
        <v>38354</v>
      </c>
      <c r="T2731" t="s">
        <v>38355</v>
      </c>
      <c r="U2731" t="s">
        <v>38356</v>
      </c>
      <c r="V2731">
        <f>-747.280310616728 -7.19780829932211 -92.0331859083773</f>
        <v>-846.51130482442738</v>
      </c>
      <c r="W2731" t="s">
        <v>38357</v>
      </c>
      <c r="X2731" t="s">
        <v>38358</v>
      </c>
      <c r="Y2731" t="s">
        <v>38359</v>
      </c>
    </row>
    <row r="2732" spans="1:25" x14ac:dyDescent="0.3">
      <c r="A2732">
        <v>136550</v>
      </c>
      <c r="B2732" t="s">
        <v>38360</v>
      </c>
      <c r="C2732" t="s">
        <v>38361</v>
      </c>
      <c r="D2732" t="s">
        <v>38362</v>
      </c>
      <c r="E2732" t="s">
        <v>38363</v>
      </c>
      <c r="F2732" t="s">
        <v>38364</v>
      </c>
      <c r="G2732" t="s">
        <v>38365</v>
      </c>
      <c r="H2732" t="s">
        <v>38366</v>
      </c>
      <c r="I2732" t="s">
        <v>38367</v>
      </c>
      <c r="J2732" t="s">
        <v>38368</v>
      </c>
      <c r="K2732" t="s">
        <v>38369</v>
      </c>
      <c r="L2732" t="s">
        <v>38370</v>
      </c>
      <c r="M2732" t="s">
        <v>38371</v>
      </c>
      <c r="N2732" t="s">
        <v>38372</v>
      </c>
      <c r="O2732">
        <f>-796.383648400376 -99.9999740983562 -513.729396205961</f>
        <v>-1410.1130187046933</v>
      </c>
      <c r="P2732">
        <f>-791.420034040605 -122.011292275982 -220.331821073284</f>
        <v>-1133.7631473898709</v>
      </c>
      <c r="Q2732" t="s">
        <v>38373</v>
      </c>
      <c r="R2732" t="s">
        <v>38374</v>
      </c>
      <c r="S2732" t="s">
        <v>38375</v>
      </c>
      <c r="T2732" t="s">
        <v>38376</v>
      </c>
      <c r="U2732" t="s">
        <v>38377</v>
      </c>
      <c r="V2732">
        <f>-747.212478541997 -7.23131997587848 -92.0398696439601</f>
        <v>-846.48366816183557</v>
      </c>
      <c r="W2732" t="s">
        <v>38378</v>
      </c>
      <c r="X2732" t="s">
        <v>38379</v>
      </c>
      <c r="Y2732" t="s">
        <v>38380</v>
      </c>
    </row>
    <row r="2733" spans="1:25" x14ac:dyDescent="0.3">
      <c r="A2733">
        <v>136600</v>
      </c>
      <c r="B2733" t="s">
        <v>38381</v>
      </c>
      <c r="C2733" t="s">
        <v>38382</v>
      </c>
      <c r="D2733" t="s">
        <v>38383</v>
      </c>
      <c r="E2733" t="s">
        <v>38384</v>
      </c>
      <c r="F2733" t="s">
        <v>38385</v>
      </c>
      <c r="G2733" t="s">
        <v>38386</v>
      </c>
      <c r="H2733" t="s">
        <v>38387</v>
      </c>
      <c r="I2733" t="s">
        <v>38388</v>
      </c>
      <c r="J2733" t="s">
        <v>38389</v>
      </c>
      <c r="K2733" t="s">
        <v>38390</v>
      </c>
      <c r="L2733" t="s">
        <v>38391</v>
      </c>
      <c r="M2733" t="s">
        <v>38392</v>
      </c>
      <c r="N2733" t="s">
        <v>38393</v>
      </c>
      <c r="O2733">
        <f>-795.827198189427 -100.115719497486 -513.811014731997</f>
        <v>-1409.7539324189102</v>
      </c>
      <c r="P2733">
        <f>-791.096207680594 -122.138809273157 -220.410521926652</f>
        <v>-1133.6455388804029</v>
      </c>
      <c r="Q2733" t="s">
        <v>38394</v>
      </c>
      <c r="R2733" t="s">
        <v>38395</v>
      </c>
      <c r="S2733" t="s">
        <v>38396</v>
      </c>
      <c r="T2733" t="s">
        <v>38397</v>
      </c>
      <c r="U2733" t="s">
        <v>38398</v>
      </c>
      <c r="V2733">
        <f>-747.056132982401 -7.43453703835758 -92.0345681635014</f>
        <v>-846.52523818425993</v>
      </c>
      <c r="W2733" t="s">
        <v>38399</v>
      </c>
      <c r="X2733" t="s">
        <v>38400</v>
      </c>
      <c r="Y2733" t="s">
        <v>38401</v>
      </c>
    </row>
    <row r="2734" spans="1:25" x14ac:dyDescent="0.3">
      <c r="A2734">
        <v>136650</v>
      </c>
      <c r="B2734" t="s">
        <v>38402</v>
      </c>
      <c r="C2734" t="s">
        <v>38403</v>
      </c>
      <c r="D2734" t="s">
        <v>38404</v>
      </c>
      <c r="E2734" t="s">
        <v>38405</v>
      </c>
      <c r="F2734" t="s">
        <v>38406</v>
      </c>
      <c r="G2734" t="s">
        <v>38407</v>
      </c>
      <c r="H2734" t="s">
        <v>38408</v>
      </c>
      <c r="I2734" t="s">
        <v>38409</v>
      </c>
      <c r="J2734" t="s">
        <v>38410</v>
      </c>
      <c r="K2734" t="s">
        <v>38411</v>
      </c>
      <c r="L2734" t="s">
        <v>38412</v>
      </c>
      <c r="M2734" t="s">
        <v>38413</v>
      </c>
      <c r="N2734" t="s">
        <v>38414</v>
      </c>
      <c r="O2734">
        <f>-795.583588433509 -100.162574314073 -513.852105231299</f>
        <v>-1409.598267978881</v>
      </c>
      <c r="P2734">
        <f>-790.973534633191 -122.239607404359 -220.45388931633</f>
        <v>-1133.66703135388</v>
      </c>
      <c r="Q2734" t="s">
        <v>38415</v>
      </c>
      <c r="R2734" t="s">
        <v>38416</v>
      </c>
      <c r="S2734" t="s">
        <v>38417</v>
      </c>
      <c r="T2734" t="s">
        <v>38418</v>
      </c>
      <c r="U2734" t="s">
        <v>38419</v>
      </c>
      <c r="V2734">
        <f>-747.017786035776 -7.50241116927054 -92.0329682414203</f>
        <v>-846.55316544646689</v>
      </c>
      <c r="W2734" t="s">
        <v>38420</v>
      </c>
      <c r="X2734" t="s">
        <v>38421</v>
      </c>
      <c r="Y2734" t="s">
        <v>38422</v>
      </c>
    </row>
    <row r="2735" spans="1:25" x14ac:dyDescent="0.3">
      <c r="A2735">
        <v>136700</v>
      </c>
      <c r="B2735" t="s">
        <v>38423</v>
      </c>
      <c r="C2735" t="s">
        <v>38424</v>
      </c>
      <c r="D2735" t="s">
        <v>38425</v>
      </c>
      <c r="E2735" t="s">
        <v>38426</v>
      </c>
      <c r="F2735" t="s">
        <v>38427</v>
      </c>
      <c r="G2735" t="s">
        <v>38428</v>
      </c>
      <c r="H2735" t="s">
        <v>38429</v>
      </c>
      <c r="I2735" t="s">
        <v>38430</v>
      </c>
      <c r="J2735" t="s">
        <v>38431</v>
      </c>
      <c r="K2735" t="s">
        <v>38432</v>
      </c>
      <c r="L2735" t="s">
        <v>38433</v>
      </c>
      <c r="M2735" t="s">
        <v>38434</v>
      </c>
      <c r="N2735" t="s">
        <v>38435</v>
      </c>
      <c r="O2735">
        <f>-795.464522948484 -100.297898993738 -513.830725129598</f>
        <v>-1409.5931470718201</v>
      </c>
      <c r="P2735">
        <f>-790.575935290148 -122.359436952037 -220.435778003709</f>
        <v>-1133.3711502458939</v>
      </c>
      <c r="Q2735" t="s">
        <v>38436</v>
      </c>
      <c r="R2735" t="s">
        <v>38437</v>
      </c>
      <c r="S2735" t="s">
        <v>38438</v>
      </c>
      <c r="T2735" t="s">
        <v>38439</v>
      </c>
      <c r="U2735" t="s">
        <v>38440</v>
      </c>
      <c r="V2735">
        <f>-747.002783078276 -7.59989116142015 -92.0416203599152</f>
        <v>-846.64429459961138</v>
      </c>
      <c r="W2735" t="s">
        <v>38441</v>
      </c>
      <c r="X2735" t="s">
        <v>38442</v>
      </c>
      <c r="Y2735" t="s">
        <v>38443</v>
      </c>
    </row>
    <row r="2736" spans="1:25" x14ac:dyDescent="0.3">
      <c r="A2736">
        <v>136750</v>
      </c>
      <c r="B2736" t="s">
        <v>38444</v>
      </c>
      <c r="C2736" t="s">
        <v>38445</v>
      </c>
      <c r="D2736" t="s">
        <v>38446</v>
      </c>
      <c r="E2736" t="s">
        <v>38447</v>
      </c>
      <c r="F2736" t="s">
        <v>38448</v>
      </c>
      <c r="G2736" t="s">
        <v>38449</v>
      </c>
      <c r="H2736" t="s">
        <v>38450</v>
      </c>
      <c r="I2736" t="s">
        <v>38451</v>
      </c>
      <c r="J2736" t="s">
        <v>38452</v>
      </c>
      <c r="K2736" t="s">
        <v>38453</v>
      </c>
      <c r="L2736" t="s">
        <v>38454</v>
      </c>
      <c r="M2736" t="s">
        <v>38455</v>
      </c>
      <c r="N2736" t="s">
        <v>38456</v>
      </c>
      <c r="O2736">
        <f>-795.427729398009 -100.311617544863 -513.811638177309</f>
        <v>-1409.5509851201809</v>
      </c>
      <c r="P2736">
        <f>-790.717004452397 -122.372752274119 -220.413662641074</f>
        <v>-1133.5034193675899</v>
      </c>
      <c r="Q2736" t="s">
        <v>38457</v>
      </c>
      <c r="R2736" t="s">
        <v>38458</v>
      </c>
      <c r="S2736" t="s">
        <v>38459</v>
      </c>
      <c r="T2736" t="s">
        <v>38460</v>
      </c>
      <c r="U2736" t="s">
        <v>38461</v>
      </c>
      <c r="V2736">
        <f>-746.976892523482 -7.62984792503335 -92.0543172981837</f>
        <v>-846.66105774669904</v>
      </c>
      <c r="W2736" t="s">
        <v>38462</v>
      </c>
      <c r="X2736" t="s">
        <v>38463</v>
      </c>
      <c r="Y2736" t="s">
        <v>38464</v>
      </c>
    </row>
    <row r="2737" spans="1:25" x14ac:dyDescent="0.3">
      <c r="A2737">
        <v>136800</v>
      </c>
      <c r="B2737" t="s">
        <v>38465</v>
      </c>
      <c r="C2737" t="s">
        <v>38466</v>
      </c>
      <c r="D2737" t="s">
        <v>38467</v>
      </c>
      <c r="E2737" t="s">
        <v>38468</v>
      </c>
      <c r="F2737" t="s">
        <v>38469</v>
      </c>
      <c r="G2737" t="s">
        <v>38470</v>
      </c>
      <c r="H2737" t="s">
        <v>38471</v>
      </c>
      <c r="I2737" t="s">
        <v>38472</v>
      </c>
      <c r="J2737" t="s">
        <v>38473</v>
      </c>
      <c r="K2737" t="s">
        <v>38474</v>
      </c>
      <c r="L2737" t="s">
        <v>38475</v>
      </c>
      <c r="M2737" t="s">
        <v>38476</v>
      </c>
      <c r="N2737" t="s">
        <v>38477</v>
      </c>
      <c r="O2737">
        <f>-795.337721339283 -100.335971314762 -513.836914448355</f>
        <v>-1409.5106071023999</v>
      </c>
      <c r="P2737">
        <f>-791.008839273906 -122.408928569589 -220.434104804621</f>
        <v>-1133.8518726481159</v>
      </c>
      <c r="Q2737" t="s">
        <v>38478</v>
      </c>
      <c r="R2737" t="s">
        <v>38479</v>
      </c>
      <c r="S2737" t="s">
        <v>38480</v>
      </c>
      <c r="T2737" t="s">
        <v>38481</v>
      </c>
      <c r="U2737" t="s">
        <v>38482</v>
      </c>
      <c r="V2737">
        <f>-746.976628854745 -7.70929366288806 -92.08549815973</f>
        <v>-846.77142067736304</v>
      </c>
      <c r="W2737" t="s">
        <v>38483</v>
      </c>
      <c r="X2737" t="s">
        <v>38484</v>
      </c>
      <c r="Y2737" t="s">
        <v>38485</v>
      </c>
    </row>
    <row r="2738" spans="1:25" x14ac:dyDescent="0.3">
      <c r="A2738">
        <v>136850</v>
      </c>
      <c r="B2738" t="s">
        <v>38486</v>
      </c>
      <c r="C2738" t="s">
        <v>38487</v>
      </c>
      <c r="D2738" t="s">
        <v>38488</v>
      </c>
      <c r="E2738" t="s">
        <v>38489</v>
      </c>
      <c r="F2738" t="s">
        <v>38490</v>
      </c>
      <c r="G2738" t="s">
        <v>38491</v>
      </c>
      <c r="H2738" t="s">
        <v>38492</v>
      </c>
      <c r="I2738" t="s">
        <v>38493</v>
      </c>
      <c r="J2738" t="s">
        <v>38494</v>
      </c>
      <c r="K2738" t="s">
        <v>38495</v>
      </c>
      <c r="L2738" t="s">
        <v>38496</v>
      </c>
      <c r="M2738" t="s">
        <v>38497</v>
      </c>
      <c r="N2738" t="s">
        <v>38498</v>
      </c>
      <c r="O2738">
        <f>-795.162122255971 -100.440649511983 -513.890344802791</f>
        <v>-1409.4931165707449</v>
      </c>
      <c r="P2738">
        <f>-790.901477019924 -122.514947706979 -220.486584233647</f>
        <v>-1133.9030089605499</v>
      </c>
      <c r="Q2738" t="s">
        <v>38499</v>
      </c>
      <c r="R2738" t="s">
        <v>38500</v>
      </c>
      <c r="S2738" t="s">
        <v>38501</v>
      </c>
      <c r="T2738" t="s">
        <v>38502</v>
      </c>
      <c r="U2738" t="s">
        <v>38503</v>
      </c>
      <c r="V2738">
        <f>-747.028396566727 -7.75655317253131 -92.0918213266825</f>
        <v>-846.87677106594083</v>
      </c>
      <c r="W2738" t="s">
        <v>38504</v>
      </c>
      <c r="X2738" t="s">
        <v>38505</v>
      </c>
      <c r="Y2738" t="s">
        <v>38506</v>
      </c>
    </row>
    <row r="2739" spans="1:25" x14ac:dyDescent="0.3">
      <c r="A2739">
        <v>136900</v>
      </c>
      <c r="B2739" t="s">
        <v>38507</v>
      </c>
      <c r="C2739" t="s">
        <v>38508</v>
      </c>
      <c r="D2739" t="s">
        <v>38509</v>
      </c>
      <c r="E2739" t="s">
        <v>38510</v>
      </c>
      <c r="F2739" t="s">
        <v>38511</v>
      </c>
      <c r="G2739" t="s">
        <v>38512</v>
      </c>
      <c r="H2739" t="s">
        <v>38513</v>
      </c>
      <c r="I2739" t="s">
        <v>38514</v>
      </c>
      <c r="J2739" t="s">
        <v>38515</v>
      </c>
      <c r="K2739" t="s">
        <v>38516</v>
      </c>
      <c r="L2739" t="s">
        <v>38517</v>
      </c>
      <c r="M2739" t="s">
        <v>38518</v>
      </c>
      <c r="N2739" t="s">
        <v>38519</v>
      </c>
      <c r="O2739">
        <f>-794.680061027575 -100.330140907644 -513.982584765824</f>
        <v>-1408.9927867010429</v>
      </c>
      <c r="P2739">
        <f>-790.362893998577 -122.661425231279 -220.599084022749</f>
        <v>-1133.6234032526049</v>
      </c>
      <c r="Q2739" t="s">
        <v>38520</v>
      </c>
      <c r="R2739" t="s">
        <v>38521</v>
      </c>
      <c r="S2739" t="s">
        <v>38522</v>
      </c>
      <c r="T2739" t="s">
        <v>38523</v>
      </c>
      <c r="U2739" t="s">
        <v>38524</v>
      </c>
      <c r="V2739">
        <f>-746.821762685885 -7.54886824189703 -92.1079603807667</f>
        <v>-846.47859130854874</v>
      </c>
      <c r="W2739" t="s">
        <v>38525</v>
      </c>
      <c r="X2739" t="s">
        <v>38526</v>
      </c>
      <c r="Y2739" t="s">
        <v>38527</v>
      </c>
    </row>
    <row r="2740" spans="1:25" x14ac:dyDescent="0.3">
      <c r="A2740">
        <v>136950</v>
      </c>
      <c r="B2740" t="s">
        <v>38528</v>
      </c>
      <c r="C2740" t="s">
        <v>38529</v>
      </c>
      <c r="D2740" t="s">
        <v>38530</v>
      </c>
      <c r="E2740" t="s">
        <v>38531</v>
      </c>
      <c r="F2740" t="s">
        <v>38532</v>
      </c>
      <c r="G2740" t="s">
        <v>38533</v>
      </c>
      <c r="H2740" t="s">
        <v>38534</v>
      </c>
      <c r="I2740" t="s">
        <v>38535</v>
      </c>
      <c r="J2740" t="s">
        <v>38536</v>
      </c>
      <c r="K2740" t="s">
        <v>38537</v>
      </c>
      <c r="L2740" t="s">
        <v>38538</v>
      </c>
      <c r="M2740" t="s">
        <v>38539</v>
      </c>
      <c r="N2740" t="s">
        <v>38540</v>
      </c>
      <c r="O2740">
        <f>-794.745925155118 -100.312780208945 -513.993413963393</f>
        <v>-1409.052119327456</v>
      </c>
      <c r="P2740">
        <f>-790.401838983675 -122.7027451278 -220.614675108921</f>
        <v>-1133.719259220396</v>
      </c>
      <c r="Q2740" t="s">
        <v>38541</v>
      </c>
      <c r="R2740" t="s">
        <v>38542</v>
      </c>
      <c r="S2740" t="s">
        <v>38543</v>
      </c>
      <c r="T2740" t="s">
        <v>38544</v>
      </c>
      <c r="U2740" t="s">
        <v>38545</v>
      </c>
      <c r="V2740">
        <f>-746.726221015637 -7.61669939961689 -92.1144080005803</f>
        <v>-846.45732841583413</v>
      </c>
      <c r="W2740" t="s">
        <v>38546</v>
      </c>
      <c r="X2740" t="s">
        <v>38547</v>
      </c>
      <c r="Y2740" t="s">
        <v>38548</v>
      </c>
    </row>
    <row r="2741" spans="1:25" x14ac:dyDescent="0.3">
      <c r="A2741">
        <v>137000</v>
      </c>
      <c r="B2741" t="s">
        <v>38549</v>
      </c>
      <c r="C2741" t="s">
        <v>38550</v>
      </c>
      <c r="D2741" t="s">
        <v>38551</v>
      </c>
      <c r="E2741" t="s">
        <v>38552</v>
      </c>
      <c r="F2741" t="s">
        <v>38553</v>
      </c>
      <c r="G2741" t="s">
        <v>38554</v>
      </c>
      <c r="H2741" t="s">
        <v>38555</v>
      </c>
      <c r="I2741" t="s">
        <v>38556</v>
      </c>
      <c r="J2741" t="s">
        <v>38557</v>
      </c>
      <c r="K2741" t="s">
        <v>38558</v>
      </c>
      <c r="L2741" t="s">
        <v>38559</v>
      </c>
      <c r="M2741" t="s">
        <v>38560</v>
      </c>
      <c r="N2741" t="s">
        <v>38561</v>
      </c>
      <c r="O2741">
        <f>-795.054652304273 -100.633852536833 -513.965991143869</f>
        <v>-1409.654495984975</v>
      </c>
      <c r="P2741">
        <f>-790.681772186298 -123.037185400723 -220.58878734836</f>
        <v>-1134.3077449353809</v>
      </c>
      <c r="Q2741" t="s">
        <v>38562</v>
      </c>
      <c r="R2741" t="s">
        <v>38563</v>
      </c>
      <c r="S2741" t="s">
        <v>38564</v>
      </c>
      <c r="T2741" t="s">
        <v>38565</v>
      </c>
      <c r="U2741" t="s">
        <v>38566</v>
      </c>
      <c r="V2741">
        <f>-746.760489704501 -7.98759329617087 -92.1101431059774</f>
        <v>-846.85822610664923</v>
      </c>
      <c r="W2741" t="s">
        <v>38567</v>
      </c>
      <c r="X2741" t="s">
        <v>38568</v>
      </c>
      <c r="Y2741" t="s">
        <v>38569</v>
      </c>
    </row>
    <row r="2742" spans="1:25" x14ac:dyDescent="0.3">
      <c r="A2742">
        <v>137050</v>
      </c>
      <c r="B2742" t="s">
        <v>38570</v>
      </c>
      <c r="C2742" t="s">
        <v>38571</v>
      </c>
      <c r="D2742" t="s">
        <v>38572</v>
      </c>
      <c r="E2742" t="s">
        <v>38573</v>
      </c>
      <c r="F2742" t="s">
        <v>38574</v>
      </c>
      <c r="G2742" t="s">
        <v>38575</v>
      </c>
      <c r="H2742" t="s">
        <v>38576</v>
      </c>
      <c r="I2742" t="s">
        <v>38577</v>
      </c>
      <c r="J2742" t="s">
        <v>38578</v>
      </c>
      <c r="K2742" t="s">
        <v>38579</v>
      </c>
      <c r="L2742" t="s">
        <v>38580</v>
      </c>
      <c r="M2742" t="s">
        <v>38581</v>
      </c>
      <c r="N2742" t="s">
        <v>38582</v>
      </c>
      <c r="O2742">
        <f>-794.981752827051 -100.779566528043 -513.972923007628</f>
        <v>-1409.7342423627219</v>
      </c>
      <c r="P2742">
        <f>-790.730086343317 -123.141373416791 -220.590786911651</f>
        <v>-1134.462246671759</v>
      </c>
      <c r="Q2742" t="s">
        <v>38583</v>
      </c>
      <c r="R2742" t="s">
        <v>38584</v>
      </c>
      <c r="S2742" t="s">
        <v>38585</v>
      </c>
      <c r="T2742" t="s">
        <v>38586</v>
      </c>
      <c r="U2742" t="s">
        <v>38587</v>
      </c>
      <c r="V2742">
        <f>-746.770641090053 -8.1567360835179 -92.1253304093145</f>
        <v>-847.05270758288543</v>
      </c>
      <c r="W2742" t="s">
        <v>38588</v>
      </c>
      <c r="X2742" t="s">
        <v>38589</v>
      </c>
      <c r="Y2742" t="s">
        <v>38590</v>
      </c>
    </row>
    <row r="2743" spans="1:25" x14ac:dyDescent="0.3">
      <c r="A2743">
        <v>137100</v>
      </c>
      <c r="B2743" t="s">
        <v>38591</v>
      </c>
      <c r="C2743" t="s">
        <v>38592</v>
      </c>
      <c r="D2743" t="s">
        <v>38593</v>
      </c>
      <c r="E2743" t="s">
        <v>38594</v>
      </c>
      <c r="F2743" t="s">
        <v>38595</v>
      </c>
      <c r="G2743" t="s">
        <v>38596</v>
      </c>
      <c r="H2743" t="s">
        <v>38597</v>
      </c>
      <c r="I2743" t="s">
        <v>38598</v>
      </c>
      <c r="J2743" t="s">
        <v>38599</v>
      </c>
      <c r="K2743" t="s">
        <v>38600</v>
      </c>
      <c r="L2743" t="s">
        <v>38601</v>
      </c>
      <c r="M2743" t="s">
        <v>38602</v>
      </c>
      <c r="N2743" t="s">
        <v>38603</v>
      </c>
      <c r="O2743">
        <f>-794.96987170623 -100.681105578703 -513.986249392156</f>
        <v>-1409.6372266770891</v>
      </c>
      <c r="P2743">
        <f>-790.826084111863 -123.041968868431 -220.602443855338</f>
        <v>-1134.470496835632</v>
      </c>
      <c r="Q2743" t="s">
        <v>38604</v>
      </c>
      <c r="R2743" t="s">
        <v>38605</v>
      </c>
      <c r="S2743" t="s">
        <v>38606</v>
      </c>
      <c r="T2743" t="s">
        <v>38607</v>
      </c>
      <c r="U2743" t="s">
        <v>38608</v>
      </c>
      <c r="V2743">
        <f>-746.908641316639 -7.97469057591343 -92.1195765007801</f>
        <v>-847.00290839333252</v>
      </c>
      <c r="W2743" t="s">
        <v>38609</v>
      </c>
      <c r="X2743" t="s">
        <v>38610</v>
      </c>
      <c r="Y2743" t="s">
        <v>38611</v>
      </c>
    </row>
    <row r="2744" spans="1:25" x14ac:dyDescent="0.3">
      <c r="A2744">
        <v>137150</v>
      </c>
      <c r="B2744" t="s">
        <v>38612</v>
      </c>
      <c r="C2744" t="s">
        <v>38613</v>
      </c>
      <c r="D2744" t="s">
        <v>38614</v>
      </c>
      <c r="E2744" t="s">
        <v>38615</v>
      </c>
      <c r="F2744" t="s">
        <v>38616</v>
      </c>
      <c r="G2744" t="s">
        <v>38617</v>
      </c>
      <c r="H2744" t="s">
        <v>38618</v>
      </c>
      <c r="I2744" t="s">
        <v>38619</v>
      </c>
      <c r="J2744" t="s">
        <v>38620</v>
      </c>
      <c r="K2744" t="s">
        <v>38621</v>
      </c>
      <c r="L2744" t="s">
        <v>38622</v>
      </c>
      <c r="M2744" t="s">
        <v>38623</v>
      </c>
      <c r="N2744" t="s">
        <v>38624</v>
      </c>
      <c r="O2744">
        <f>-794.984941634542 -100.610922565373 -514.019203235043</f>
        <v>-1409.6150674349581</v>
      </c>
      <c r="P2744">
        <f>-790.897615329791 -123.070013858835 -220.642267505072</f>
        <v>-1134.6098966936979</v>
      </c>
      <c r="Q2744" t="s">
        <v>38625</v>
      </c>
      <c r="R2744" t="s">
        <v>38626</v>
      </c>
      <c r="S2744" t="s">
        <v>38627</v>
      </c>
      <c r="T2744" t="s">
        <v>38628</v>
      </c>
      <c r="U2744" t="s">
        <v>38629</v>
      </c>
      <c r="V2744">
        <f>-746.955975014642 -7.99071354415582 -92.1208913698687</f>
        <v>-847.06757992866653</v>
      </c>
      <c r="W2744" t="s">
        <v>38630</v>
      </c>
      <c r="X2744" t="s">
        <v>38631</v>
      </c>
      <c r="Y2744" t="s">
        <v>38632</v>
      </c>
    </row>
    <row r="2745" spans="1:25" x14ac:dyDescent="0.3">
      <c r="A2745">
        <v>137200</v>
      </c>
      <c r="B2745" t="s">
        <v>38633</v>
      </c>
      <c r="C2745" t="s">
        <v>38634</v>
      </c>
      <c r="D2745" t="s">
        <v>38635</v>
      </c>
      <c r="E2745" t="s">
        <v>38636</v>
      </c>
      <c r="F2745" t="s">
        <v>38637</v>
      </c>
      <c r="G2745" t="s">
        <v>38638</v>
      </c>
      <c r="H2745" t="s">
        <v>38639</v>
      </c>
      <c r="I2745" t="s">
        <v>38640</v>
      </c>
      <c r="J2745" t="s">
        <v>38641</v>
      </c>
      <c r="K2745" t="s">
        <v>38642</v>
      </c>
      <c r="L2745" t="s">
        <v>38643</v>
      </c>
      <c r="M2745" t="s">
        <v>38644</v>
      </c>
      <c r="N2745" t="s">
        <v>38645</v>
      </c>
      <c r="O2745">
        <f>-794.574494617825 -100.734201357312 -514.025648517803</f>
        <v>-1409.3343444929401</v>
      </c>
      <c r="P2745">
        <f>-790.870452958055 -123.150254033018 -220.640280336706</f>
        <v>-1134.6609873277789</v>
      </c>
      <c r="Q2745" t="s">
        <v>38646</v>
      </c>
      <c r="R2745" t="s">
        <v>38647</v>
      </c>
      <c r="S2745" t="s">
        <v>38648</v>
      </c>
      <c r="T2745" t="s">
        <v>38649</v>
      </c>
      <c r="U2745" t="s">
        <v>38650</v>
      </c>
      <c r="V2745">
        <f>-747.211026668132 -8.17165183103452 -92.0990705393111</f>
        <v>-847.48174903847769</v>
      </c>
      <c r="W2745" t="s">
        <v>38651</v>
      </c>
      <c r="X2745" t="s">
        <v>38652</v>
      </c>
      <c r="Y2745" t="s">
        <v>38653</v>
      </c>
    </row>
    <row r="2746" spans="1:25" x14ac:dyDescent="0.3">
      <c r="A2746">
        <v>137250</v>
      </c>
      <c r="B2746" t="s">
        <v>38654</v>
      </c>
      <c r="C2746" t="s">
        <v>38655</v>
      </c>
      <c r="D2746" t="s">
        <v>38656</v>
      </c>
      <c r="E2746" t="s">
        <v>38657</v>
      </c>
      <c r="F2746" t="s">
        <v>38658</v>
      </c>
      <c r="G2746" t="s">
        <v>38659</v>
      </c>
      <c r="H2746" t="s">
        <v>38660</v>
      </c>
      <c r="I2746" t="s">
        <v>38661</v>
      </c>
      <c r="J2746" t="s">
        <v>38662</v>
      </c>
      <c r="K2746" t="s">
        <v>38663</v>
      </c>
      <c r="L2746" t="s">
        <v>38664</v>
      </c>
      <c r="M2746" t="s">
        <v>38665</v>
      </c>
      <c r="N2746" t="s">
        <v>38666</v>
      </c>
      <c r="O2746">
        <f>-794.064565443251 -100.882493284226 -513.994150820917</f>
        <v>-1408.941209548394</v>
      </c>
      <c r="P2746">
        <f>-790.657785406099 -123.287214243982 -220.604414728333</f>
        <v>-1134.549414378414</v>
      </c>
      <c r="Q2746" t="s">
        <v>38667</v>
      </c>
      <c r="R2746" t="s">
        <v>38668</v>
      </c>
      <c r="S2746" t="s">
        <v>38669</v>
      </c>
      <c r="T2746" t="s">
        <v>38670</v>
      </c>
      <c r="U2746" t="s">
        <v>38671</v>
      </c>
      <c r="V2746">
        <f>-747.374689212578 -8.33497203372303 -92.0624849027109</f>
        <v>-847.77214614901197</v>
      </c>
      <c r="W2746" t="s">
        <v>38672</v>
      </c>
      <c r="X2746" t="s">
        <v>38673</v>
      </c>
      <c r="Y2746" t="s">
        <v>38674</v>
      </c>
    </row>
    <row r="2747" spans="1:25" x14ac:dyDescent="0.3">
      <c r="A2747">
        <v>137300</v>
      </c>
      <c r="B2747" t="s">
        <v>38675</v>
      </c>
      <c r="C2747" t="s">
        <v>38676</v>
      </c>
      <c r="D2747" t="s">
        <v>38677</v>
      </c>
      <c r="E2747" t="s">
        <v>38678</v>
      </c>
      <c r="F2747" t="s">
        <v>38679</v>
      </c>
      <c r="G2747" t="s">
        <v>38680</v>
      </c>
      <c r="H2747" t="s">
        <v>38681</v>
      </c>
      <c r="I2747" t="s">
        <v>38682</v>
      </c>
      <c r="J2747" t="s">
        <v>38683</v>
      </c>
      <c r="K2747" t="s">
        <v>38684</v>
      </c>
      <c r="L2747" t="s">
        <v>38685</v>
      </c>
      <c r="M2747" t="s">
        <v>38686</v>
      </c>
      <c r="N2747" t="s">
        <v>38687</v>
      </c>
      <c r="O2747">
        <f>-792.671511560242 -101.3433193198 -513.947517159888</f>
        <v>-1407.96234803993</v>
      </c>
      <c r="P2747">
        <f>-789.898492006426 -123.837169502509 -220.557774114246</f>
        <v>-1134.293435623181</v>
      </c>
      <c r="Q2747" t="s">
        <v>38688</v>
      </c>
      <c r="R2747" t="s">
        <v>38689</v>
      </c>
      <c r="S2747" t="s">
        <v>38690</v>
      </c>
      <c r="T2747" t="s">
        <v>38691</v>
      </c>
      <c r="U2747" t="s">
        <v>38692</v>
      </c>
      <c r="V2747">
        <f>-747.459345535118 -8.44897993289305 -92.0150798413081</f>
        <v>-847.92340530931915</v>
      </c>
      <c r="W2747" t="s">
        <v>38693</v>
      </c>
      <c r="X2747" t="s">
        <v>38694</v>
      </c>
      <c r="Y2747" t="s">
        <v>38695</v>
      </c>
    </row>
    <row r="2748" spans="1:25" x14ac:dyDescent="0.3">
      <c r="A2748">
        <v>137350</v>
      </c>
      <c r="B2748" t="s">
        <v>38696</v>
      </c>
      <c r="C2748" t="s">
        <v>38697</v>
      </c>
      <c r="D2748" t="s">
        <v>38698</v>
      </c>
      <c r="E2748" t="s">
        <v>38699</v>
      </c>
      <c r="F2748" t="s">
        <v>38700</v>
      </c>
      <c r="G2748" t="s">
        <v>38701</v>
      </c>
      <c r="H2748" t="s">
        <v>38702</v>
      </c>
      <c r="I2748" t="s">
        <v>38703</v>
      </c>
      <c r="J2748" t="s">
        <v>38704</v>
      </c>
      <c r="K2748" t="s">
        <v>38705</v>
      </c>
      <c r="L2748" t="s">
        <v>38706</v>
      </c>
      <c r="M2748" t="s">
        <v>38707</v>
      </c>
      <c r="N2748" t="s">
        <v>38708</v>
      </c>
      <c r="O2748">
        <f>-791.722390575286 -101.412384671863 -514.100443834772</f>
        <v>-1407.2352190819211</v>
      </c>
      <c r="P2748">
        <f>-789.327912503235 -124.175031342407 -220.728176949253</f>
        <v>-1134.2311207948951</v>
      </c>
      <c r="Q2748" t="s">
        <v>38709</v>
      </c>
      <c r="R2748" t="s">
        <v>38710</v>
      </c>
      <c r="S2748" t="s">
        <v>38711</v>
      </c>
      <c r="T2748" t="s">
        <v>38712</v>
      </c>
      <c r="U2748" t="s">
        <v>38713</v>
      </c>
      <c r="V2748">
        <f>-747.454596709522 -8.42549372848043 -92.0139864097395</f>
        <v>-847.89407684774187</v>
      </c>
      <c r="W2748" t="s">
        <v>38714</v>
      </c>
      <c r="X2748" t="s">
        <v>38715</v>
      </c>
      <c r="Y2748" t="s">
        <v>38716</v>
      </c>
    </row>
    <row r="2749" spans="1:25" x14ac:dyDescent="0.3">
      <c r="A2749">
        <v>137400</v>
      </c>
      <c r="B2749" t="s">
        <v>38717</v>
      </c>
      <c r="C2749" t="s">
        <v>38718</v>
      </c>
      <c r="D2749" t="s">
        <v>38719</v>
      </c>
      <c r="E2749" t="s">
        <v>38720</v>
      </c>
      <c r="F2749" t="s">
        <v>38721</v>
      </c>
      <c r="G2749" t="s">
        <v>38722</v>
      </c>
      <c r="H2749" t="s">
        <v>38723</v>
      </c>
      <c r="I2749" t="s">
        <v>38724</v>
      </c>
      <c r="J2749" t="s">
        <v>38725</v>
      </c>
      <c r="K2749" t="s">
        <v>38726</v>
      </c>
      <c r="L2749" t="s">
        <v>38727</v>
      </c>
      <c r="M2749" t="s">
        <v>38728</v>
      </c>
      <c r="N2749" t="s">
        <v>38729</v>
      </c>
      <c r="O2749">
        <f>-790.449141784347 -101.047657785707 -514.460879345047</f>
        <v>-1405.957678915101</v>
      </c>
      <c r="P2749">
        <f>-788.092280822339 -124.492489771843 -221.141875991224</f>
        <v>-1133.7266465854061</v>
      </c>
      <c r="Q2749" t="s">
        <v>38730</v>
      </c>
      <c r="R2749" t="s">
        <v>38731</v>
      </c>
      <c r="S2749" t="s">
        <v>38732</v>
      </c>
      <c r="T2749" t="s">
        <v>38733</v>
      </c>
      <c r="U2749" t="s">
        <v>38734</v>
      </c>
      <c r="V2749">
        <f>-747.803253707568 -8.51902542084963 -91.9985427054704</f>
        <v>-848.32082183388809</v>
      </c>
      <c r="W2749" t="s">
        <v>38735</v>
      </c>
      <c r="X2749" t="s">
        <v>38736</v>
      </c>
      <c r="Y2749" t="s">
        <v>38737</v>
      </c>
    </row>
    <row r="2750" spans="1:25" x14ac:dyDescent="0.3">
      <c r="A2750">
        <v>137450</v>
      </c>
      <c r="B2750" t="s">
        <v>38738</v>
      </c>
      <c r="C2750" t="s">
        <v>38739</v>
      </c>
      <c r="D2750" t="s">
        <v>38740</v>
      </c>
      <c r="E2750" t="s">
        <v>38741</v>
      </c>
      <c r="F2750" t="s">
        <v>38742</v>
      </c>
      <c r="G2750" t="s">
        <v>38743</v>
      </c>
      <c r="H2750" t="s">
        <v>38744</v>
      </c>
      <c r="I2750" t="s">
        <v>38745</v>
      </c>
      <c r="J2750" t="s">
        <v>38746</v>
      </c>
      <c r="K2750" t="s">
        <v>38747</v>
      </c>
      <c r="L2750" t="s">
        <v>38748</v>
      </c>
      <c r="M2750" t="s">
        <v>38749</v>
      </c>
      <c r="N2750" t="s">
        <v>38750</v>
      </c>
      <c r="O2750">
        <f>-790.245819254458 -100.887819827972 -514.501453776088</f>
        <v>-1405.635092858518</v>
      </c>
      <c r="P2750">
        <f>-787.698955600565 -124.324153531173 -221.183432353637</f>
        <v>-1133.2065414853751</v>
      </c>
      <c r="Q2750" t="s">
        <v>38751</v>
      </c>
      <c r="R2750" t="s">
        <v>38752</v>
      </c>
      <c r="S2750" t="s">
        <v>38753</v>
      </c>
      <c r="T2750" t="s">
        <v>38754</v>
      </c>
      <c r="U2750" t="s">
        <v>38755</v>
      </c>
      <c r="V2750">
        <f>-747.935969582046 -8.47803489796979 -91.9794500362574</f>
        <v>-848.39345451627321</v>
      </c>
      <c r="W2750" t="s">
        <v>38756</v>
      </c>
      <c r="X2750" t="s">
        <v>38757</v>
      </c>
      <c r="Y2750" t="s">
        <v>38758</v>
      </c>
    </row>
    <row r="2751" spans="1:25" x14ac:dyDescent="0.3">
      <c r="A2751">
        <v>137500</v>
      </c>
      <c r="B2751" t="s">
        <v>38759</v>
      </c>
      <c r="C2751" t="s">
        <v>38760</v>
      </c>
      <c r="D2751" t="s">
        <v>38761</v>
      </c>
      <c r="E2751" t="s">
        <v>38762</v>
      </c>
      <c r="F2751" t="s">
        <v>38763</v>
      </c>
      <c r="G2751" t="s">
        <v>38764</v>
      </c>
      <c r="H2751" t="s">
        <v>38765</v>
      </c>
      <c r="I2751" t="s">
        <v>38766</v>
      </c>
      <c r="J2751" t="s">
        <v>38767</v>
      </c>
      <c r="K2751" t="s">
        <v>38768</v>
      </c>
      <c r="L2751" t="s">
        <v>38769</v>
      </c>
      <c r="M2751" t="s">
        <v>38770</v>
      </c>
      <c r="N2751" t="s">
        <v>38771</v>
      </c>
      <c r="O2751">
        <f>-790.296449883081 -101.30571012771 -514.204067804754</f>
        <v>-1405.8062278155448</v>
      </c>
      <c r="P2751">
        <f>-787.274780813251 -124.357123968591 -220.859984830303</f>
        <v>-1132.4918896121449</v>
      </c>
      <c r="Q2751" t="s">
        <v>38772</v>
      </c>
      <c r="R2751" t="s">
        <v>38773</v>
      </c>
      <c r="S2751" t="s">
        <v>38774</v>
      </c>
      <c r="T2751" t="s">
        <v>38775</v>
      </c>
      <c r="U2751" t="s">
        <v>38776</v>
      </c>
      <c r="V2751">
        <f>-748.159183334267 -8.59113807355493 -91.8883108218869</f>
        <v>-848.63863222970883</v>
      </c>
      <c r="W2751" t="s">
        <v>38777</v>
      </c>
      <c r="X2751" t="s">
        <v>38778</v>
      </c>
      <c r="Y2751" t="s">
        <v>38779</v>
      </c>
    </row>
    <row r="2752" spans="1:25" x14ac:dyDescent="0.3">
      <c r="A2752">
        <v>137550</v>
      </c>
      <c r="B2752" t="s">
        <v>38780</v>
      </c>
      <c r="C2752" t="s">
        <v>38781</v>
      </c>
      <c r="D2752" t="s">
        <v>38782</v>
      </c>
      <c r="E2752" t="s">
        <v>38783</v>
      </c>
      <c r="F2752" t="s">
        <v>38784</v>
      </c>
      <c r="G2752" t="s">
        <v>38785</v>
      </c>
      <c r="H2752" t="s">
        <v>38786</v>
      </c>
      <c r="I2752" t="s">
        <v>38787</v>
      </c>
      <c r="J2752" t="s">
        <v>38788</v>
      </c>
      <c r="K2752" t="s">
        <v>38789</v>
      </c>
      <c r="L2752" t="s">
        <v>38790</v>
      </c>
      <c r="M2752" t="s">
        <v>38791</v>
      </c>
      <c r="N2752" t="s">
        <v>38792</v>
      </c>
      <c r="O2752">
        <f>-790.156795085682 -101.66142751911 -513.896399300898</f>
        <v>-1405.7146219056899</v>
      </c>
      <c r="P2752">
        <f>-786.958458908558 -124.335235542842 -220.524699936495</f>
        <v>-1131.8183943878951</v>
      </c>
      <c r="Q2752" t="s">
        <v>38793</v>
      </c>
      <c r="R2752" t="s">
        <v>38794</v>
      </c>
      <c r="S2752" t="s">
        <v>38795</v>
      </c>
      <c r="T2752" t="s">
        <v>38796</v>
      </c>
      <c r="U2752" t="s">
        <v>38797</v>
      </c>
      <c r="V2752">
        <f>-748.195779176357 -8.48696938503372 -91.8320888246892</f>
        <v>-848.51483738607988</v>
      </c>
      <c r="W2752" t="s">
        <v>38798</v>
      </c>
      <c r="X2752" t="s">
        <v>38799</v>
      </c>
      <c r="Y2752" t="s">
        <v>38800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20170724T1049-50ms-XSens-Positi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vdv</dc:creator>
  <cp:lastModifiedBy>else vdv</cp:lastModifiedBy>
  <dcterms:created xsi:type="dcterms:W3CDTF">2017-08-31T15:37:54Z</dcterms:created>
  <dcterms:modified xsi:type="dcterms:W3CDTF">2017-08-31T15:37:57Z</dcterms:modified>
</cp:coreProperties>
</file>